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sukromne\ALDON2014\"/>
    </mc:Choice>
  </mc:AlternateContent>
  <bookViews>
    <workbookView xWindow="0" yWindow="0" windowWidth="23040" windowHeight="7944" tabRatio="904" activeTab="6"/>
  </bookViews>
  <sheets>
    <sheet name="telefony" sheetId="68" r:id="rId1"/>
    <sheet name="info" sheetId="67" r:id="rId2"/>
    <sheet name="vstupne udaje" sheetId="64" r:id="rId3"/>
    <sheet name="kontrola LD" sheetId="2" r:id="rId4"/>
    <sheet name="BS-SK format" sheetId="7" r:id="rId5"/>
    <sheet name="IS-SK format" sheetId="10" r:id="rId6"/>
    <sheet name="SUVAHA" sheetId="29" r:id="rId7"/>
    <sheet name="VYKAZ Ziskov a STRAT" sheetId="33" r:id="rId8"/>
    <sheet name="BS-E Cover sheet" sheetId="42" state="hidden" r:id="rId9"/>
    <sheet name="IS-E Cover sheet" sheetId="43" state="hidden" r:id="rId10"/>
    <sheet name="BS-E Old format" sheetId="44" state="hidden" r:id="rId11"/>
    <sheet name="IS-E Old format" sheetId="45" state="hidden" r:id="rId12"/>
    <sheet name="BS - E Statutory" sheetId="46" state="hidden" r:id="rId13"/>
    <sheet name="IS-E Statutory" sheetId="47" state="hidden" r:id="rId14"/>
    <sheet name="BS-G Cover sheet" sheetId="48" state="hidden" r:id="rId15"/>
    <sheet name="IS-G Cover sheet" sheetId="49" state="hidden" r:id="rId16"/>
    <sheet name="BS-G Old format" sheetId="50" state="hidden" r:id="rId17"/>
    <sheet name="IS-G Old format" sheetId="51" state="hidden" r:id="rId18"/>
    <sheet name="BS-G Statutory" sheetId="52" state="hidden" r:id="rId19"/>
    <sheet name="IS-G Statutory" sheetId="53" state="hidden" r:id="rId20"/>
    <sheet name="Checks" sheetId="19" state="hidden" r:id="rId21"/>
    <sheet name="CASH FLOW" sheetId="23" state="hidden" r:id="rId22"/>
    <sheet name="ADJ of CF" sheetId="24" state="hidden" r:id="rId23"/>
  </sheets>
  <externalReferences>
    <externalReference r:id="rId24"/>
    <externalReference r:id="rId25"/>
  </externalReferences>
  <definedNames>
    <definedName name="_Fill" hidden="1">#REF!</definedName>
    <definedName name="_xlnm._FilterDatabase" localSheetId="10" hidden="1">'BS-E Old format'!$A$8:$I$159</definedName>
    <definedName name="_xlnm._FilterDatabase" localSheetId="16" hidden="1">'BS-G Old format'!$A$8:$I$159</definedName>
    <definedName name="_xlnm._FilterDatabase" localSheetId="4" hidden="1">'BS-SK format'!$A$8:$I$168</definedName>
    <definedName name="_xlnm._FilterDatabase" localSheetId="11" hidden="1">'IS-E Old format'!$A$7:$H$79</definedName>
    <definedName name="_xlnm._FilterDatabase" localSheetId="17" hidden="1">'IS-G Old format'!$A$7:$H$79</definedName>
    <definedName name="_xlnm._FilterDatabase" localSheetId="5" hidden="1">'IS-SK format'!$A$7:$H$85</definedName>
    <definedName name="_xlnm._FilterDatabase" localSheetId="3" hidden="1">'kontrola LD'!$A$8:$J$541</definedName>
    <definedName name="_xlnm._FilterDatabase" localSheetId="2" hidden="1">'vstupne udaje'!$A$5:$M$237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_xlnm.Print_Area" localSheetId="6">SUVAHA!$A$1:$H$211</definedName>
    <definedName name="_xlnm.Print_Area" localSheetId="7">'VYKAZ Ziskov a STRAT'!$A$1:$E$65</definedName>
    <definedName name="tabulka1">#REF!</definedName>
    <definedName name="tabulka10">#REF!</definedName>
    <definedName name="tabulka11">#REF!</definedName>
    <definedName name="tabulka12">#REF!</definedName>
    <definedName name="tabulka13">#REF!</definedName>
    <definedName name="tabulka14">#REF!</definedName>
    <definedName name="tabulka15">#REF!</definedName>
    <definedName name="tabulka16">#REF!</definedName>
    <definedName name="tabulka17">#REF!</definedName>
    <definedName name="tabulka18">#REF!</definedName>
    <definedName name="tabulka19">#REF!</definedName>
    <definedName name="tabulka2">#REF!</definedName>
    <definedName name="tabulka20">#REF!</definedName>
    <definedName name="tabulka21">#REF!</definedName>
    <definedName name="tabulka22">#REF!</definedName>
    <definedName name="tabulka23">#REF!</definedName>
    <definedName name="tabulka24">#REF!</definedName>
    <definedName name="tabulka25">#REF!</definedName>
    <definedName name="tabulka26">#REF!</definedName>
    <definedName name="tabulka27">#REF!</definedName>
    <definedName name="tabulka28">#REF!</definedName>
    <definedName name="tabulka29">#REF!</definedName>
    <definedName name="tabulka3">#REF!</definedName>
    <definedName name="tabulka30">#REF!</definedName>
    <definedName name="tabulka31">#REF!</definedName>
    <definedName name="tabulka32">#REF!</definedName>
    <definedName name="tabulka33">#REF!</definedName>
    <definedName name="tabulka34">#REF!</definedName>
    <definedName name="tabulka35">#REF!</definedName>
    <definedName name="tabulka36">#REF!</definedName>
    <definedName name="tabulka37">#REF!</definedName>
    <definedName name="tabulka38">#REF!</definedName>
    <definedName name="tabulka39">#REF!</definedName>
    <definedName name="tabulka4">#REF!</definedName>
    <definedName name="tabulka41">#REF!</definedName>
    <definedName name="tabulka42">#REF!</definedName>
    <definedName name="tabulka5">#REF!</definedName>
    <definedName name="tabulka6">#REF!</definedName>
    <definedName name="tabulka7">#REF!</definedName>
    <definedName name="tabulka8">#REF!</definedName>
    <definedName name="tabulkaxxx">#REF!</definedName>
    <definedName name="Účty">[1]Sheet3!$A$4:$BF$371</definedName>
    <definedName name="VER_CF_BALANCES">#REF!</definedName>
    <definedName name="VER_SH_RATIOS">#REF!</definedName>
    <definedName name="VER_SCH_10">#REF!</definedName>
    <definedName name="VER_SCH_14">#REF!</definedName>
    <definedName name="VER_SCH_2">#REF!</definedName>
    <definedName name="VER_SCH_7">#REF!</definedName>
    <definedName name="Visit">[1]Sheet2!$I$3</definedName>
    <definedName name="YearEnd">[1]Sheet2!$I$2</definedName>
    <definedName name="Z_305BD771_46DB_4130_A6E1_9C92E07EE410_.wvu.FilterData" localSheetId="10" hidden="1">'BS-E Old format'!$A$8:$I$159</definedName>
    <definedName name="Z_305BD771_46DB_4130_A6E1_9C92E07EE410_.wvu.FilterData" localSheetId="16" hidden="1">'BS-G Old format'!$A$8:$I$159</definedName>
    <definedName name="Z_305BD771_46DB_4130_A6E1_9C92E07EE410_.wvu.FilterData" localSheetId="4" hidden="1">'BS-SK format'!$A$8:$I$168</definedName>
    <definedName name="Z_305BD771_46DB_4130_A6E1_9C92E07EE410_.wvu.FilterData" localSheetId="11" hidden="1">'IS-E Old format'!$A$7:$H$79</definedName>
    <definedName name="Z_305BD771_46DB_4130_A6E1_9C92E07EE410_.wvu.FilterData" localSheetId="17" hidden="1">'IS-G Old format'!$A$7:$H$79</definedName>
    <definedName name="Z_305BD771_46DB_4130_A6E1_9C92E07EE410_.wvu.FilterData" localSheetId="5" hidden="1">'IS-SK format'!$A$7:$H$85</definedName>
    <definedName name="Z_305BD771_46DB_4130_A6E1_9C92E07EE410_.wvu.FilterData" localSheetId="3" hidden="1">'kontrola LD'!$B$11:$H$541</definedName>
    <definedName name="Z_305BD771_46DB_4130_A6E1_9C92E07EE410_.wvu.Rows" localSheetId="21" hidden="1">'CASH FLOW'!$12:$24,'CASH FLOW'!$26:$32,'CASH FLOW'!$37:$39,'CASH FLOW'!$41:$52,'CASH FLOW'!$55:$58,'CASH FLOW'!$61:$61,'CASH FLOW'!$64:$65,'CASH FLOW'!$67:$69,'CASH FLOW'!$71:$72,'CASH FLOW'!$74:$75,'CASH FLOW'!$77:$78,'CASH FLOW'!$80:$85,'CASH FLOW'!$90:$96,'CASH FLOW'!$98:$103,'CASH FLOW'!$105:$105,'CASH FLOW'!$107:$112</definedName>
  </definedNames>
  <calcPr calcId="171027"/>
  <customWorkbookViews>
    <customWorkbookView name="Full Name - Personal View" guid="{305BD771-46DB-4130-A6E1-9C92E07EE410}" mergeInterval="0" personalView="1" maximized="1" windowWidth="1020" windowHeight="539" tabRatio="802" activeSheetId="2"/>
  </customWorkbookViews>
</workbook>
</file>

<file path=xl/calcChain.xml><?xml version="1.0" encoding="utf-8"?>
<calcChain xmlns="http://schemas.openxmlformats.org/spreadsheetml/2006/main">
  <c r="I95" i="64" l="1"/>
  <c r="D32" i="67"/>
  <c r="D31" i="67"/>
  <c r="D30" i="67"/>
  <c r="D29" i="67"/>
  <c r="C14" i="68"/>
  <c r="D14" i="68"/>
  <c r="E14" i="68"/>
  <c r="F14" i="68"/>
  <c r="F2" i="68"/>
  <c r="F8" i="68"/>
  <c r="F7" i="68"/>
  <c r="F4" i="68"/>
  <c r="F3" i="68"/>
  <c r="E263" i="2" l="1"/>
  <c r="E267" i="2"/>
  <c r="E268" i="2"/>
  <c r="J143" i="64"/>
  <c r="G143" i="64"/>
  <c r="I65" i="64" l="1"/>
  <c r="J65" i="64"/>
  <c r="I140" i="64"/>
  <c r="I143" i="64" s="1"/>
  <c r="I190" i="64"/>
  <c r="I174" i="64"/>
  <c r="B14" i="68"/>
  <c r="G104" i="64" l="1"/>
  <c r="H132" i="64"/>
  <c r="I132" i="64"/>
  <c r="J132" i="64"/>
  <c r="G132" i="64"/>
  <c r="H102" i="64"/>
  <c r="I102" i="64"/>
  <c r="J102" i="64"/>
  <c r="G102" i="64"/>
  <c r="G91" i="64"/>
  <c r="H54" i="64"/>
  <c r="I54" i="64"/>
  <c r="J54" i="64"/>
  <c r="G54" i="64"/>
  <c r="J130" i="64"/>
  <c r="H104" i="64" l="1"/>
  <c r="I104" i="64"/>
  <c r="J104" i="64"/>
  <c r="H93" i="64"/>
  <c r="I93" i="64"/>
  <c r="J93" i="64"/>
  <c r="H91" i="64" l="1"/>
  <c r="I91" i="64"/>
  <c r="J91" i="64"/>
  <c r="H215" i="64"/>
  <c r="I215" i="64"/>
  <c r="J215" i="64"/>
  <c r="I130" i="64"/>
  <c r="E539" i="2"/>
  <c r="E538" i="2"/>
  <c r="E535" i="2"/>
  <c r="E534" i="2"/>
  <c r="E530" i="2"/>
  <c r="E531" i="2"/>
  <c r="E529" i="2"/>
  <c r="E525" i="2"/>
  <c r="E524" i="2"/>
  <c r="E521" i="2"/>
  <c r="E518" i="2"/>
  <c r="E517" i="2"/>
  <c r="E510" i="2"/>
  <c r="E511" i="2"/>
  <c r="E512" i="2"/>
  <c r="E513" i="2"/>
  <c r="E509" i="2"/>
  <c r="E504" i="2"/>
  <c r="E505" i="2"/>
  <c r="E506" i="2"/>
  <c r="E503" i="2"/>
  <c r="E498" i="2"/>
  <c r="E500" i="2"/>
  <c r="E493" i="2"/>
  <c r="E494" i="2"/>
  <c r="E123" i="2"/>
  <c r="E13" i="2"/>
  <c r="E15" i="2"/>
  <c r="E16" i="2"/>
  <c r="E12" i="2"/>
  <c r="J46" i="64" l="1"/>
  <c r="H46" i="64"/>
  <c r="I46" i="64"/>
  <c r="H193" i="64" l="1"/>
  <c r="I193" i="64"/>
  <c r="J193" i="64"/>
  <c r="H232" i="64"/>
  <c r="I232" i="64"/>
  <c r="J232" i="64"/>
  <c r="H58" i="64" l="1"/>
  <c r="I58" i="64"/>
  <c r="J58" i="64"/>
  <c r="H123" i="64"/>
  <c r="I123" i="64"/>
  <c r="J123" i="64"/>
  <c r="K129" i="64" l="1"/>
  <c r="K130" i="64" s="1"/>
  <c r="H130" i="64"/>
  <c r="B130" i="64"/>
  <c r="B129" i="64"/>
  <c r="H223" i="64"/>
  <c r="I223" i="64"/>
  <c r="J223" i="64"/>
  <c r="H196" i="64"/>
  <c r="I196" i="64"/>
  <c r="J196" i="64"/>
  <c r="H191" i="64"/>
  <c r="I191" i="64"/>
  <c r="J191" i="64"/>
  <c r="H177" i="64"/>
  <c r="I177" i="64"/>
  <c r="J177" i="64"/>
  <c r="H153" i="64"/>
  <c r="I153" i="64"/>
  <c r="J153" i="64"/>
  <c r="H112" i="64"/>
  <c r="I112" i="64"/>
  <c r="J112" i="64"/>
  <c r="H66" i="64"/>
  <c r="I66" i="64"/>
  <c r="H62" i="64"/>
  <c r="I62" i="64"/>
  <c r="J62" i="64"/>
  <c r="H499" i="2"/>
  <c r="H492" i="2"/>
  <c r="H490" i="2"/>
  <c r="H453" i="2"/>
  <c r="H450" i="2"/>
  <c r="H418" i="2"/>
  <c r="H415" i="2"/>
  <c r="H318" i="2"/>
  <c r="H263" i="2"/>
  <c r="K53" i="64"/>
  <c r="K65" i="64"/>
  <c r="K174" i="64"/>
  <c r="K7" i="64"/>
  <c r="E14" i="2" s="1"/>
  <c r="K8" i="64"/>
  <c r="K9" i="64"/>
  <c r="E17" i="2" s="1"/>
  <c r="K10" i="64"/>
  <c r="K11" i="64"/>
  <c r="K12" i="64"/>
  <c r="K13" i="64"/>
  <c r="K14" i="64"/>
  <c r="K15" i="64"/>
  <c r="K16" i="64"/>
  <c r="K17" i="64"/>
  <c r="K18" i="64"/>
  <c r="K19" i="64"/>
  <c r="K20" i="64"/>
  <c r="K21" i="64"/>
  <c r="K22" i="64"/>
  <c r="K23" i="64"/>
  <c r="K24" i="64"/>
  <c r="K25" i="64"/>
  <c r="K26" i="64"/>
  <c r="K27" i="64"/>
  <c r="K28" i="64"/>
  <c r="K29" i="64"/>
  <c r="K30" i="64"/>
  <c r="K31" i="64"/>
  <c r="K32" i="64"/>
  <c r="K33" i="64"/>
  <c r="K34" i="64"/>
  <c r="K35" i="64"/>
  <c r="K36" i="64"/>
  <c r="K37" i="64"/>
  <c r="K38" i="64"/>
  <c r="K39" i="64"/>
  <c r="K40" i="64"/>
  <c r="K41" i="64"/>
  <c r="K42" i="64"/>
  <c r="K43" i="64"/>
  <c r="K44" i="64"/>
  <c r="E121" i="2" s="1"/>
  <c r="K45" i="64"/>
  <c r="K46" i="64"/>
  <c r="E122" i="2" s="1"/>
  <c r="K47" i="64"/>
  <c r="K48" i="64"/>
  <c r="E124" i="2" s="1"/>
  <c r="K49" i="64"/>
  <c r="K50" i="64"/>
  <c r="K51" i="64"/>
  <c r="K52" i="64"/>
  <c r="K55" i="64"/>
  <c r="K56" i="64"/>
  <c r="K57" i="64"/>
  <c r="K59" i="64"/>
  <c r="K60" i="64"/>
  <c r="K61" i="64"/>
  <c r="K63" i="64"/>
  <c r="K64" i="64"/>
  <c r="K67" i="64"/>
  <c r="K68" i="64"/>
  <c r="K69" i="64"/>
  <c r="K70" i="64"/>
  <c r="K71" i="64"/>
  <c r="K72" i="64"/>
  <c r="K73" i="64"/>
  <c r="K74" i="64"/>
  <c r="K75" i="64"/>
  <c r="K76" i="64"/>
  <c r="K77" i="64"/>
  <c r="K78" i="64"/>
  <c r="K79" i="64"/>
  <c r="K80" i="64"/>
  <c r="K81" i="64"/>
  <c r="K82" i="64"/>
  <c r="K83" i="64"/>
  <c r="K84" i="64"/>
  <c r="K85" i="64"/>
  <c r="K86" i="64"/>
  <c r="K87" i="64"/>
  <c r="K88" i="64"/>
  <c r="K89" i="64"/>
  <c r="K90" i="64"/>
  <c r="K91" i="64" s="1"/>
  <c r="K92" i="64"/>
  <c r="K93" i="64" s="1"/>
  <c r="K94" i="64"/>
  <c r="K95" i="64"/>
  <c r="K96" i="64"/>
  <c r="K97" i="64"/>
  <c r="K98" i="64"/>
  <c r="K99" i="64"/>
  <c r="K100" i="64"/>
  <c r="K101" i="64"/>
  <c r="K103" i="64"/>
  <c r="K104" i="64" s="1"/>
  <c r="K105" i="64"/>
  <c r="K106" i="64"/>
  <c r="K107" i="64"/>
  <c r="K108" i="64"/>
  <c r="K109" i="64"/>
  <c r="K110" i="64"/>
  <c r="K111" i="64"/>
  <c r="K113" i="64"/>
  <c r="K114" i="64"/>
  <c r="K115" i="64"/>
  <c r="K116" i="64"/>
  <c r="K117" i="64"/>
  <c r="K118" i="64"/>
  <c r="K119" i="64"/>
  <c r="K120" i="64"/>
  <c r="K121" i="64"/>
  <c r="K122" i="64"/>
  <c r="K123" i="64" s="1"/>
  <c r="K124" i="64"/>
  <c r="K125" i="64"/>
  <c r="K126" i="64"/>
  <c r="K127" i="64"/>
  <c r="K128" i="64"/>
  <c r="K131" i="64"/>
  <c r="K133" i="64"/>
  <c r="K134" i="64"/>
  <c r="K135" i="64"/>
  <c r="K136" i="64"/>
  <c r="K137" i="64"/>
  <c r="K138" i="64"/>
  <c r="K139" i="64"/>
  <c r="K140" i="64"/>
  <c r="K143" i="64" s="1"/>
  <c r="K141" i="64"/>
  <c r="K142" i="64"/>
  <c r="K144" i="64"/>
  <c r="K145" i="64"/>
  <c r="K146" i="64"/>
  <c r="K147" i="64"/>
  <c r="K148" i="64"/>
  <c r="K149" i="64"/>
  <c r="K150" i="64"/>
  <c r="K151" i="64"/>
  <c r="K152" i="64"/>
  <c r="K154" i="64"/>
  <c r="K155" i="64"/>
  <c r="K156" i="64"/>
  <c r="K157" i="64"/>
  <c r="K158" i="64"/>
  <c r="K159" i="64"/>
  <c r="K160" i="64"/>
  <c r="K161" i="64"/>
  <c r="K162" i="64"/>
  <c r="K163" i="64"/>
  <c r="K164" i="64"/>
  <c r="K165" i="64"/>
  <c r="K166" i="64"/>
  <c r="K167" i="64"/>
  <c r="K168" i="64"/>
  <c r="K169" i="64"/>
  <c r="K170" i="64"/>
  <c r="K171" i="64"/>
  <c r="K172" i="64"/>
  <c r="K173" i="64"/>
  <c r="K175" i="64"/>
  <c r="K176" i="64"/>
  <c r="K178" i="64"/>
  <c r="K179" i="64"/>
  <c r="K180" i="64"/>
  <c r="K181" i="64"/>
  <c r="K182" i="64"/>
  <c r="K183" i="64"/>
  <c r="K184" i="64"/>
  <c r="K185" i="64"/>
  <c r="K186" i="64"/>
  <c r="K187" i="64"/>
  <c r="K188" i="64"/>
  <c r="K189" i="64"/>
  <c r="K190" i="64"/>
  <c r="K191" i="64" s="1"/>
  <c r="K192" i="64"/>
  <c r="K193" i="64" s="1"/>
  <c r="K194" i="64"/>
  <c r="K195" i="64"/>
  <c r="K197" i="64"/>
  <c r="K198" i="64"/>
  <c r="K199" i="64"/>
  <c r="K200" i="64"/>
  <c r="K201" i="64"/>
  <c r="K202" i="64"/>
  <c r="K203" i="64"/>
  <c r="K204" i="64"/>
  <c r="K205" i="64"/>
  <c r="K206" i="64"/>
  <c r="K207" i="64"/>
  <c r="K208" i="64"/>
  <c r="K209" i="64"/>
  <c r="K210" i="64"/>
  <c r="K211" i="64"/>
  <c r="K212" i="64"/>
  <c r="K213" i="64"/>
  <c r="K214" i="64"/>
  <c r="K215" i="64" s="1"/>
  <c r="E478" i="2" s="1"/>
  <c r="K216" i="64"/>
  <c r="K217" i="64"/>
  <c r="E490" i="2" s="1"/>
  <c r="K218" i="64"/>
  <c r="K219" i="64"/>
  <c r="K220" i="64"/>
  <c r="E491" i="2" s="1"/>
  <c r="K221" i="64"/>
  <c r="K222" i="64"/>
  <c r="K224" i="64"/>
  <c r="K225" i="64"/>
  <c r="E497" i="2" s="1"/>
  <c r="K226" i="64"/>
  <c r="K227" i="64"/>
  <c r="K228" i="64"/>
  <c r="E499" i="2" s="1"/>
  <c r="K229" i="64"/>
  <c r="K230" i="64"/>
  <c r="K231" i="64"/>
  <c r="K233" i="64"/>
  <c r="K234" i="64"/>
  <c r="E522" i="2" s="1"/>
  <c r="K235" i="64"/>
  <c r="K236" i="64"/>
  <c r="E523" i="2" s="1"/>
  <c r="K6" i="64"/>
  <c r="B7" i="64"/>
  <c r="B8" i="64"/>
  <c r="B9" i="64"/>
  <c r="B10" i="64"/>
  <c r="B11" i="64"/>
  <c r="B12" i="64"/>
  <c r="B13" i="64"/>
  <c r="B14" i="64"/>
  <c r="B15" i="64"/>
  <c r="B16" i="64"/>
  <c r="B17" i="64"/>
  <c r="B18" i="64"/>
  <c r="B19" i="64"/>
  <c r="B20" i="64"/>
  <c r="B21" i="64"/>
  <c r="B22" i="64"/>
  <c r="B23" i="64"/>
  <c r="B24" i="64"/>
  <c r="B25" i="64"/>
  <c r="B26" i="64"/>
  <c r="B27" i="64"/>
  <c r="B28" i="64"/>
  <c r="B29" i="64"/>
  <c r="B30" i="64"/>
  <c r="B31" i="64"/>
  <c r="B32" i="64"/>
  <c r="B33" i="64"/>
  <c r="B34" i="64"/>
  <c r="B35" i="64"/>
  <c r="B36" i="64"/>
  <c r="B37" i="64"/>
  <c r="B38" i="64"/>
  <c r="B39" i="64"/>
  <c r="B40" i="64"/>
  <c r="B41" i="64"/>
  <c r="B42" i="64"/>
  <c r="B43" i="64"/>
  <c r="B44" i="64"/>
  <c r="B45" i="64"/>
  <c r="B46" i="64"/>
  <c r="B47" i="64"/>
  <c r="B48" i="64"/>
  <c r="B49" i="64"/>
  <c r="B50" i="64"/>
  <c r="B51" i="64"/>
  <c r="B52" i="64"/>
  <c r="B53" i="64"/>
  <c r="B54" i="64"/>
  <c r="B55" i="64"/>
  <c r="B56" i="64"/>
  <c r="B57" i="64"/>
  <c r="B58" i="64"/>
  <c r="B59" i="64"/>
  <c r="B60" i="64"/>
  <c r="B61" i="64"/>
  <c r="B62" i="64"/>
  <c r="B63" i="64"/>
  <c r="B64" i="64"/>
  <c r="B65" i="64"/>
  <c r="B66" i="64"/>
  <c r="B67" i="64"/>
  <c r="B68" i="64"/>
  <c r="B69" i="64"/>
  <c r="B70" i="64"/>
  <c r="B71" i="64"/>
  <c r="B72" i="64"/>
  <c r="B73" i="64"/>
  <c r="B74" i="64"/>
  <c r="B75" i="64"/>
  <c r="B76" i="64"/>
  <c r="B77" i="64"/>
  <c r="B78" i="64"/>
  <c r="B79" i="64"/>
  <c r="B80" i="64"/>
  <c r="B81" i="64"/>
  <c r="B82" i="64"/>
  <c r="B83" i="64"/>
  <c r="B84" i="64"/>
  <c r="B85" i="64"/>
  <c r="B86" i="64"/>
  <c r="B87" i="64"/>
  <c r="B88" i="64"/>
  <c r="B89" i="64"/>
  <c r="B90" i="64"/>
  <c r="B91" i="64"/>
  <c r="B92" i="64"/>
  <c r="B93" i="64"/>
  <c r="B94" i="64"/>
  <c r="B95" i="64"/>
  <c r="B96" i="64"/>
  <c r="B97" i="64"/>
  <c r="B98" i="64"/>
  <c r="B99" i="64"/>
  <c r="B100" i="64"/>
  <c r="B101" i="64"/>
  <c r="B102" i="64"/>
  <c r="B103" i="64"/>
  <c r="B104" i="64"/>
  <c r="B105" i="64"/>
  <c r="B106" i="64"/>
  <c r="B107" i="64"/>
  <c r="B108" i="64"/>
  <c r="B109" i="64"/>
  <c r="B110" i="64"/>
  <c r="B111" i="64"/>
  <c r="B112" i="64"/>
  <c r="B113" i="64"/>
  <c r="B114" i="64"/>
  <c r="B115" i="64"/>
  <c r="B116" i="64"/>
  <c r="B117" i="64"/>
  <c r="B118" i="64"/>
  <c r="B119" i="64"/>
  <c r="B120" i="64"/>
  <c r="B121" i="64"/>
  <c r="B122" i="64"/>
  <c r="B123" i="64"/>
  <c r="B124" i="64"/>
  <c r="B125" i="64"/>
  <c r="B126" i="64"/>
  <c r="B127" i="64"/>
  <c r="B128" i="64"/>
  <c r="B131" i="64"/>
  <c r="B132" i="64"/>
  <c r="B133" i="64"/>
  <c r="B134" i="64"/>
  <c r="B135" i="64"/>
  <c r="B136" i="64"/>
  <c r="B137" i="64"/>
  <c r="B138" i="64"/>
  <c r="B139" i="64"/>
  <c r="B140" i="64"/>
  <c r="B141" i="64"/>
  <c r="B142" i="64"/>
  <c r="B143" i="64"/>
  <c r="B144" i="64"/>
  <c r="B145" i="64"/>
  <c r="B146" i="64"/>
  <c r="B147" i="64"/>
  <c r="B148" i="64"/>
  <c r="B149" i="64"/>
  <c r="B150" i="64"/>
  <c r="B151" i="64"/>
  <c r="B152" i="64"/>
  <c r="B153" i="64"/>
  <c r="B154" i="64"/>
  <c r="B155" i="64"/>
  <c r="B156" i="64"/>
  <c r="B157" i="64"/>
  <c r="B158" i="64"/>
  <c r="B159" i="64"/>
  <c r="B160" i="64"/>
  <c r="B161" i="64"/>
  <c r="B162" i="64"/>
  <c r="B163" i="64"/>
  <c r="B164" i="64"/>
  <c r="B165" i="64"/>
  <c r="B166" i="64"/>
  <c r="B167" i="64"/>
  <c r="B168" i="64"/>
  <c r="B169" i="64"/>
  <c r="B170" i="64"/>
  <c r="B171" i="64"/>
  <c r="B172" i="64"/>
  <c r="B173" i="64"/>
  <c r="B174" i="64"/>
  <c r="B175" i="64"/>
  <c r="B176" i="64"/>
  <c r="B177" i="64"/>
  <c r="B178" i="64"/>
  <c r="B179" i="64"/>
  <c r="B180" i="64"/>
  <c r="B181" i="64"/>
  <c r="B182" i="64"/>
  <c r="B183" i="64"/>
  <c r="B184" i="64"/>
  <c r="B185" i="64"/>
  <c r="B186" i="64"/>
  <c r="B187" i="64"/>
  <c r="B188" i="64"/>
  <c r="B189" i="64"/>
  <c r="B190" i="64"/>
  <c r="B191" i="64"/>
  <c r="B192" i="64"/>
  <c r="B193" i="64"/>
  <c r="B194" i="64"/>
  <c r="B195" i="64"/>
  <c r="B196" i="64"/>
  <c r="B197" i="64"/>
  <c r="B198" i="64"/>
  <c r="B199" i="64"/>
  <c r="B200" i="64"/>
  <c r="B201" i="64"/>
  <c r="B202" i="64"/>
  <c r="B203" i="64"/>
  <c r="B204" i="64"/>
  <c r="B205" i="64"/>
  <c r="B206" i="64"/>
  <c r="B207" i="64"/>
  <c r="B208" i="64"/>
  <c r="B209" i="64"/>
  <c r="B210" i="64"/>
  <c r="B211" i="64"/>
  <c r="B212" i="64"/>
  <c r="B213" i="64"/>
  <c r="B214" i="64"/>
  <c r="B215" i="64"/>
  <c r="B216" i="64"/>
  <c r="B217" i="64"/>
  <c r="B218" i="64"/>
  <c r="B219" i="64"/>
  <c r="B220" i="64"/>
  <c r="B221" i="64"/>
  <c r="B222" i="64"/>
  <c r="B223" i="64"/>
  <c r="B224" i="64"/>
  <c r="B225" i="64"/>
  <c r="B226" i="64"/>
  <c r="B227" i="64"/>
  <c r="B228" i="64"/>
  <c r="B229" i="64"/>
  <c r="B230" i="64"/>
  <c r="B231" i="64"/>
  <c r="B232" i="64"/>
  <c r="B233" i="64"/>
  <c r="B234" i="64"/>
  <c r="B235" i="64"/>
  <c r="B236" i="64"/>
  <c r="B237" i="64"/>
  <c r="H478" i="2"/>
  <c r="H479" i="2"/>
  <c r="H509" i="2"/>
  <c r="H470" i="2"/>
  <c r="H452" i="2"/>
  <c r="H451" i="2"/>
  <c r="H446" i="2"/>
  <c r="H431" i="2"/>
  <c r="H226" i="2"/>
  <c r="H136" i="2"/>
  <c r="H491" i="2"/>
  <c r="H266" i="2"/>
  <c r="K132" i="64" l="1"/>
  <c r="K112" i="64"/>
  <c r="K58" i="64"/>
  <c r="K232" i="64"/>
  <c r="E514" i="2" s="1"/>
  <c r="K196" i="64"/>
  <c r="K177" i="64"/>
  <c r="K223" i="64"/>
  <c r="E492" i="2" s="1"/>
  <c r="K153" i="64"/>
  <c r="E418" i="2" s="1"/>
  <c r="K66" i="64"/>
  <c r="K54" i="64"/>
  <c r="K102" i="64"/>
  <c r="E232" i="2" s="1"/>
  <c r="J66" i="64"/>
  <c r="K62" i="64"/>
  <c r="H405" i="2"/>
  <c r="H370" i="2"/>
  <c r="H360" i="2"/>
  <c r="K237" i="64" l="1"/>
  <c r="L237" i="64" s="1"/>
  <c r="E111" i="2"/>
  <c r="H419" i="2" l="1"/>
  <c r="E213" i="2" l="1"/>
  <c r="E208" i="2" l="1"/>
  <c r="H76" i="2"/>
  <c r="E84" i="2"/>
  <c r="H539" i="2"/>
  <c r="H538" i="2"/>
  <c r="H535" i="2"/>
  <c r="H534" i="2"/>
  <c r="H531" i="2"/>
  <c r="H530" i="2"/>
  <c r="H529" i="2"/>
  <c r="H525" i="2"/>
  <c r="H524" i="2"/>
  <c r="H523" i="2"/>
  <c r="H522" i="2"/>
  <c r="H521" i="2"/>
  <c r="H518" i="2"/>
  <c r="H517" i="2"/>
  <c r="H514" i="2"/>
  <c r="H513" i="2"/>
  <c r="H512" i="2"/>
  <c r="H511" i="2"/>
  <c r="H510" i="2"/>
  <c r="H506" i="2"/>
  <c r="H505" i="2"/>
  <c r="H504" i="2"/>
  <c r="H503" i="2"/>
  <c r="H500" i="2"/>
  <c r="H498" i="2"/>
  <c r="H497" i="2"/>
  <c r="H494" i="2"/>
  <c r="H493" i="2"/>
  <c r="H485" i="2"/>
  <c r="H484" i="2"/>
  <c r="H483" i="2"/>
  <c r="H482" i="2"/>
  <c r="H481" i="2"/>
  <c r="H480" i="2"/>
  <c r="H475" i="2"/>
  <c r="H474" i="2"/>
  <c r="H471" i="2"/>
  <c r="H469" i="2"/>
  <c r="H468" i="2"/>
  <c r="H467" i="2"/>
  <c r="H466" i="2"/>
  <c r="H465" i="2"/>
  <c r="H464" i="2"/>
  <c r="H463" i="2"/>
  <c r="H460" i="2"/>
  <c r="H459" i="2"/>
  <c r="H458" i="2"/>
  <c r="H457" i="2"/>
  <c r="H454" i="2"/>
  <c r="H449" i="2"/>
  <c r="H448" i="2"/>
  <c r="H447" i="2"/>
  <c r="H443" i="2"/>
  <c r="H442" i="2"/>
  <c r="H441" i="2"/>
  <c r="H438" i="2"/>
  <c r="H437" i="2"/>
  <c r="H436" i="2"/>
  <c r="H435" i="2"/>
  <c r="H434" i="2"/>
  <c r="H433" i="2"/>
  <c r="H432" i="2"/>
  <c r="H426" i="2"/>
  <c r="H427" i="2"/>
  <c r="H428" i="2"/>
  <c r="H425" i="2"/>
  <c r="H417" i="2"/>
  <c r="H416" i="2"/>
  <c r="H398" i="2"/>
  <c r="H394" i="2"/>
  <c r="H393" i="2"/>
  <c r="H390" i="2"/>
  <c r="H387" i="2"/>
  <c r="H384" i="2"/>
  <c r="H383" i="2"/>
  <c r="H378" i="2"/>
  <c r="H373" i="2"/>
  <c r="H367" i="2"/>
  <c r="H364" i="2"/>
  <c r="H361" i="2"/>
  <c r="H359" i="2"/>
  <c r="H358" i="2"/>
  <c r="H357" i="2"/>
  <c r="H356" i="2"/>
  <c r="H353" i="2"/>
  <c r="H352" i="2"/>
  <c r="H351" i="2"/>
  <c r="H350" i="2"/>
  <c r="H349" i="2"/>
  <c r="H348" i="2"/>
  <c r="H347" i="2"/>
  <c r="H346" i="2"/>
  <c r="H345" i="2"/>
  <c r="H338" i="2"/>
  <c r="H337" i="2"/>
  <c r="H323" i="2"/>
  <c r="H315" i="2"/>
  <c r="H312" i="2"/>
  <c r="H309" i="2"/>
  <c r="H306" i="2"/>
  <c r="H301" i="2"/>
  <c r="H296" i="2"/>
  <c r="H293" i="2"/>
  <c r="H290" i="2"/>
  <c r="H287" i="2"/>
  <c r="H284" i="2"/>
  <c r="H279" i="2"/>
  <c r="H276" i="2"/>
  <c r="H273" i="2"/>
  <c r="H270" i="2"/>
  <c r="H269" i="2"/>
  <c r="H268" i="2"/>
  <c r="H267" i="2"/>
  <c r="H258" i="2"/>
  <c r="H255" i="2"/>
  <c r="H252" i="2"/>
  <c r="H251" i="2"/>
  <c r="H246" i="2"/>
  <c r="H241" i="2"/>
  <c r="H238" i="2"/>
  <c r="H235" i="2"/>
  <c r="H232" i="2"/>
  <c r="H229" i="2"/>
  <c r="H221" i="2"/>
  <c r="H218" i="2"/>
  <c r="H217" i="2"/>
  <c r="H216" i="2"/>
  <c r="H212" i="2"/>
  <c r="H211" i="2"/>
  <c r="H207" i="2"/>
  <c r="H206" i="2"/>
  <c r="H199" i="2"/>
  <c r="H190" i="2"/>
  <c r="H187" i="2"/>
  <c r="H184" i="2"/>
  <c r="H174" i="2"/>
  <c r="H168" i="2"/>
  <c r="H167" i="2"/>
  <c r="H166" i="2"/>
  <c r="H163" i="2"/>
  <c r="H162" i="2"/>
  <c r="H161" i="2"/>
  <c r="H160" i="2"/>
  <c r="H159" i="2"/>
  <c r="H156" i="2"/>
  <c r="H155" i="2"/>
  <c r="H152" i="2"/>
  <c r="H151" i="2"/>
  <c r="H142" i="2"/>
  <c r="H141" i="2"/>
  <c r="H135" i="2"/>
  <c r="H134" i="2"/>
  <c r="H131" i="2"/>
  <c r="H128" i="2"/>
  <c r="H127" i="2"/>
  <c r="H124" i="2"/>
  <c r="H123" i="2"/>
  <c r="H121" i="2"/>
  <c r="H114" i="2"/>
  <c r="H108" i="2"/>
  <c r="H106" i="2"/>
  <c r="H101" i="2"/>
  <c r="H100" i="2"/>
  <c r="H89" i="2"/>
  <c r="H85" i="2"/>
  <c r="H84" i="2"/>
  <c r="H83" i="2"/>
  <c r="H69" i="2"/>
  <c r="H66" i="2"/>
  <c r="H65" i="2"/>
  <c r="H64" i="2"/>
  <c r="H63" i="2"/>
  <c r="H62" i="2"/>
  <c r="H59" i="2"/>
  <c r="H58" i="2"/>
  <c r="H57" i="2"/>
  <c r="H56" i="2"/>
  <c r="H55" i="2"/>
  <c r="H54" i="2"/>
  <c r="H51" i="2"/>
  <c r="H48" i="2"/>
  <c r="H45" i="2"/>
  <c r="H44" i="2"/>
  <c r="H43" i="2"/>
  <c r="H42" i="2"/>
  <c r="H41" i="2"/>
  <c r="H38" i="2"/>
  <c r="H37" i="2"/>
  <c r="H36" i="2"/>
  <c r="H33" i="2"/>
  <c r="H32" i="2"/>
  <c r="H31" i="2"/>
  <c r="H28" i="2"/>
  <c r="H27" i="2"/>
  <c r="H24" i="2"/>
  <c r="H23" i="2"/>
  <c r="H22" i="2"/>
  <c r="H21" i="2"/>
  <c r="H20" i="2"/>
  <c r="H17" i="2"/>
  <c r="H13" i="2"/>
  <c r="H14" i="2"/>
  <c r="H15" i="2"/>
  <c r="H16" i="2"/>
  <c r="H12" i="2"/>
  <c r="E485" i="2"/>
  <c r="E484" i="2"/>
  <c r="E483" i="2"/>
  <c r="E482" i="2"/>
  <c r="E481" i="2"/>
  <c r="E480" i="2"/>
  <c r="E479" i="2"/>
  <c r="E471" i="2"/>
  <c r="E470" i="2"/>
  <c r="E469" i="2"/>
  <c r="E468" i="2"/>
  <c r="E467" i="2"/>
  <c r="E466" i="2"/>
  <c r="E465" i="2"/>
  <c r="E464" i="2"/>
  <c r="E463" i="2"/>
  <c r="E460" i="2"/>
  <c r="E459" i="2"/>
  <c r="E458" i="2"/>
  <c r="E457" i="2"/>
  <c r="E454" i="2"/>
  <c r="E453" i="2"/>
  <c r="E452" i="2"/>
  <c r="E451" i="2"/>
  <c r="E450" i="2"/>
  <c r="E449" i="2"/>
  <c r="E448" i="2"/>
  <c r="E447" i="2"/>
  <c r="E446" i="2"/>
  <c r="E443" i="2"/>
  <c r="E442" i="2"/>
  <c r="E441" i="2"/>
  <c r="E438" i="2"/>
  <c r="E437" i="2"/>
  <c r="E436" i="2"/>
  <c r="E435" i="2"/>
  <c r="E434" i="2"/>
  <c r="E433" i="2"/>
  <c r="E432" i="2"/>
  <c r="E431" i="2"/>
  <c r="E428" i="2"/>
  <c r="E427" i="2"/>
  <c r="E426" i="2"/>
  <c r="E425" i="2"/>
  <c r="E422" i="2"/>
  <c r="E419" i="2"/>
  <c r="E417" i="2"/>
  <c r="E416" i="2"/>
  <c r="E415" i="2"/>
  <c r="E410" i="2"/>
  <c r="E405" i="2"/>
  <c r="E398" i="2"/>
  <c r="E394" i="2"/>
  <c r="E393" i="2"/>
  <c r="E390" i="2"/>
  <c r="E387" i="2"/>
  <c r="E384" i="2"/>
  <c r="E383" i="2"/>
  <c r="E378" i="2"/>
  <c r="E373" i="2"/>
  <c r="E367" i="2"/>
  <c r="E370" i="2"/>
  <c r="E364" i="2"/>
  <c r="E361" i="2"/>
  <c r="E360" i="2"/>
  <c r="E359" i="2"/>
  <c r="E358" i="2"/>
  <c r="E357" i="2"/>
  <c r="E356" i="2"/>
  <c r="E346" i="2"/>
  <c r="E347" i="2"/>
  <c r="E348" i="2"/>
  <c r="E349" i="2"/>
  <c r="E350" i="2"/>
  <c r="E351" i="2"/>
  <c r="E352" i="2"/>
  <c r="E353" i="2"/>
  <c r="E345" i="2"/>
  <c r="E338" i="2"/>
  <c r="E337" i="2"/>
  <c r="E323" i="2"/>
  <c r="E318" i="2"/>
  <c r="E315" i="2"/>
  <c r="E312" i="2"/>
  <c r="E309" i="2"/>
  <c r="E306" i="2"/>
  <c r="E301" i="2"/>
  <c r="E296" i="2"/>
  <c r="E293" i="2"/>
  <c r="E290" i="2"/>
  <c r="E287" i="2"/>
  <c r="E284" i="2"/>
  <c r="E279" i="2"/>
  <c r="E276" i="2"/>
  <c r="E273" i="2"/>
  <c r="E270" i="2"/>
  <c r="E269" i="2"/>
  <c r="E266" i="2"/>
  <c r="E258" i="2"/>
  <c r="E255" i="2"/>
  <c r="E252" i="2"/>
  <c r="E251" i="2"/>
  <c r="E246" i="2"/>
  <c r="E241" i="2"/>
  <c r="E238" i="2"/>
  <c r="E235" i="2"/>
  <c r="E229" i="2"/>
  <c r="E226" i="2"/>
  <c r="E221" i="2"/>
  <c r="E218" i="2"/>
  <c r="E217" i="2"/>
  <c r="E216" i="2"/>
  <c r="E212" i="2"/>
  <c r="E211" i="2"/>
  <c r="E207" i="2"/>
  <c r="E206" i="2"/>
  <c r="E199" i="2"/>
  <c r="E196" i="2"/>
  <c r="E190" i="2"/>
  <c r="E187" i="2"/>
  <c r="E184" i="2"/>
  <c r="E181" i="2"/>
  <c r="E174" i="2"/>
  <c r="E171" i="2"/>
  <c r="E163" i="2"/>
  <c r="E168" i="2"/>
  <c r="E167" i="2"/>
  <c r="E166" i="2"/>
  <c r="E162" i="2"/>
  <c r="E161" i="2"/>
  <c r="E160" i="2"/>
  <c r="E159" i="2"/>
  <c r="E156" i="2"/>
  <c r="E155" i="2"/>
  <c r="E152" i="2"/>
  <c r="E151" i="2"/>
  <c r="E145" i="2"/>
  <c r="E142" i="2"/>
  <c r="E141" i="2"/>
  <c r="E136" i="2"/>
  <c r="E135" i="2"/>
  <c r="E134" i="2"/>
  <c r="E131" i="2"/>
  <c r="E128" i="2"/>
  <c r="E127" i="2"/>
  <c r="E118" i="2"/>
  <c r="E117" i="2"/>
  <c r="E114" i="2"/>
  <c r="E108" i="2"/>
  <c r="E106" i="2"/>
  <c r="E101" i="2"/>
  <c r="E100" i="2"/>
  <c r="E89" i="2"/>
  <c r="E85" i="2"/>
  <c r="E69" i="2"/>
  <c r="E76" i="2"/>
  <c r="E83" i="2"/>
  <c r="E63" i="2"/>
  <c r="E48" i="2"/>
  <c r="E45" i="2"/>
  <c r="E107" i="2"/>
  <c r="E66" i="2"/>
  <c r="E65" i="2"/>
  <c r="E64" i="2"/>
  <c r="E62" i="2"/>
  <c r="E59" i="2"/>
  <c r="E58" i="2"/>
  <c r="E57" i="2"/>
  <c r="E56" i="2"/>
  <c r="E55" i="2"/>
  <c r="E54" i="2"/>
  <c r="E51" i="2"/>
  <c r="E44" i="2"/>
  <c r="E43" i="2"/>
  <c r="E42" i="2"/>
  <c r="E41" i="2"/>
  <c r="E38" i="2"/>
  <c r="E37" i="2"/>
  <c r="E36" i="2"/>
  <c r="E33" i="2"/>
  <c r="E32" i="2"/>
  <c r="E31" i="2"/>
  <c r="E28" i="2"/>
  <c r="E27" i="2"/>
  <c r="E21" i="2"/>
  <c r="E22" i="2"/>
  <c r="E23" i="2"/>
  <c r="E24" i="2"/>
  <c r="E20" i="2"/>
  <c r="G126" i="7" l="1"/>
  <c r="G128" i="7"/>
  <c r="H170" i="2" l="1"/>
  <c r="I57" i="7"/>
  <c r="H363" i="2"/>
  <c r="H410" i="2"/>
  <c r="H422" i="2"/>
  <c r="F537" i="2"/>
  <c r="F533" i="2"/>
  <c r="F520" i="2"/>
  <c r="F516" i="2"/>
  <c r="F508" i="2"/>
  <c r="F502" i="2"/>
  <c r="F496" i="2"/>
  <c r="F489" i="2"/>
  <c r="F477" i="2"/>
  <c r="F473" i="2"/>
  <c r="F462" i="2"/>
  <c r="F456" i="2"/>
  <c r="F445" i="2"/>
  <c r="F440" i="2"/>
  <c r="F430" i="2"/>
  <c r="F424" i="2"/>
  <c r="F414" i="2"/>
  <c r="F409" i="2"/>
  <c r="F404" i="2"/>
  <c r="F377" i="2"/>
  <c r="F372" i="2"/>
  <c r="F366" i="2"/>
  <c r="F363" i="2"/>
  <c r="F355" i="2"/>
  <c r="F344" i="2"/>
  <c r="F322" i="2"/>
  <c r="F305" i="2"/>
  <c r="F272" i="2"/>
  <c r="F262" i="2"/>
  <c r="F245" i="2"/>
  <c r="F225" i="2"/>
  <c r="F215" i="2"/>
  <c r="F205" i="2"/>
  <c r="F180" i="2"/>
  <c r="F173" i="2"/>
  <c r="F170" i="2"/>
  <c r="F158" i="2"/>
  <c r="F154" i="2"/>
  <c r="F150" i="2"/>
  <c r="F144" i="2"/>
  <c r="F140" i="2"/>
  <c r="E404" i="2"/>
  <c r="E372" i="2"/>
  <c r="E173" i="2"/>
  <c r="E144" i="2"/>
  <c r="F126" i="2"/>
  <c r="F120" i="2"/>
  <c r="F110" i="2"/>
  <c r="F105" i="2"/>
  <c r="F68" i="2"/>
  <c r="F61" i="2"/>
  <c r="F53" i="2"/>
  <c r="F40" i="2"/>
  <c r="F35" i="2"/>
  <c r="F26" i="2"/>
  <c r="F30" i="2"/>
  <c r="F19" i="2"/>
  <c r="F11" i="2"/>
  <c r="E475" i="2"/>
  <c r="E474" i="2"/>
  <c r="E409" i="2"/>
  <c r="E363" i="2"/>
  <c r="E170" i="2"/>
  <c r="H409" i="2" l="1"/>
  <c r="G150" i="7"/>
  <c r="H198" i="29" s="1"/>
  <c r="I52" i="7"/>
  <c r="H82" i="29" s="1"/>
  <c r="I55" i="7"/>
  <c r="I71" i="7"/>
  <c r="H119" i="29" s="1"/>
  <c r="H144" i="2"/>
  <c r="H117" i="29"/>
  <c r="H225" i="2"/>
  <c r="H272" i="2"/>
  <c r="H322" i="2"/>
  <c r="F178" i="2"/>
  <c r="H516" i="2"/>
  <c r="H473" i="2"/>
  <c r="H154" i="2"/>
  <c r="H489" i="2"/>
  <c r="H456" i="2"/>
  <c r="H140" i="2"/>
  <c r="H11" i="2"/>
  <c r="H502" i="2"/>
  <c r="H537" i="2"/>
  <c r="H477" i="2"/>
  <c r="H445" i="2"/>
  <c r="H533" i="2"/>
  <c r="H520" i="2"/>
  <c r="H496" i="2"/>
  <c r="H440" i="2"/>
  <c r="H508" i="2"/>
  <c r="H462" i="2"/>
  <c r="H414" i="2"/>
  <c r="H26" i="2"/>
  <c r="E40" i="2"/>
  <c r="G40" i="2" s="1"/>
  <c r="H430" i="2"/>
  <c r="H424" i="2"/>
  <c r="H404" i="2"/>
  <c r="H366" i="2"/>
  <c r="H355" i="2"/>
  <c r="H305" i="2"/>
  <c r="H262" i="2"/>
  <c r="H245" i="2"/>
  <c r="H215" i="2"/>
  <c r="H173" i="2"/>
  <c r="H150" i="2"/>
  <c r="H120" i="2"/>
  <c r="H68" i="2"/>
  <c r="H61" i="2"/>
  <c r="H19" i="2"/>
  <c r="H205" i="2"/>
  <c r="H126" i="2"/>
  <c r="H40" i="2"/>
  <c r="F103" i="2"/>
  <c r="F487" i="2"/>
  <c r="E110" i="2"/>
  <c r="G110" i="2" s="1"/>
  <c r="F138" i="2"/>
  <c r="F412" i="2"/>
  <c r="H377" i="2"/>
  <c r="H372" i="2"/>
  <c r="H344" i="2"/>
  <c r="H158" i="2"/>
  <c r="H110" i="2"/>
  <c r="H105" i="2"/>
  <c r="H53" i="2"/>
  <c r="H35" i="2"/>
  <c r="H30" i="2"/>
  <c r="F9" i="2"/>
  <c r="F342" i="2"/>
  <c r="E366" i="2"/>
  <c r="G366" i="2" s="1"/>
  <c r="E126" i="2"/>
  <c r="G126" i="2" s="1"/>
  <c r="E140" i="2"/>
  <c r="E154" i="2"/>
  <c r="G154" i="2" s="1"/>
  <c r="E344" i="2"/>
  <c r="G344" i="2" s="1"/>
  <c r="E355" i="2"/>
  <c r="G355" i="2" s="1"/>
  <c r="E414" i="2"/>
  <c r="G414" i="2" s="1"/>
  <c r="E445" i="2"/>
  <c r="G445" i="2" s="1"/>
  <c r="E477" i="2"/>
  <c r="G477" i="2" s="1"/>
  <c r="E489" i="2"/>
  <c r="G489" i="2" s="1"/>
  <c r="E516" i="2"/>
  <c r="G516" i="2" s="1"/>
  <c r="E533" i="2"/>
  <c r="E377" i="2"/>
  <c r="G377" i="2" s="1"/>
  <c r="E262" i="2"/>
  <c r="G262" i="2" s="1"/>
  <c r="E150" i="2"/>
  <c r="E424" i="2"/>
  <c r="G424" i="2" s="1"/>
  <c r="E440" i="2"/>
  <c r="G440" i="2" s="1"/>
  <c r="E456" i="2"/>
  <c r="G456" i="2" s="1"/>
  <c r="E462" i="2"/>
  <c r="G462" i="2" s="1"/>
  <c r="E496" i="2"/>
  <c r="G496" i="2" s="1"/>
  <c r="E508" i="2"/>
  <c r="G508" i="2" s="1"/>
  <c r="E520" i="2"/>
  <c r="G520" i="2" s="1"/>
  <c r="E272" i="2"/>
  <c r="G272" i="2" s="1"/>
  <c r="E68" i="2"/>
  <c r="G68" i="2" s="1"/>
  <c r="E245" i="2"/>
  <c r="G245" i="2" s="1"/>
  <c r="E322" i="2"/>
  <c r="G322" i="2" s="1"/>
  <c r="E158" i="2"/>
  <c r="G158" i="2" s="1"/>
  <c r="E205" i="2"/>
  <c r="G205" i="2" s="1"/>
  <c r="E430" i="2"/>
  <c r="G430" i="2" s="1"/>
  <c r="E473" i="2"/>
  <c r="G473" i="2" s="1"/>
  <c r="E502" i="2"/>
  <c r="G502" i="2" s="1"/>
  <c r="E537" i="2"/>
  <c r="E180" i="2"/>
  <c r="G180" i="2" s="1"/>
  <c r="E225" i="2"/>
  <c r="G225" i="2" s="1"/>
  <c r="E305" i="2"/>
  <c r="G305" i="2" s="1"/>
  <c r="E26" i="2"/>
  <c r="G26" i="2" s="1"/>
  <c r="E215" i="2"/>
  <c r="E61" i="2"/>
  <c r="G61" i="2" s="1"/>
  <c r="E120" i="2"/>
  <c r="G120" i="2" s="1"/>
  <c r="E11" i="2"/>
  <c r="E19" i="2"/>
  <c r="G19" i="2" s="1"/>
  <c r="E35" i="2"/>
  <c r="G35" i="2" s="1"/>
  <c r="E53" i="2"/>
  <c r="G53" i="2" s="1"/>
  <c r="E105" i="2"/>
  <c r="E30" i="2"/>
  <c r="G30" i="2" s="1"/>
  <c r="G531" i="2"/>
  <c r="G530" i="2"/>
  <c r="G529" i="2"/>
  <c r="G528" i="2"/>
  <c r="G527" i="2"/>
  <c r="G526" i="2"/>
  <c r="G525" i="2"/>
  <c r="G524" i="2"/>
  <c r="G521" i="2"/>
  <c r="G518" i="2"/>
  <c r="G517" i="2"/>
  <c r="G513" i="2"/>
  <c r="G512" i="2"/>
  <c r="G511" i="2"/>
  <c r="G510" i="2"/>
  <c r="G506" i="2"/>
  <c r="G505" i="2"/>
  <c r="G504" i="2"/>
  <c r="G503" i="2"/>
  <c r="G500" i="2"/>
  <c r="G498" i="2"/>
  <c r="G494" i="2"/>
  <c r="G493" i="2"/>
  <c r="G485" i="2"/>
  <c r="G484" i="2"/>
  <c r="G483" i="2"/>
  <c r="G481" i="2"/>
  <c r="G480" i="2"/>
  <c r="G475" i="2"/>
  <c r="G474" i="2"/>
  <c r="G471" i="2"/>
  <c r="G469" i="2"/>
  <c r="G468" i="2"/>
  <c r="G467" i="2"/>
  <c r="G466" i="2"/>
  <c r="G463" i="2"/>
  <c r="G460" i="2"/>
  <c r="G459" i="2"/>
  <c r="G451" i="2"/>
  <c r="G447" i="2"/>
  <c r="G446" i="2"/>
  <c r="G442" i="2"/>
  <c r="G436" i="2"/>
  <c r="G435" i="2"/>
  <c r="G433" i="2"/>
  <c r="G432" i="2"/>
  <c r="G422" i="2"/>
  <c r="G421" i="2"/>
  <c r="G420" i="2"/>
  <c r="G410" i="2"/>
  <c r="G409" i="2"/>
  <c r="G407" i="2"/>
  <c r="G406" i="2"/>
  <c r="G404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2" i="2"/>
  <c r="G381" i="2"/>
  <c r="G380" i="2"/>
  <c r="G379" i="2"/>
  <c r="G378" i="2"/>
  <c r="G375" i="2"/>
  <c r="G374" i="2"/>
  <c r="G373" i="2"/>
  <c r="G372" i="2"/>
  <c r="G369" i="2"/>
  <c r="G368" i="2"/>
  <c r="G367" i="2"/>
  <c r="G363" i="2"/>
  <c r="G359" i="2"/>
  <c r="G358" i="2"/>
  <c r="G357" i="2"/>
  <c r="G353" i="2"/>
  <c r="G352" i="2"/>
  <c r="G351" i="2"/>
  <c r="G350" i="2"/>
  <c r="G349" i="2"/>
  <c r="G348" i="2"/>
  <c r="G347" i="2"/>
  <c r="G346" i="2"/>
  <c r="G340" i="2"/>
  <c r="G339" i="2"/>
  <c r="G338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0" i="2"/>
  <c r="G319" i="2"/>
  <c r="G317" i="2"/>
  <c r="G316" i="2"/>
  <c r="G314" i="2"/>
  <c r="G313" i="2"/>
  <c r="G312" i="2"/>
  <c r="G311" i="2"/>
  <c r="G310" i="2"/>
  <c r="G309" i="2"/>
  <c r="G308" i="2"/>
  <c r="G307" i="2"/>
  <c r="G303" i="2"/>
  <c r="G302" i="2"/>
  <c r="G300" i="2"/>
  <c r="G299" i="2"/>
  <c r="G298" i="2"/>
  <c r="G297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0" i="2"/>
  <c r="G269" i="2"/>
  <c r="G268" i="2"/>
  <c r="G267" i="2"/>
  <c r="G266" i="2"/>
  <c r="G265" i="2"/>
  <c r="G264" i="2"/>
  <c r="G263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3" i="2"/>
  <c r="G242" i="2"/>
  <c r="G241" i="2"/>
  <c r="G240" i="2"/>
  <c r="G239" i="2"/>
  <c r="G238" i="2"/>
  <c r="G237" i="2"/>
  <c r="G236" i="2"/>
  <c r="G234" i="2"/>
  <c r="G233" i="2"/>
  <c r="G231" i="2"/>
  <c r="G230" i="2"/>
  <c r="G228" i="2"/>
  <c r="G227" i="2"/>
  <c r="G223" i="2"/>
  <c r="G222" i="2"/>
  <c r="G220" i="2"/>
  <c r="G219" i="2"/>
  <c r="G210" i="2"/>
  <c r="G209" i="2"/>
  <c r="G207" i="2"/>
  <c r="G203" i="2"/>
  <c r="G202" i="2"/>
  <c r="G201" i="2"/>
  <c r="G200" i="2"/>
  <c r="G199" i="2"/>
  <c r="G198" i="2"/>
  <c r="G197" i="2"/>
  <c r="G195" i="2"/>
  <c r="G194" i="2"/>
  <c r="G193" i="2"/>
  <c r="G192" i="2"/>
  <c r="G191" i="2"/>
  <c r="G189" i="2"/>
  <c r="G188" i="2"/>
  <c r="G187" i="2"/>
  <c r="G186" i="2"/>
  <c r="G185" i="2"/>
  <c r="G184" i="2"/>
  <c r="G183" i="2"/>
  <c r="G182" i="2"/>
  <c r="G176" i="2"/>
  <c r="G175" i="2"/>
  <c r="G174" i="2"/>
  <c r="G173" i="2"/>
  <c r="G170" i="2"/>
  <c r="G168" i="2"/>
  <c r="G167" i="2"/>
  <c r="G166" i="2"/>
  <c r="G165" i="2"/>
  <c r="G164" i="2"/>
  <c r="G163" i="2"/>
  <c r="G162" i="2"/>
  <c r="G161" i="2"/>
  <c r="G160" i="2"/>
  <c r="G159" i="2"/>
  <c r="G156" i="2"/>
  <c r="G155" i="2"/>
  <c r="G152" i="2"/>
  <c r="G151" i="2"/>
  <c r="G148" i="2"/>
  <c r="G147" i="2"/>
  <c r="G146" i="2"/>
  <c r="G144" i="2"/>
  <c r="G135" i="2"/>
  <c r="G134" i="2"/>
  <c r="G133" i="2"/>
  <c r="G132" i="2"/>
  <c r="G131" i="2"/>
  <c r="G130" i="2"/>
  <c r="G129" i="2"/>
  <c r="G128" i="2"/>
  <c r="G127" i="2"/>
  <c r="G123" i="2"/>
  <c r="G118" i="2"/>
  <c r="G116" i="2"/>
  <c r="G115" i="2"/>
  <c r="G114" i="2"/>
  <c r="G113" i="2"/>
  <c r="G112" i="2"/>
  <c r="G111" i="2"/>
  <c r="G106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5" i="2"/>
  <c r="G74" i="2"/>
  <c r="G73" i="2"/>
  <c r="G72" i="2"/>
  <c r="G71" i="2"/>
  <c r="G70" i="2"/>
  <c r="G69" i="2"/>
  <c r="G66" i="2"/>
  <c r="G65" i="2"/>
  <c r="G64" i="2"/>
  <c r="G58" i="2"/>
  <c r="G57" i="2"/>
  <c r="G55" i="2"/>
  <c r="G54" i="2"/>
  <c r="G51" i="2"/>
  <c r="G50" i="2"/>
  <c r="G49" i="2"/>
  <c r="G48" i="2"/>
  <c r="G47" i="2"/>
  <c r="G46" i="2"/>
  <c r="G45" i="2"/>
  <c r="G44" i="2"/>
  <c r="G43" i="2"/>
  <c r="G42" i="2"/>
  <c r="G41" i="2"/>
  <c r="G38" i="2"/>
  <c r="G37" i="2"/>
  <c r="G36" i="2"/>
  <c r="G33" i="2"/>
  <c r="G31" i="2"/>
  <c r="G28" i="2"/>
  <c r="G27" i="2"/>
  <c r="G24" i="2"/>
  <c r="G23" i="2"/>
  <c r="G22" i="2"/>
  <c r="G16" i="2"/>
  <c r="G15" i="2"/>
  <c r="G13" i="2"/>
  <c r="G534" i="2"/>
  <c r="G535" i="2"/>
  <c r="G538" i="2"/>
  <c r="G539" i="2"/>
  <c r="G14" i="2"/>
  <c r="G17" i="2"/>
  <c r="G20" i="2"/>
  <c r="G21" i="2"/>
  <c r="G32" i="2"/>
  <c r="G56" i="2"/>
  <c r="G59" i="2"/>
  <c r="G62" i="2"/>
  <c r="G63" i="2"/>
  <c r="G76" i="2"/>
  <c r="G107" i="2"/>
  <c r="G108" i="2"/>
  <c r="G117" i="2"/>
  <c r="G121" i="2"/>
  <c r="G122" i="2"/>
  <c r="G124" i="2"/>
  <c r="G136" i="2"/>
  <c r="G141" i="2"/>
  <c r="G142" i="2"/>
  <c r="G145" i="2"/>
  <c r="G171" i="2"/>
  <c r="G181" i="2"/>
  <c r="G190" i="2"/>
  <c r="G196" i="2"/>
  <c r="G206" i="2"/>
  <c r="G208" i="2"/>
  <c r="G211" i="2"/>
  <c r="G212" i="2"/>
  <c r="G213" i="2"/>
  <c r="G216" i="2"/>
  <c r="G217" i="2"/>
  <c r="G218" i="2"/>
  <c r="G221" i="2"/>
  <c r="G226" i="2"/>
  <c r="G229" i="2"/>
  <c r="G232" i="2"/>
  <c r="G235" i="2"/>
  <c r="G296" i="2"/>
  <c r="G301" i="2"/>
  <c r="G306" i="2"/>
  <c r="G315" i="2"/>
  <c r="G318" i="2"/>
  <c r="G323" i="2"/>
  <c r="G337" i="2"/>
  <c r="G345" i="2"/>
  <c r="G356" i="2"/>
  <c r="G360" i="2"/>
  <c r="G361" i="2"/>
  <c r="G364" i="2"/>
  <c r="G370" i="2"/>
  <c r="G383" i="2"/>
  <c r="G405" i="2"/>
  <c r="G415" i="2"/>
  <c r="G416" i="2"/>
  <c r="G417" i="2"/>
  <c r="G418" i="2"/>
  <c r="G419" i="2"/>
  <c r="G425" i="2"/>
  <c r="G426" i="2"/>
  <c r="G427" i="2"/>
  <c r="G428" i="2"/>
  <c r="G431" i="2"/>
  <c r="G434" i="2"/>
  <c r="G437" i="2"/>
  <c r="G438" i="2"/>
  <c r="G441" i="2"/>
  <c r="G443" i="2"/>
  <c r="G448" i="2"/>
  <c r="G449" i="2"/>
  <c r="G450" i="2"/>
  <c r="G452" i="2"/>
  <c r="G453" i="2"/>
  <c r="G454" i="2"/>
  <c r="G457" i="2"/>
  <c r="G458" i="2"/>
  <c r="G464" i="2"/>
  <c r="G465" i="2"/>
  <c r="G470" i="2"/>
  <c r="G478" i="2"/>
  <c r="G479" i="2"/>
  <c r="G65" i="10" s="1"/>
  <c r="D53" i="33" s="1"/>
  <c r="G482" i="2"/>
  <c r="G490" i="2"/>
  <c r="G491" i="2"/>
  <c r="G492" i="2"/>
  <c r="G497" i="2"/>
  <c r="G499" i="2"/>
  <c r="G509" i="2"/>
  <c r="G514" i="2"/>
  <c r="G522" i="2"/>
  <c r="G523" i="2"/>
  <c r="B6" i="64"/>
  <c r="H105" i="29" l="1"/>
  <c r="I105" i="29" s="1"/>
  <c r="H86" i="29"/>
  <c r="I86" i="29" s="1"/>
  <c r="H180" i="2"/>
  <c r="H9" i="2"/>
  <c r="G140" i="2"/>
  <c r="E138" i="2"/>
  <c r="G138" i="2" s="1"/>
  <c r="E103" i="2"/>
  <c r="G103" i="2" s="1"/>
  <c r="E9" i="2"/>
  <c r="H487" i="2"/>
  <c r="H138" i="2"/>
  <c r="F541" i="2"/>
  <c r="H103" i="2"/>
  <c r="H412" i="2"/>
  <c r="H342" i="2"/>
  <c r="E342" i="2"/>
  <c r="G342" i="2" s="1"/>
  <c r="E412" i="2"/>
  <c r="E487" i="2"/>
  <c r="G150" i="2"/>
  <c r="E178" i="2"/>
  <c r="G178" i="2" s="1"/>
  <c r="G215" i="2"/>
  <c r="G11" i="2"/>
  <c r="G105" i="2"/>
  <c r="G26" i="7"/>
  <c r="G165" i="7"/>
  <c r="H209" i="29" s="1"/>
  <c r="I209" i="29" s="1"/>
  <c r="F128" i="7"/>
  <c r="Y4" i="23" s="1"/>
  <c r="H177" i="29"/>
  <c r="I177" i="29" s="1"/>
  <c r="G57" i="44"/>
  <c r="D93" i="46" s="1"/>
  <c r="G65" i="44"/>
  <c r="D110" i="46" s="1"/>
  <c r="H18" i="10"/>
  <c r="H53" i="51"/>
  <c r="E43" i="53" s="1"/>
  <c r="H30" i="45"/>
  <c r="E21" i="47" s="1"/>
  <c r="H13" i="10"/>
  <c r="H63" i="51"/>
  <c r="E52" i="53" s="1"/>
  <c r="H57" i="10"/>
  <c r="H55" i="10"/>
  <c r="E44" i="33" s="1"/>
  <c r="F44" i="33" s="1"/>
  <c r="H29" i="51"/>
  <c r="E20" i="53" s="1"/>
  <c r="H32" i="10"/>
  <c r="E23" i="33" s="1"/>
  <c r="F23" i="33" s="1"/>
  <c r="H26" i="51"/>
  <c r="E17" i="53" s="1"/>
  <c r="H8" i="51"/>
  <c r="E4" i="53" s="1"/>
  <c r="G134" i="50"/>
  <c r="H180" i="52" s="1"/>
  <c r="G123" i="50"/>
  <c r="H169" i="52" s="1"/>
  <c r="G115" i="44"/>
  <c r="G96" i="50"/>
  <c r="H148" i="52" s="1"/>
  <c r="I83" i="50"/>
  <c r="H142" i="52" s="1"/>
  <c r="G144" i="50"/>
  <c r="H189" i="52" s="1"/>
  <c r="I74" i="44"/>
  <c r="H128" i="46" s="1"/>
  <c r="I49" i="7"/>
  <c r="B7" i="24"/>
  <c r="E10" i="24" s="1"/>
  <c r="F13" i="23" s="1"/>
  <c r="F134" i="50"/>
  <c r="G180" i="52" s="1"/>
  <c r="F127" i="7"/>
  <c r="F115" i="44"/>
  <c r="G164" i="46" s="1"/>
  <c r="F114" i="50"/>
  <c r="G163" i="52" s="1"/>
  <c r="F31" i="44"/>
  <c r="D45" i="46" s="1"/>
  <c r="F56" i="7"/>
  <c r="F145" i="7"/>
  <c r="F132" i="7"/>
  <c r="G44" i="10"/>
  <c r="F65" i="7"/>
  <c r="H88" i="29"/>
  <c r="G145" i="7"/>
  <c r="G132" i="7"/>
  <c r="I21" i="7"/>
  <c r="I65" i="7"/>
  <c r="A123" i="2"/>
  <c r="G12" i="2"/>
  <c r="F15" i="7"/>
  <c r="D10" i="29" s="1"/>
  <c r="F17" i="7"/>
  <c r="F19" i="50"/>
  <c r="D20" i="52" s="1"/>
  <c r="F27" i="7"/>
  <c r="F28" i="7"/>
  <c r="F25" i="44"/>
  <c r="F20" i="7"/>
  <c r="F41" i="7"/>
  <c r="F21" i="7"/>
  <c r="F32" i="44"/>
  <c r="D47" i="46" s="1"/>
  <c r="F42" i="7"/>
  <c r="F35" i="7"/>
  <c r="F37" i="50"/>
  <c r="D55" i="52" s="1"/>
  <c r="F38" i="7"/>
  <c r="G24" i="7"/>
  <c r="G28" i="50"/>
  <c r="D40" i="52" s="1"/>
  <c r="G21" i="44"/>
  <c r="D25" i="46" s="1"/>
  <c r="G31" i="50"/>
  <c r="D46" i="52" s="1"/>
  <c r="G21" i="7"/>
  <c r="G32" i="44"/>
  <c r="D48" i="46" s="1"/>
  <c r="G42" i="7"/>
  <c r="D67" i="29" s="1"/>
  <c r="G35" i="7"/>
  <c r="G39" i="44"/>
  <c r="D60" i="46" s="1"/>
  <c r="F32" i="7"/>
  <c r="G32" i="7"/>
  <c r="F52" i="50"/>
  <c r="G47" i="7"/>
  <c r="G49" i="7"/>
  <c r="G50" i="7"/>
  <c r="F76" i="7"/>
  <c r="H76" i="7" s="1"/>
  <c r="G77" i="44"/>
  <c r="D135" i="46" s="1"/>
  <c r="F52" i="7"/>
  <c r="F69" i="50"/>
  <c r="F151" i="7"/>
  <c r="F66" i="7"/>
  <c r="F67" i="50"/>
  <c r="D113" i="52" s="1"/>
  <c r="F57" i="7"/>
  <c r="D90" i="29" s="1"/>
  <c r="F58" i="7"/>
  <c r="F101" i="7"/>
  <c r="G156" i="29" s="1"/>
  <c r="F82" i="50"/>
  <c r="F163" i="7"/>
  <c r="F164" i="7"/>
  <c r="F165" i="7"/>
  <c r="F166" i="7"/>
  <c r="F84" i="7"/>
  <c r="F85" i="7"/>
  <c r="G52" i="7"/>
  <c r="G66" i="50"/>
  <c r="D112" i="52" s="1"/>
  <c r="G57" i="7"/>
  <c r="G67" i="7"/>
  <c r="G58" i="7"/>
  <c r="G68" i="7"/>
  <c r="G59" i="7"/>
  <c r="G71" i="7"/>
  <c r="G60" i="7"/>
  <c r="G70" i="50"/>
  <c r="D120" i="52" s="1"/>
  <c r="G69" i="7"/>
  <c r="F101" i="44"/>
  <c r="G152" i="46" s="1"/>
  <c r="F105" i="7"/>
  <c r="F107" i="7"/>
  <c r="F105" i="44"/>
  <c r="G156" i="46" s="1"/>
  <c r="F106" i="50"/>
  <c r="G157" i="52" s="1"/>
  <c r="F100" i="7"/>
  <c r="F113" i="7"/>
  <c r="F122" i="50"/>
  <c r="G168" i="52" s="1"/>
  <c r="F125" i="7"/>
  <c r="F158" i="7"/>
  <c r="F134" i="7"/>
  <c r="F135" i="7"/>
  <c r="G183" i="29" s="1"/>
  <c r="F131" i="44"/>
  <c r="G177" i="46" s="1"/>
  <c r="F133" i="7"/>
  <c r="F132" i="50"/>
  <c r="G178" i="52" s="1"/>
  <c r="F131" i="7"/>
  <c r="F136" i="44"/>
  <c r="G182" i="46" s="1"/>
  <c r="G25" i="45"/>
  <c r="D16" i="47" s="1"/>
  <c r="L15" i="23"/>
  <c r="L25" i="23" s="1"/>
  <c r="C16" i="24"/>
  <c r="G40" i="45"/>
  <c r="D29" i="47" s="1"/>
  <c r="G50" i="51"/>
  <c r="D40" i="53" s="1"/>
  <c r="G48" i="10"/>
  <c r="D37" i="33" s="1"/>
  <c r="G75" i="10"/>
  <c r="G72" i="51"/>
  <c r="D58" i="53" s="1"/>
  <c r="G35" i="51"/>
  <c r="D26" i="53" s="1"/>
  <c r="G58" i="45"/>
  <c r="D48" i="47" s="1"/>
  <c r="C17" i="24"/>
  <c r="G40" i="10"/>
  <c r="D29" i="33" s="1"/>
  <c r="G49" i="10"/>
  <c r="G44" i="51"/>
  <c r="D34" i="53" s="1"/>
  <c r="G45" i="45"/>
  <c r="D35" i="47" s="1"/>
  <c r="G46" i="51"/>
  <c r="D36" i="53" s="1"/>
  <c r="G55" i="45"/>
  <c r="D45" i="47" s="1"/>
  <c r="G34" i="51"/>
  <c r="D25" i="53" s="1"/>
  <c r="G57" i="51"/>
  <c r="D47" i="53" s="1"/>
  <c r="G125" i="7"/>
  <c r="H174" i="29" s="1"/>
  <c r="I174" i="29" s="1"/>
  <c r="Y3" i="23"/>
  <c r="I48" i="7"/>
  <c r="I50" i="7"/>
  <c r="H78" i="29" s="1"/>
  <c r="I78" i="29" s="1"/>
  <c r="I58" i="7"/>
  <c r="H92" i="29" s="1"/>
  <c r="I92" i="29" s="1"/>
  <c r="I59" i="7"/>
  <c r="I60" i="7"/>
  <c r="H99" i="29" s="1"/>
  <c r="I99" i="29" s="1"/>
  <c r="I61" i="7"/>
  <c r="I66" i="7"/>
  <c r="I67" i="7"/>
  <c r="I68" i="7"/>
  <c r="I69" i="7"/>
  <c r="G131" i="7"/>
  <c r="G133" i="7"/>
  <c r="G134" i="7"/>
  <c r="G135" i="7"/>
  <c r="G136" i="7"/>
  <c r="G137" i="7"/>
  <c r="H185" i="29" s="1"/>
  <c r="I185" i="29" s="1"/>
  <c r="G138" i="7"/>
  <c r="G140" i="7"/>
  <c r="G141" i="7"/>
  <c r="G147" i="7"/>
  <c r="H195" i="29" s="1"/>
  <c r="I195" i="29" s="1"/>
  <c r="G148" i="7"/>
  <c r="G149" i="7"/>
  <c r="I197" i="29" s="1"/>
  <c r="G151" i="7"/>
  <c r="G153" i="7"/>
  <c r="I82" i="7"/>
  <c r="I83" i="7"/>
  <c r="I84" i="7"/>
  <c r="H142" i="29" s="1"/>
  <c r="I142" i="29" s="1"/>
  <c r="I85" i="7"/>
  <c r="G163" i="7"/>
  <c r="G164" i="7"/>
  <c r="G166" i="7"/>
  <c r="I24" i="7"/>
  <c r="I27" i="7"/>
  <c r="I28" i="7"/>
  <c r="I29" i="7"/>
  <c r="H39" i="29" s="1"/>
  <c r="I39" i="29" s="1"/>
  <c r="I31" i="7"/>
  <c r="H43" i="29" s="1"/>
  <c r="I43" i="29" s="1"/>
  <c r="I32" i="7"/>
  <c r="I14" i="7"/>
  <c r="I15" i="7"/>
  <c r="I17" i="7"/>
  <c r="H14" i="29" s="1"/>
  <c r="I16" i="29" s="1"/>
  <c r="I18" i="7"/>
  <c r="H16" i="29" s="1"/>
  <c r="I18" i="29" s="1"/>
  <c r="I20" i="7"/>
  <c r="I35" i="7"/>
  <c r="I36" i="7"/>
  <c r="H51" i="29" s="1"/>
  <c r="I51" i="29" s="1"/>
  <c r="I37" i="7"/>
  <c r="H53" i="29" s="1"/>
  <c r="I53" i="29" s="1"/>
  <c r="I38" i="7"/>
  <c r="H55" i="29" s="1"/>
  <c r="I55" i="29" s="1"/>
  <c r="I39" i="7"/>
  <c r="I40" i="7"/>
  <c r="H59" i="29" s="1"/>
  <c r="I59" i="29" s="1"/>
  <c r="I41" i="7"/>
  <c r="I42" i="7"/>
  <c r="H66" i="29" s="1"/>
  <c r="I66" i="29" s="1"/>
  <c r="G99" i="7"/>
  <c r="G100" i="7"/>
  <c r="G101" i="7"/>
  <c r="H156" i="29" s="1"/>
  <c r="I156" i="29" s="1"/>
  <c r="G104" i="7"/>
  <c r="G105" i="7"/>
  <c r="G106" i="7"/>
  <c r="H160" i="29" s="1"/>
  <c r="I160" i="29" s="1"/>
  <c r="G107" i="7"/>
  <c r="H161" i="29" s="1"/>
  <c r="I161" i="29" s="1"/>
  <c r="G108" i="7"/>
  <c r="G109" i="7"/>
  <c r="G158" i="7"/>
  <c r="G159" i="7"/>
  <c r="H205" i="29" s="1"/>
  <c r="I205" i="29" s="1"/>
  <c r="G155" i="7"/>
  <c r="I202" i="29" s="1"/>
  <c r="I75" i="7"/>
  <c r="D26" i="24"/>
  <c r="D27" i="24"/>
  <c r="I76" i="7"/>
  <c r="I77" i="7"/>
  <c r="H132" i="29" s="1"/>
  <c r="I132" i="29" s="1"/>
  <c r="I78" i="7"/>
  <c r="G112" i="7"/>
  <c r="G113" i="7"/>
  <c r="H166" i="29" s="1"/>
  <c r="G114" i="7"/>
  <c r="G117" i="7"/>
  <c r="M6" i="23"/>
  <c r="M26" i="23" s="1"/>
  <c r="M33" i="23" s="1"/>
  <c r="Q6" i="23"/>
  <c r="Q55" i="23" s="1"/>
  <c r="AB6" i="23"/>
  <c r="AB28" i="23" s="1"/>
  <c r="AB33" i="23" s="1"/>
  <c r="AE6" i="23"/>
  <c r="D13" i="23"/>
  <c r="C10" i="23"/>
  <c r="C18" i="23"/>
  <c r="C20" i="23"/>
  <c r="C22" i="23"/>
  <c r="C23" i="23"/>
  <c r="J25" i="23"/>
  <c r="K25" i="23"/>
  <c r="M25" i="23"/>
  <c r="N25" i="23"/>
  <c r="O25" i="23"/>
  <c r="Q25" i="23"/>
  <c r="R25" i="23"/>
  <c r="S25" i="23"/>
  <c r="T25" i="23"/>
  <c r="U25" i="23"/>
  <c r="V25" i="23"/>
  <c r="Z25" i="23"/>
  <c r="AA25" i="23"/>
  <c r="AB25" i="23"/>
  <c r="AE25" i="23"/>
  <c r="C27" i="23"/>
  <c r="C29" i="23"/>
  <c r="C32" i="23"/>
  <c r="D33" i="23"/>
  <c r="E33" i="23"/>
  <c r="F33" i="23"/>
  <c r="G33" i="23"/>
  <c r="H33" i="23"/>
  <c r="I33" i="23"/>
  <c r="N33" i="23"/>
  <c r="P33" i="23"/>
  <c r="Q33" i="23"/>
  <c r="R33" i="23"/>
  <c r="S33" i="23"/>
  <c r="T33" i="23"/>
  <c r="U33" i="23"/>
  <c r="V33" i="23"/>
  <c r="W33" i="23"/>
  <c r="X33" i="23"/>
  <c r="Y33" i="23"/>
  <c r="AC33" i="23"/>
  <c r="AD33" i="23"/>
  <c r="AE33" i="23"/>
  <c r="AF33" i="23"/>
  <c r="C34" i="23"/>
  <c r="C35" i="23"/>
  <c r="F38" i="23"/>
  <c r="C38" i="23" s="1"/>
  <c r="C39" i="23"/>
  <c r="D40" i="23"/>
  <c r="E40" i="23"/>
  <c r="G40" i="23"/>
  <c r="I40" i="23"/>
  <c r="J40" i="23"/>
  <c r="K40" i="23"/>
  <c r="L40" i="23"/>
  <c r="M40" i="23"/>
  <c r="N40" i="23"/>
  <c r="O40" i="23"/>
  <c r="P40" i="23"/>
  <c r="Q40" i="23"/>
  <c r="R40" i="23"/>
  <c r="S40" i="23"/>
  <c r="T40" i="23"/>
  <c r="U40" i="23"/>
  <c r="V40" i="23"/>
  <c r="W40" i="23"/>
  <c r="X40" i="23"/>
  <c r="Y40" i="23"/>
  <c r="Z40" i="23"/>
  <c r="AA40" i="23"/>
  <c r="AB40" i="23"/>
  <c r="AC40" i="23"/>
  <c r="AD40" i="23"/>
  <c r="AE40" i="23"/>
  <c r="AF40" i="23"/>
  <c r="C41" i="23"/>
  <c r="C42" i="23"/>
  <c r="C43" i="23"/>
  <c r="C44" i="23"/>
  <c r="C45" i="23"/>
  <c r="C46" i="23"/>
  <c r="C47" i="23"/>
  <c r="C48" i="23"/>
  <c r="C53" i="23" s="1"/>
  <c r="C49" i="23"/>
  <c r="C50" i="23"/>
  <c r="C51" i="23"/>
  <c r="C52" i="23"/>
  <c r="D53" i="23"/>
  <c r="E53" i="23"/>
  <c r="F53" i="23"/>
  <c r="G53" i="23"/>
  <c r="H53" i="23"/>
  <c r="I53" i="23"/>
  <c r="J53" i="23"/>
  <c r="K53" i="23"/>
  <c r="L53" i="23"/>
  <c r="M53" i="23"/>
  <c r="N53" i="23"/>
  <c r="O53" i="23"/>
  <c r="P53" i="23"/>
  <c r="Q53" i="23"/>
  <c r="R53" i="23"/>
  <c r="S53" i="23"/>
  <c r="T53" i="23"/>
  <c r="U53" i="23"/>
  <c r="V53" i="23"/>
  <c r="W53" i="23"/>
  <c r="X53" i="23"/>
  <c r="Y53" i="23"/>
  <c r="Z53" i="23"/>
  <c r="AA53" i="23"/>
  <c r="AB53" i="23"/>
  <c r="AC53" i="23"/>
  <c r="AD53" i="23"/>
  <c r="AE53" i="23"/>
  <c r="AF53" i="23"/>
  <c r="C57" i="23"/>
  <c r="C58" i="23"/>
  <c r="D59" i="23"/>
  <c r="E59" i="23"/>
  <c r="F59" i="23"/>
  <c r="G59" i="23"/>
  <c r="H59" i="23"/>
  <c r="I59" i="23"/>
  <c r="J59" i="23"/>
  <c r="K59" i="23"/>
  <c r="L59" i="23"/>
  <c r="M59" i="23"/>
  <c r="N59" i="23"/>
  <c r="O59" i="23"/>
  <c r="P59" i="23"/>
  <c r="R59" i="23"/>
  <c r="S59" i="23"/>
  <c r="T59" i="23"/>
  <c r="U59" i="23"/>
  <c r="V59" i="23"/>
  <c r="W59" i="23"/>
  <c r="X59" i="23"/>
  <c r="Y59" i="23"/>
  <c r="Z59" i="23"/>
  <c r="AA59" i="23"/>
  <c r="AB59" i="23"/>
  <c r="AC59" i="23"/>
  <c r="AD59" i="23"/>
  <c r="AF59" i="23"/>
  <c r="C60" i="23"/>
  <c r="C61" i="23"/>
  <c r="D62" i="23"/>
  <c r="E62" i="23"/>
  <c r="F62" i="23"/>
  <c r="G62" i="23"/>
  <c r="H62" i="23"/>
  <c r="I62" i="23"/>
  <c r="J62" i="23"/>
  <c r="K62" i="23"/>
  <c r="L62" i="23"/>
  <c r="M62" i="23"/>
  <c r="N62" i="23"/>
  <c r="O62" i="23"/>
  <c r="P62" i="23"/>
  <c r="Q62" i="23"/>
  <c r="R62" i="23"/>
  <c r="S62" i="23"/>
  <c r="T62" i="23"/>
  <c r="U62" i="23"/>
  <c r="V62" i="23"/>
  <c r="W62" i="23"/>
  <c r="X62" i="23"/>
  <c r="Y62" i="23"/>
  <c r="Z62" i="23"/>
  <c r="AA62" i="23"/>
  <c r="AB62" i="23"/>
  <c r="AC62" i="23"/>
  <c r="AD62" i="23"/>
  <c r="AE62" i="23"/>
  <c r="AF62" i="23"/>
  <c r="C64" i="23"/>
  <c r="C65" i="23"/>
  <c r="D66" i="23"/>
  <c r="E66" i="23"/>
  <c r="F66" i="23"/>
  <c r="G66" i="23"/>
  <c r="H66" i="23"/>
  <c r="I66" i="23"/>
  <c r="J66" i="23"/>
  <c r="K66" i="23"/>
  <c r="L66" i="23"/>
  <c r="M66" i="23"/>
  <c r="N66" i="23"/>
  <c r="O66" i="23"/>
  <c r="P66" i="23"/>
  <c r="Q66" i="23"/>
  <c r="R66" i="23"/>
  <c r="S66" i="23"/>
  <c r="T66" i="23"/>
  <c r="U66" i="23"/>
  <c r="V66" i="23"/>
  <c r="W66" i="23"/>
  <c r="X66" i="23"/>
  <c r="Y66" i="23"/>
  <c r="Z66" i="23"/>
  <c r="AA66" i="23"/>
  <c r="AB66" i="23"/>
  <c r="AC66" i="23"/>
  <c r="AD66" i="23"/>
  <c r="AE66" i="23"/>
  <c r="AF66" i="23"/>
  <c r="C67" i="23"/>
  <c r="D70" i="23"/>
  <c r="E70" i="23"/>
  <c r="G70" i="23"/>
  <c r="I70" i="23"/>
  <c r="J70" i="23"/>
  <c r="K70" i="23"/>
  <c r="L70" i="23"/>
  <c r="M70" i="23"/>
  <c r="N70" i="23"/>
  <c r="O70" i="23"/>
  <c r="P70" i="23"/>
  <c r="Q70" i="23"/>
  <c r="R70" i="23"/>
  <c r="S70" i="23"/>
  <c r="T70" i="23"/>
  <c r="U70" i="23"/>
  <c r="V70" i="23"/>
  <c r="W70" i="23"/>
  <c r="X70" i="23"/>
  <c r="Y70" i="23"/>
  <c r="Z70" i="23"/>
  <c r="AA70" i="23"/>
  <c r="AB70" i="23"/>
  <c r="AC70" i="23"/>
  <c r="AD70" i="23"/>
  <c r="AE70" i="23"/>
  <c r="AF70" i="23"/>
  <c r="C71" i="23"/>
  <c r="C72" i="23"/>
  <c r="D73" i="23"/>
  <c r="E73" i="23"/>
  <c r="F73" i="23"/>
  <c r="G73" i="23"/>
  <c r="H73" i="23"/>
  <c r="I73" i="23"/>
  <c r="J73" i="23"/>
  <c r="K73" i="23"/>
  <c r="L73" i="23"/>
  <c r="M73" i="23"/>
  <c r="N73" i="23"/>
  <c r="O73" i="23"/>
  <c r="P73" i="23"/>
  <c r="Q73" i="23"/>
  <c r="R73" i="23"/>
  <c r="S73" i="23"/>
  <c r="T73" i="23"/>
  <c r="U73" i="23"/>
  <c r="V73" i="23"/>
  <c r="W73" i="23"/>
  <c r="X73" i="23"/>
  <c r="Y73" i="23"/>
  <c r="Z73" i="23"/>
  <c r="AA73" i="23"/>
  <c r="AB73" i="23"/>
  <c r="AC73" i="23"/>
  <c r="AD73" i="23"/>
  <c r="AE73" i="23"/>
  <c r="AF73" i="23"/>
  <c r="C74" i="23"/>
  <c r="C76" i="23" s="1"/>
  <c r="C75" i="23"/>
  <c r="D76" i="23"/>
  <c r="E76" i="23"/>
  <c r="F76" i="23"/>
  <c r="G76" i="23"/>
  <c r="H76" i="23"/>
  <c r="I76" i="23"/>
  <c r="J76" i="23"/>
  <c r="K76" i="23"/>
  <c r="L76" i="23"/>
  <c r="M76" i="23"/>
  <c r="N76" i="23"/>
  <c r="O76" i="23"/>
  <c r="P76" i="23"/>
  <c r="Q76" i="23"/>
  <c r="R76" i="23"/>
  <c r="S76" i="23"/>
  <c r="T76" i="23"/>
  <c r="U76" i="23"/>
  <c r="V76" i="23"/>
  <c r="W76" i="23"/>
  <c r="X76" i="23"/>
  <c r="Y76" i="23"/>
  <c r="Z76" i="23"/>
  <c r="AA76" i="23"/>
  <c r="AB76" i="23"/>
  <c r="AC76" i="23"/>
  <c r="AD76" i="23"/>
  <c r="AE76" i="23"/>
  <c r="AF76" i="23"/>
  <c r="C77" i="23"/>
  <c r="C78" i="23"/>
  <c r="D79" i="23"/>
  <c r="E79" i="23"/>
  <c r="F79" i="23"/>
  <c r="G79" i="23"/>
  <c r="H79" i="23"/>
  <c r="I79" i="23"/>
  <c r="J79" i="23"/>
  <c r="K79" i="23"/>
  <c r="L79" i="23"/>
  <c r="M79" i="23"/>
  <c r="N79" i="23"/>
  <c r="O79" i="23"/>
  <c r="P79" i="23"/>
  <c r="Q79" i="23"/>
  <c r="R79" i="23"/>
  <c r="S79" i="23"/>
  <c r="S88" i="23" s="1"/>
  <c r="T79" i="23"/>
  <c r="U79" i="23"/>
  <c r="V79" i="23"/>
  <c r="W79" i="23"/>
  <c r="X79" i="23"/>
  <c r="Y79" i="23"/>
  <c r="Z79" i="23"/>
  <c r="AA79" i="23"/>
  <c r="AB79" i="23"/>
  <c r="AC79" i="23"/>
  <c r="AD79" i="23"/>
  <c r="AE79" i="23"/>
  <c r="AF79" i="23"/>
  <c r="C80" i="23"/>
  <c r="C81" i="23"/>
  <c r="C82" i="23"/>
  <c r="C83" i="23"/>
  <c r="C84" i="23"/>
  <c r="C85" i="23"/>
  <c r="D86" i="23"/>
  <c r="E86" i="23"/>
  <c r="F86" i="23"/>
  <c r="G86" i="23"/>
  <c r="H86" i="23"/>
  <c r="I86" i="23"/>
  <c r="J86" i="23"/>
  <c r="K86" i="23"/>
  <c r="L86" i="23"/>
  <c r="M86" i="23"/>
  <c r="N86" i="23"/>
  <c r="O86" i="23"/>
  <c r="P86" i="23"/>
  <c r="Q86" i="23"/>
  <c r="R86" i="23"/>
  <c r="S86" i="23"/>
  <c r="T86" i="23"/>
  <c r="U86" i="23"/>
  <c r="V86" i="23"/>
  <c r="W86" i="23"/>
  <c r="X86" i="23"/>
  <c r="Y86" i="23"/>
  <c r="Z86" i="23"/>
  <c r="AA86" i="23"/>
  <c r="AB86" i="23"/>
  <c r="AC86" i="23"/>
  <c r="AD86" i="23"/>
  <c r="AE86" i="23"/>
  <c r="AF86" i="23"/>
  <c r="C87" i="23"/>
  <c r="C90" i="23"/>
  <c r="C91" i="23"/>
  <c r="C92" i="23"/>
  <c r="C93" i="23"/>
  <c r="C94" i="23"/>
  <c r="C95" i="23"/>
  <c r="C96" i="23"/>
  <c r="D97" i="23"/>
  <c r="E97" i="23"/>
  <c r="F97" i="23"/>
  <c r="G97" i="23"/>
  <c r="G114" i="23" s="1"/>
  <c r="H97" i="23"/>
  <c r="I97" i="23"/>
  <c r="J97" i="23"/>
  <c r="K97" i="23"/>
  <c r="L97" i="23"/>
  <c r="M97" i="23"/>
  <c r="N97" i="23"/>
  <c r="O97" i="23"/>
  <c r="P97" i="23"/>
  <c r="Q97" i="23"/>
  <c r="R97" i="23"/>
  <c r="S97" i="23"/>
  <c r="T97" i="23"/>
  <c r="U97" i="23"/>
  <c r="V97" i="23"/>
  <c r="W97" i="23"/>
  <c r="X97" i="23"/>
  <c r="Y97" i="23"/>
  <c r="Z97" i="23"/>
  <c r="AA97" i="23"/>
  <c r="AB97" i="23"/>
  <c r="AC97" i="23"/>
  <c r="AD97" i="23"/>
  <c r="AE97" i="23"/>
  <c r="AF97" i="23"/>
  <c r="C98" i="23"/>
  <c r="C99" i="23"/>
  <c r="C100" i="23"/>
  <c r="C101" i="23"/>
  <c r="C102" i="23"/>
  <c r="C103" i="23"/>
  <c r="D104" i="23"/>
  <c r="E104" i="23"/>
  <c r="F104" i="23"/>
  <c r="G104" i="23"/>
  <c r="H104" i="23"/>
  <c r="I104" i="23"/>
  <c r="J104" i="23"/>
  <c r="K104" i="23"/>
  <c r="L104" i="23"/>
  <c r="M104" i="23"/>
  <c r="N104" i="23"/>
  <c r="O104" i="23"/>
  <c r="P104" i="23"/>
  <c r="Q104" i="23"/>
  <c r="R104" i="23"/>
  <c r="S104" i="23"/>
  <c r="T104" i="23"/>
  <c r="U104" i="23"/>
  <c r="V104" i="23"/>
  <c r="W104" i="23"/>
  <c r="X104" i="23"/>
  <c r="Y104" i="23"/>
  <c r="Z104" i="23"/>
  <c r="AA104" i="23"/>
  <c r="AB104" i="23"/>
  <c r="AC104" i="23"/>
  <c r="AD104" i="23"/>
  <c r="AE104" i="23"/>
  <c r="AF104" i="23"/>
  <c r="C105" i="23"/>
  <c r="C106" i="23"/>
  <c r="D106" i="23"/>
  <c r="E106" i="23"/>
  <c r="F106" i="23"/>
  <c r="G106" i="23"/>
  <c r="H106" i="23"/>
  <c r="I106" i="23"/>
  <c r="J106" i="23"/>
  <c r="K106" i="23"/>
  <c r="L106" i="23"/>
  <c r="M106" i="23"/>
  <c r="N106" i="23"/>
  <c r="O106" i="23"/>
  <c r="P106" i="23"/>
  <c r="Q106" i="23"/>
  <c r="R106" i="23"/>
  <c r="S106" i="23"/>
  <c r="T106" i="23"/>
  <c r="U106" i="23"/>
  <c r="V106" i="23"/>
  <c r="W106" i="23"/>
  <c r="X106" i="23"/>
  <c r="Y106" i="23"/>
  <c r="Z106" i="23"/>
  <c r="AA106" i="23"/>
  <c r="AB106" i="23"/>
  <c r="AC106" i="23"/>
  <c r="AD106" i="23"/>
  <c r="AE106" i="23"/>
  <c r="AF106" i="23"/>
  <c r="V107" i="23"/>
  <c r="C107" i="23" s="1"/>
  <c r="V108" i="23"/>
  <c r="C108" i="23" s="1"/>
  <c r="C109" i="23"/>
  <c r="C110" i="23"/>
  <c r="C111" i="23"/>
  <c r="C112" i="23"/>
  <c r="D113" i="23"/>
  <c r="E113" i="23"/>
  <c r="F113" i="23"/>
  <c r="G113" i="23"/>
  <c r="H113" i="23"/>
  <c r="I113" i="23"/>
  <c r="J113" i="23"/>
  <c r="K113" i="23"/>
  <c r="L113" i="23"/>
  <c r="M113" i="23"/>
  <c r="N113" i="23"/>
  <c r="O113" i="23"/>
  <c r="P113" i="23"/>
  <c r="Q113" i="23"/>
  <c r="R113" i="23"/>
  <c r="S113" i="23"/>
  <c r="T113" i="23"/>
  <c r="U113" i="23"/>
  <c r="W113" i="23"/>
  <c r="X113" i="23"/>
  <c r="Y113" i="23"/>
  <c r="Z113" i="23"/>
  <c r="AA113" i="23"/>
  <c r="AB113" i="23"/>
  <c r="AC113" i="23"/>
  <c r="AD113" i="23"/>
  <c r="AE113" i="23"/>
  <c r="AF113" i="23"/>
  <c r="N115" i="23"/>
  <c r="C115" i="23" s="1"/>
  <c r="C116" i="23"/>
  <c r="D117" i="23"/>
  <c r="E117" i="23"/>
  <c r="F117" i="23"/>
  <c r="G117" i="23"/>
  <c r="H117" i="23"/>
  <c r="I117" i="23"/>
  <c r="J117" i="23"/>
  <c r="K117" i="23"/>
  <c r="L117" i="23"/>
  <c r="M117" i="23"/>
  <c r="N117" i="23"/>
  <c r="O117" i="23"/>
  <c r="P117" i="23"/>
  <c r="Q117" i="23"/>
  <c r="R117" i="23"/>
  <c r="S117" i="23"/>
  <c r="T117" i="23"/>
  <c r="U117" i="23"/>
  <c r="V117" i="23"/>
  <c r="W117" i="23"/>
  <c r="X117" i="23"/>
  <c r="Y117" i="23"/>
  <c r="Z117" i="23"/>
  <c r="AA117" i="23"/>
  <c r="AB117" i="23"/>
  <c r="AC117" i="23"/>
  <c r="AD117" i="23"/>
  <c r="AE117" i="23"/>
  <c r="AF117" i="23"/>
  <c r="B2" i="19"/>
  <c r="B3" i="19"/>
  <c r="B6" i="19"/>
  <c r="C6" i="19"/>
  <c r="D6" i="19"/>
  <c r="E6" i="19"/>
  <c r="F6" i="19"/>
  <c r="G6" i="19"/>
  <c r="C7" i="19"/>
  <c r="F7" i="19"/>
  <c r="F14" i="19" s="1"/>
  <c r="G7" i="19"/>
  <c r="G14" i="19" s="1"/>
  <c r="C8" i="19"/>
  <c r="F8" i="19"/>
  <c r="G8" i="19"/>
  <c r="C9" i="19"/>
  <c r="F9" i="19"/>
  <c r="G9" i="19"/>
  <c r="F10" i="19"/>
  <c r="G10" i="19"/>
  <c r="C11" i="19"/>
  <c r="F11" i="19"/>
  <c r="G11" i="19"/>
  <c r="C12" i="19"/>
  <c r="F12" i="19"/>
  <c r="G12" i="19"/>
  <c r="C13" i="19"/>
  <c r="F13" i="19"/>
  <c r="G13" i="19"/>
  <c r="E14" i="19"/>
  <c r="B19" i="19"/>
  <c r="C19" i="19"/>
  <c r="H15" i="51"/>
  <c r="H25" i="51"/>
  <c r="E16" i="53" s="1"/>
  <c r="H31" i="51"/>
  <c r="E22" i="53" s="1"/>
  <c r="H34" i="51"/>
  <c r="E25" i="53" s="1"/>
  <c r="H35" i="51"/>
  <c r="E26" i="53" s="1"/>
  <c r="H39" i="51"/>
  <c r="E28" i="53" s="1"/>
  <c r="H40" i="51"/>
  <c r="E29" i="53" s="1"/>
  <c r="H43" i="51"/>
  <c r="H44" i="51"/>
  <c r="E34" i="53" s="1"/>
  <c r="H45" i="51"/>
  <c r="E35" i="53" s="1"/>
  <c r="H46" i="51"/>
  <c r="E36" i="53" s="1"/>
  <c r="H47" i="51"/>
  <c r="E37" i="53" s="1"/>
  <c r="G48" i="51"/>
  <c r="D38" i="53" s="1"/>
  <c r="H48" i="51"/>
  <c r="E38" i="53" s="1"/>
  <c r="H49" i="51"/>
  <c r="E39" i="53" s="1"/>
  <c r="H50" i="51"/>
  <c r="E40" i="53" s="1"/>
  <c r="H52" i="51"/>
  <c r="E42" i="53" s="1"/>
  <c r="H54" i="51"/>
  <c r="E44" i="53" s="1"/>
  <c r="H55" i="51"/>
  <c r="E45" i="53" s="1"/>
  <c r="H57" i="51"/>
  <c r="E47" i="53" s="1"/>
  <c r="H58" i="51"/>
  <c r="E48" i="53" s="1"/>
  <c r="H67" i="51"/>
  <c r="E54" i="53" s="1"/>
  <c r="H68" i="51"/>
  <c r="E55" i="53" s="1"/>
  <c r="H71" i="51"/>
  <c r="E57" i="53" s="1"/>
  <c r="H72" i="51"/>
  <c r="E58" i="53" s="1"/>
  <c r="H76" i="51"/>
  <c r="E62" i="53" s="1"/>
  <c r="F83" i="50"/>
  <c r="D142" i="52" s="1"/>
  <c r="I10" i="50"/>
  <c r="H6" i="52" s="1"/>
  <c r="I15" i="50"/>
  <c r="H12" i="52" s="1"/>
  <c r="I16" i="50"/>
  <c r="I18" i="50"/>
  <c r="H18" i="52" s="1"/>
  <c r="I19" i="50"/>
  <c r="H20" i="52" s="1"/>
  <c r="I21" i="50"/>
  <c r="H24" i="52" s="1"/>
  <c r="I22" i="50"/>
  <c r="H26" i="52" s="1"/>
  <c r="I25" i="50"/>
  <c r="H30" i="52" s="1"/>
  <c r="I28" i="50"/>
  <c r="H39" i="52" s="1"/>
  <c r="I29" i="50"/>
  <c r="H41" i="52" s="1"/>
  <c r="I30" i="50"/>
  <c r="H43" i="52" s="1"/>
  <c r="I32" i="50"/>
  <c r="H47" i="52" s="1"/>
  <c r="I33" i="50"/>
  <c r="H49" i="52" s="1"/>
  <c r="I36" i="50"/>
  <c r="H53" i="52" s="1"/>
  <c r="I37" i="50"/>
  <c r="H55" i="52" s="1"/>
  <c r="I38" i="50"/>
  <c r="H57" i="52" s="1"/>
  <c r="I39" i="50"/>
  <c r="H59" i="52" s="1"/>
  <c r="I40" i="50"/>
  <c r="H61" i="52" s="1"/>
  <c r="I41" i="50"/>
  <c r="H66" i="52" s="1"/>
  <c r="I42" i="50"/>
  <c r="H68" i="52" s="1"/>
  <c r="I43" i="50"/>
  <c r="H70" i="52" s="1"/>
  <c r="I49" i="50"/>
  <c r="H78" i="52" s="1"/>
  <c r="I50" i="50"/>
  <c r="H80" i="52" s="1"/>
  <c r="I52" i="50"/>
  <c r="H84" i="52" s="1"/>
  <c r="I54" i="50"/>
  <c r="H88" i="52" s="1"/>
  <c r="I57" i="50"/>
  <c r="H92" i="52" s="1"/>
  <c r="I58" i="50"/>
  <c r="H97" i="52" s="1"/>
  <c r="I59" i="50"/>
  <c r="I60" i="50"/>
  <c r="H101" i="52" s="1"/>
  <c r="I61" i="50"/>
  <c r="H103" i="52" s="1"/>
  <c r="I62" i="50"/>
  <c r="H105" i="52" s="1"/>
  <c r="I65" i="50"/>
  <c r="H109" i="52" s="1"/>
  <c r="I66" i="50"/>
  <c r="H111" i="52" s="1"/>
  <c r="I67" i="50"/>
  <c r="H113" i="52" s="1"/>
  <c r="I68" i="50"/>
  <c r="H115" i="52" s="1"/>
  <c r="I69" i="50"/>
  <c r="H117" i="52" s="1"/>
  <c r="I70" i="50"/>
  <c r="H119" i="52" s="1"/>
  <c r="I71" i="50"/>
  <c r="H121" i="52" s="1"/>
  <c r="I75" i="50"/>
  <c r="H130" i="52" s="1"/>
  <c r="I76" i="50"/>
  <c r="H132" i="52" s="1"/>
  <c r="I77" i="50"/>
  <c r="H134" i="52" s="1"/>
  <c r="I78" i="50"/>
  <c r="H136" i="52" s="1"/>
  <c r="D7" i="52"/>
  <c r="H99" i="52"/>
  <c r="D106" i="52"/>
  <c r="D129" i="52"/>
  <c r="D131" i="52"/>
  <c r="D133" i="52"/>
  <c r="D141" i="52"/>
  <c r="D143" i="52"/>
  <c r="F124" i="50"/>
  <c r="G170" i="52" s="1"/>
  <c r="F156" i="50"/>
  <c r="G198" i="52" s="1"/>
  <c r="G97" i="50"/>
  <c r="H149" i="52" s="1"/>
  <c r="G98" i="50"/>
  <c r="H150" i="52" s="1"/>
  <c r="G101" i="50"/>
  <c r="H152" i="52" s="1"/>
  <c r="G102" i="50"/>
  <c r="H153" i="52" s="1"/>
  <c r="G103" i="50"/>
  <c r="H154" i="52" s="1"/>
  <c r="G104" i="50"/>
  <c r="H155" i="52" s="1"/>
  <c r="G105" i="50"/>
  <c r="H156" i="52" s="1"/>
  <c r="G106" i="50"/>
  <c r="H157" i="52" s="1"/>
  <c r="G109" i="50"/>
  <c r="G110" i="50"/>
  <c r="H160" i="52" s="1"/>
  <c r="G111" i="50"/>
  <c r="H161" i="52" s="1"/>
  <c r="G114" i="50"/>
  <c r="H163" i="52" s="1"/>
  <c r="G122" i="50"/>
  <c r="H168" i="52" s="1"/>
  <c r="G124" i="50"/>
  <c r="H170" i="52" s="1"/>
  <c r="G127" i="50"/>
  <c r="H173" i="52" s="1"/>
  <c r="G128" i="50"/>
  <c r="H174" i="52" s="1"/>
  <c r="G129" i="50"/>
  <c r="H175" i="52" s="1"/>
  <c r="G130" i="50"/>
  <c r="H176" i="52" s="1"/>
  <c r="G131" i="50"/>
  <c r="H177" i="52" s="1"/>
  <c r="G132" i="50"/>
  <c r="H178" i="52" s="1"/>
  <c r="G133" i="50"/>
  <c r="H179" i="52" s="1"/>
  <c r="G135" i="50"/>
  <c r="H181" i="52" s="1"/>
  <c r="G136" i="50"/>
  <c r="H182" i="52" s="1"/>
  <c r="G141" i="50"/>
  <c r="H186" i="52" s="1"/>
  <c r="G142" i="50"/>
  <c r="H187" i="52" s="1"/>
  <c r="G143" i="50"/>
  <c r="H188" i="52" s="1"/>
  <c r="G145" i="50"/>
  <c r="H190" i="52" s="1"/>
  <c r="G146" i="50"/>
  <c r="H191" i="52" s="1"/>
  <c r="G147" i="50"/>
  <c r="H192" i="52" s="1"/>
  <c r="G150" i="50"/>
  <c r="H194" i="52" s="1"/>
  <c r="G151" i="50"/>
  <c r="H195" i="52" s="1"/>
  <c r="G152" i="50"/>
  <c r="H196" i="52" s="1"/>
  <c r="G156" i="50"/>
  <c r="H198" i="52" s="1"/>
  <c r="D2" i="7"/>
  <c r="E2" i="51" s="1"/>
  <c r="D3" i="7"/>
  <c r="D3" i="50" s="1"/>
  <c r="G80" i="50"/>
  <c r="D139" i="52" s="1"/>
  <c r="N1" i="49"/>
  <c r="O4" i="49"/>
  <c r="R4" i="49"/>
  <c r="V4" i="49"/>
  <c r="A11" i="49"/>
  <c r="B11" i="49"/>
  <c r="C11" i="49"/>
  <c r="D11" i="49"/>
  <c r="E11" i="49"/>
  <c r="F11" i="49"/>
  <c r="G11" i="49"/>
  <c r="H11" i="49"/>
  <c r="I11" i="49"/>
  <c r="J11" i="49"/>
  <c r="W11" i="49"/>
  <c r="AD11" i="43"/>
  <c r="AI11" i="42"/>
  <c r="L12" i="49"/>
  <c r="R12" i="49"/>
  <c r="L13" i="49"/>
  <c r="R13" i="49"/>
  <c r="A14" i="49"/>
  <c r="B14" i="49"/>
  <c r="C14" i="49"/>
  <c r="D14" i="49"/>
  <c r="E14" i="49"/>
  <c r="F14" i="49"/>
  <c r="G14" i="49"/>
  <c r="H14" i="49"/>
  <c r="L14" i="49"/>
  <c r="W14" i="49"/>
  <c r="AD14" i="49"/>
  <c r="AG14" i="49"/>
  <c r="AE15" i="43"/>
  <c r="AG15" i="49"/>
  <c r="A19" i="49"/>
  <c r="B19" i="49"/>
  <c r="C19" i="49"/>
  <c r="D19" i="49"/>
  <c r="E19" i="49"/>
  <c r="F19" i="49"/>
  <c r="G19" i="49"/>
  <c r="H19" i="49"/>
  <c r="I19" i="49"/>
  <c r="J19" i="49"/>
  <c r="K19" i="49"/>
  <c r="L19" i="49"/>
  <c r="M19" i="49"/>
  <c r="N19" i="49"/>
  <c r="O19" i="49"/>
  <c r="P19" i="49"/>
  <c r="Q19" i="49"/>
  <c r="R19" i="49"/>
  <c r="S19" i="49"/>
  <c r="T19" i="49"/>
  <c r="U19" i="49"/>
  <c r="V19" i="49"/>
  <c r="W19" i="49"/>
  <c r="X19" i="49"/>
  <c r="Y19" i="49"/>
  <c r="Z19" i="49"/>
  <c r="AA19" i="49"/>
  <c r="AB19" i="49"/>
  <c r="AC19" i="49"/>
  <c r="AD19" i="49"/>
  <c r="AE19" i="49"/>
  <c r="AF19" i="49"/>
  <c r="AG19" i="49"/>
  <c r="AH19" i="49"/>
  <c r="AI19" i="49"/>
  <c r="AJ19" i="49"/>
  <c r="AK19" i="49"/>
  <c r="A20" i="49"/>
  <c r="B20" i="49"/>
  <c r="C20" i="49"/>
  <c r="D20" i="49"/>
  <c r="E20" i="49"/>
  <c r="F20" i="49"/>
  <c r="G20" i="49"/>
  <c r="H20" i="49"/>
  <c r="I20" i="49"/>
  <c r="J20" i="49"/>
  <c r="K20" i="49"/>
  <c r="L20" i="49"/>
  <c r="M20" i="49"/>
  <c r="N20" i="49"/>
  <c r="O20" i="49"/>
  <c r="P20" i="49"/>
  <c r="Q20" i="49"/>
  <c r="R20" i="49"/>
  <c r="S20" i="49"/>
  <c r="T20" i="49"/>
  <c r="U20" i="49"/>
  <c r="V20" i="49"/>
  <c r="W20" i="49"/>
  <c r="X20" i="49"/>
  <c r="Y20" i="49"/>
  <c r="Z20" i="49"/>
  <c r="AA20" i="49"/>
  <c r="AB20" i="49"/>
  <c r="AC20" i="49"/>
  <c r="AD20" i="49"/>
  <c r="AE20" i="49"/>
  <c r="AF20" i="49"/>
  <c r="AG20" i="49"/>
  <c r="AH20" i="49"/>
  <c r="AI20" i="49"/>
  <c r="AJ20" i="49"/>
  <c r="AK20" i="49"/>
  <c r="A22" i="49"/>
  <c r="B22" i="49"/>
  <c r="C22" i="49"/>
  <c r="D22" i="49"/>
  <c r="E22" i="49"/>
  <c r="F22" i="49"/>
  <c r="G22" i="49"/>
  <c r="H22" i="49"/>
  <c r="I22" i="49"/>
  <c r="J22" i="49"/>
  <c r="K22" i="49"/>
  <c r="L22" i="49"/>
  <c r="M22" i="49"/>
  <c r="N22" i="49"/>
  <c r="O22" i="49"/>
  <c r="P22" i="49"/>
  <c r="Q22" i="49"/>
  <c r="R22" i="49"/>
  <c r="S22" i="49"/>
  <c r="T22" i="49"/>
  <c r="U22" i="49"/>
  <c r="V22" i="49"/>
  <c r="W22" i="49"/>
  <c r="X22" i="49"/>
  <c r="Y22" i="49"/>
  <c r="Z22" i="49"/>
  <c r="AA22" i="49"/>
  <c r="AB22" i="49"/>
  <c r="AC22" i="49"/>
  <c r="AD22" i="49"/>
  <c r="AE22" i="49"/>
  <c r="AF22" i="49"/>
  <c r="AG22" i="49"/>
  <c r="AH22" i="49"/>
  <c r="AI22" i="49"/>
  <c r="AJ22" i="49"/>
  <c r="AK22" i="49"/>
  <c r="A25" i="49"/>
  <c r="B25" i="49"/>
  <c r="C25" i="49"/>
  <c r="D25" i="49"/>
  <c r="E25" i="49"/>
  <c r="F25" i="49"/>
  <c r="G25" i="49"/>
  <c r="H25" i="49"/>
  <c r="I25" i="49"/>
  <c r="J25" i="49"/>
  <c r="K25" i="49"/>
  <c r="L25" i="49"/>
  <c r="M25" i="49"/>
  <c r="N25" i="49"/>
  <c r="O25" i="49"/>
  <c r="P25" i="49"/>
  <c r="Q25" i="49"/>
  <c r="R25" i="49"/>
  <c r="S25" i="49"/>
  <c r="T25" i="49"/>
  <c r="U25" i="49"/>
  <c r="V25" i="49"/>
  <c r="W25" i="49"/>
  <c r="X25" i="49"/>
  <c r="Y25" i="49"/>
  <c r="Z25" i="49"/>
  <c r="AB25" i="49"/>
  <c r="AC25" i="49"/>
  <c r="AD25" i="49"/>
  <c r="AE25" i="49"/>
  <c r="AF25" i="49"/>
  <c r="AG25" i="49"/>
  <c r="AH25" i="49"/>
  <c r="AI25" i="49"/>
  <c r="AJ25" i="49"/>
  <c r="AK25" i="49"/>
  <c r="A27" i="49"/>
  <c r="B27" i="49"/>
  <c r="C27" i="49"/>
  <c r="D27" i="49"/>
  <c r="E27" i="49"/>
  <c r="G27" i="49"/>
  <c r="H27" i="49"/>
  <c r="I27" i="49"/>
  <c r="J27" i="49"/>
  <c r="K27" i="49"/>
  <c r="L27" i="49"/>
  <c r="M27" i="49"/>
  <c r="N27" i="49"/>
  <c r="O27" i="49"/>
  <c r="P27" i="49"/>
  <c r="Q27" i="49"/>
  <c r="R27" i="49"/>
  <c r="S27" i="49"/>
  <c r="T27" i="49"/>
  <c r="U27" i="49"/>
  <c r="V27" i="49"/>
  <c r="W27" i="49"/>
  <c r="X27" i="49"/>
  <c r="Y27" i="49"/>
  <c r="Z27" i="49"/>
  <c r="AA27" i="49"/>
  <c r="AB27" i="49"/>
  <c r="AC27" i="49"/>
  <c r="AD27" i="49"/>
  <c r="AE27" i="49"/>
  <c r="AF27" i="49"/>
  <c r="AG27" i="49"/>
  <c r="AH27" i="49"/>
  <c r="AI27" i="49"/>
  <c r="AJ27" i="49"/>
  <c r="AK27" i="49"/>
  <c r="A29" i="49"/>
  <c r="B29" i="49"/>
  <c r="C29" i="49"/>
  <c r="D29" i="49"/>
  <c r="E29" i="49"/>
  <c r="G29" i="49"/>
  <c r="H29" i="49"/>
  <c r="I29" i="49"/>
  <c r="J29" i="49"/>
  <c r="K29" i="49"/>
  <c r="L29" i="49"/>
  <c r="M29" i="49"/>
  <c r="N29" i="49"/>
  <c r="P29" i="49"/>
  <c r="Q29" i="49"/>
  <c r="R29" i="49"/>
  <c r="S29" i="49"/>
  <c r="T29" i="49"/>
  <c r="V29" i="49"/>
  <c r="W29" i="49"/>
  <c r="X29" i="49"/>
  <c r="Y29" i="49"/>
  <c r="Z29" i="49"/>
  <c r="AA29" i="49"/>
  <c r="AB29" i="49"/>
  <c r="AC29" i="49"/>
  <c r="A31" i="49"/>
  <c r="B31" i="49"/>
  <c r="C31" i="49"/>
  <c r="D31" i="49"/>
  <c r="E31" i="49"/>
  <c r="F31" i="49"/>
  <c r="G31" i="49"/>
  <c r="H31" i="49"/>
  <c r="I31" i="49"/>
  <c r="J31" i="49"/>
  <c r="K31" i="49"/>
  <c r="L31" i="49"/>
  <c r="M31" i="49"/>
  <c r="N31" i="49"/>
  <c r="O31" i="49"/>
  <c r="P31" i="49"/>
  <c r="Q31" i="49"/>
  <c r="R31" i="49"/>
  <c r="S31" i="49"/>
  <c r="T31" i="49"/>
  <c r="U31" i="49"/>
  <c r="V31" i="49"/>
  <c r="W31" i="49"/>
  <c r="X31" i="49"/>
  <c r="Y31" i="49"/>
  <c r="Z31" i="49"/>
  <c r="AA31" i="49"/>
  <c r="AB31" i="49"/>
  <c r="AC31" i="49"/>
  <c r="AD31" i="49"/>
  <c r="AE31" i="49"/>
  <c r="AF31" i="49"/>
  <c r="AG31" i="49"/>
  <c r="AH31" i="49"/>
  <c r="AI31" i="49"/>
  <c r="AJ31" i="49"/>
  <c r="AK31" i="49"/>
  <c r="A34" i="49"/>
  <c r="B34" i="49"/>
  <c r="D34" i="49"/>
  <c r="E34" i="49"/>
  <c r="G34" i="49"/>
  <c r="H34" i="49"/>
  <c r="I34" i="49"/>
  <c r="J34" i="49"/>
  <c r="A37" i="49"/>
  <c r="B37" i="49"/>
  <c r="D37" i="49"/>
  <c r="E37" i="49"/>
  <c r="G37" i="49"/>
  <c r="H37" i="49"/>
  <c r="I37" i="49"/>
  <c r="J37" i="49"/>
  <c r="V4" i="48"/>
  <c r="A11" i="48"/>
  <c r="B11" i="48"/>
  <c r="C11" i="48"/>
  <c r="D11" i="48"/>
  <c r="E11" i="48"/>
  <c r="F11" i="48"/>
  <c r="G11" i="48"/>
  <c r="H11" i="48"/>
  <c r="I11" i="48"/>
  <c r="J11" i="48"/>
  <c r="W11" i="48"/>
  <c r="L12" i="48"/>
  <c r="R12" i="48"/>
  <c r="L13" i="48"/>
  <c r="R13" i="48"/>
  <c r="A14" i="48"/>
  <c r="B14" i="48"/>
  <c r="C14" i="48"/>
  <c r="D14" i="48"/>
  <c r="E14" i="48"/>
  <c r="F14" i="48"/>
  <c r="G14" i="48"/>
  <c r="H14" i="48"/>
  <c r="L14" i="48"/>
  <c r="W14" i="48"/>
  <c r="A19" i="48"/>
  <c r="B19" i="48"/>
  <c r="C19" i="48"/>
  <c r="D19" i="48"/>
  <c r="E19" i="48"/>
  <c r="F19" i="48"/>
  <c r="G19" i="48"/>
  <c r="H19" i="48"/>
  <c r="I19" i="48"/>
  <c r="J19" i="48"/>
  <c r="K19" i="48"/>
  <c r="L19" i="48"/>
  <c r="M19" i="48"/>
  <c r="N19" i="48"/>
  <c r="O19" i="48"/>
  <c r="P19" i="48"/>
  <c r="Q19" i="48"/>
  <c r="R19" i="48"/>
  <c r="S19" i="48"/>
  <c r="T19" i="48"/>
  <c r="U19" i="48"/>
  <c r="V19" i="48"/>
  <c r="W19" i="48"/>
  <c r="X19" i="48"/>
  <c r="Y19" i="48"/>
  <c r="Z19" i="48"/>
  <c r="AA19" i="48"/>
  <c r="AB19" i="48"/>
  <c r="AC19" i="48"/>
  <c r="AD19" i="48"/>
  <c r="AE19" i="48"/>
  <c r="AF19" i="48"/>
  <c r="AG19" i="48"/>
  <c r="AH19" i="48"/>
  <c r="AI19" i="48"/>
  <c r="AJ19" i="48"/>
  <c r="AK19" i="48"/>
  <c r="A20" i="48"/>
  <c r="B20" i="48"/>
  <c r="C20" i="48"/>
  <c r="D20" i="48"/>
  <c r="E20" i="48"/>
  <c r="F20" i="48"/>
  <c r="G20" i="48"/>
  <c r="H20" i="48"/>
  <c r="I20" i="48"/>
  <c r="J20" i="48"/>
  <c r="K20" i="48"/>
  <c r="L20" i="48"/>
  <c r="M20" i="48"/>
  <c r="N20" i="48"/>
  <c r="O20" i="48"/>
  <c r="P20" i="48"/>
  <c r="Q20" i="48"/>
  <c r="R20" i="48"/>
  <c r="S20" i="48"/>
  <c r="T20" i="48"/>
  <c r="U20" i="48"/>
  <c r="V20" i="48"/>
  <c r="W20" i="48"/>
  <c r="X20" i="48"/>
  <c r="Y20" i="48"/>
  <c r="Z20" i="48"/>
  <c r="AA20" i="48"/>
  <c r="AB20" i="48"/>
  <c r="AC20" i="48"/>
  <c r="AD20" i="48"/>
  <c r="AE20" i="48"/>
  <c r="AF20" i="48"/>
  <c r="AG20" i="48"/>
  <c r="AH20" i="48"/>
  <c r="AI20" i="48"/>
  <c r="AJ20" i="48"/>
  <c r="AK20" i="48"/>
  <c r="A22" i="48"/>
  <c r="B22" i="48"/>
  <c r="C22" i="48"/>
  <c r="D22" i="48"/>
  <c r="E22" i="48"/>
  <c r="F22" i="48"/>
  <c r="G22" i="48"/>
  <c r="H22" i="48"/>
  <c r="I22" i="48"/>
  <c r="J22" i="48"/>
  <c r="K22" i="48"/>
  <c r="L22" i="48"/>
  <c r="M22" i="48"/>
  <c r="N22" i="48"/>
  <c r="O22" i="48"/>
  <c r="P22" i="48"/>
  <c r="Q22" i="48"/>
  <c r="R22" i="48"/>
  <c r="S22" i="48"/>
  <c r="T22" i="48"/>
  <c r="U22" i="48"/>
  <c r="V22" i="48"/>
  <c r="W22" i="48"/>
  <c r="X22" i="48"/>
  <c r="Y22" i="48"/>
  <c r="Z22" i="48"/>
  <c r="AA22" i="48"/>
  <c r="AB22" i="48"/>
  <c r="AC22" i="48"/>
  <c r="AD22" i="48"/>
  <c r="AE22" i="48"/>
  <c r="AF22" i="48"/>
  <c r="AG22" i="48"/>
  <c r="AH22" i="48"/>
  <c r="AI22" i="48"/>
  <c r="AJ22" i="48"/>
  <c r="AK22" i="48"/>
  <c r="A25" i="48"/>
  <c r="B25" i="48"/>
  <c r="C25" i="48"/>
  <c r="D25" i="48"/>
  <c r="E25" i="48"/>
  <c r="F25" i="48"/>
  <c r="G25" i="48"/>
  <c r="H25" i="48"/>
  <c r="I25" i="48"/>
  <c r="J25" i="48"/>
  <c r="K25" i="48"/>
  <c r="L25" i="48"/>
  <c r="M25" i="48"/>
  <c r="N25" i="48"/>
  <c r="O25" i="48"/>
  <c r="P25" i="48"/>
  <c r="Q25" i="48"/>
  <c r="R25" i="48"/>
  <c r="S25" i="48"/>
  <c r="T25" i="48"/>
  <c r="U25" i="48"/>
  <c r="V25" i="48"/>
  <c r="W25" i="48"/>
  <c r="X25" i="48"/>
  <c r="Y25" i="48"/>
  <c r="Z25" i="48"/>
  <c r="AB25" i="48"/>
  <c r="AC25" i="48"/>
  <c r="AD25" i="48"/>
  <c r="AE25" i="48"/>
  <c r="AF25" i="48"/>
  <c r="AG25" i="48"/>
  <c r="AH25" i="48"/>
  <c r="AI25" i="48"/>
  <c r="AJ25" i="48"/>
  <c r="AK25" i="48"/>
  <c r="A27" i="48"/>
  <c r="B27" i="48"/>
  <c r="C27" i="48"/>
  <c r="D27" i="48"/>
  <c r="E27" i="48"/>
  <c r="G27" i="48"/>
  <c r="H27" i="48"/>
  <c r="I27" i="48"/>
  <c r="J27" i="48"/>
  <c r="K27" i="48"/>
  <c r="L27" i="48"/>
  <c r="M27" i="48"/>
  <c r="N27" i="48"/>
  <c r="O27" i="48"/>
  <c r="P27" i="48"/>
  <c r="Q27" i="48"/>
  <c r="R27" i="48"/>
  <c r="S27" i="48"/>
  <c r="T27" i="48"/>
  <c r="U27" i="48"/>
  <c r="V27" i="48"/>
  <c r="W27" i="48"/>
  <c r="X27" i="48"/>
  <c r="Y27" i="48"/>
  <c r="Z27" i="48"/>
  <c r="AA27" i="48"/>
  <c r="AB27" i="48"/>
  <c r="AC27" i="48"/>
  <c r="AD27" i="48"/>
  <c r="AE27" i="48"/>
  <c r="AF27" i="48"/>
  <c r="AG27" i="48"/>
  <c r="AH27" i="48"/>
  <c r="AI27" i="48"/>
  <c r="AJ27" i="48"/>
  <c r="AK27" i="48"/>
  <c r="A29" i="48"/>
  <c r="B29" i="48"/>
  <c r="C29" i="48"/>
  <c r="D29" i="48"/>
  <c r="E29" i="48"/>
  <c r="G29" i="48"/>
  <c r="H29" i="48"/>
  <c r="I29" i="48"/>
  <c r="J29" i="48"/>
  <c r="K29" i="48"/>
  <c r="L29" i="48"/>
  <c r="M29" i="48"/>
  <c r="N29" i="48"/>
  <c r="P29" i="48"/>
  <c r="Q29" i="48"/>
  <c r="R29" i="48"/>
  <c r="S29" i="48"/>
  <c r="T29" i="48"/>
  <c r="V29" i="48"/>
  <c r="W29" i="48"/>
  <c r="X29" i="48"/>
  <c r="Y29" i="48"/>
  <c r="Z29" i="48"/>
  <c r="AA29" i="48"/>
  <c r="AB29" i="48"/>
  <c r="AC29" i="48"/>
  <c r="A31" i="48"/>
  <c r="B31" i="48"/>
  <c r="C31" i="48"/>
  <c r="D31" i="48"/>
  <c r="E31" i="48"/>
  <c r="F31" i="48"/>
  <c r="G31" i="48"/>
  <c r="H31" i="48"/>
  <c r="I31" i="48"/>
  <c r="J31" i="48"/>
  <c r="K31" i="48"/>
  <c r="L31" i="48"/>
  <c r="M31" i="48"/>
  <c r="N31" i="48"/>
  <c r="O31" i="48"/>
  <c r="P31" i="48"/>
  <c r="Q31" i="48"/>
  <c r="R31" i="48"/>
  <c r="S31" i="48"/>
  <c r="T31" i="48"/>
  <c r="U31" i="48"/>
  <c r="V31" i="48"/>
  <c r="W31" i="48"/>
  <c r="X31" i="48"/>
  <c r="Y31" i="48"/>
  <c r="Z31" i="48"/>
  <c r="AA31" i="48"/>
  <c r="AB31" i="48"/>
  <c r="AC31" i="48"/>
  <c r="AD31" i="48"/>
  <c r="AE31" i="48"/>
  <c r="AF31" i="48"/>
  <c r="AG31" i="48"/>
  <c r="AH31" i="48"/>
  <c r="AI31" i="48"/>
  <c r="AJ31" i="48"/>
  <c r="AK31" i="48"/>
  <c r="A34" i="48"/>
  <c r="B34" i="48"/>
  <c r="D34" i="48"/>
  <c r="E34" i="48"/>
  <c r="G34" i="48"/>
  <c r="H34" i="48"/>
  <c r="I34" i="48"/>
  <c r="J34" i="48"/>
  <c r="A37" i="48"/>
  <c r="B37" i="48"/>
  <c r="D37" i="48"/>
  <c r="E37" i="48"/>
  <c r="G37" i="48"/>
  <c r="H37" i="48"/>
  <c r="I37" i="48"/>
  <c r="J37" i="48"/>
  <c r="H15" i="45"/>
  <c r="E9" i="47" s="1"/>
  <c r="H25" i="45"/>
  <c r="E16" i="47" s="1"/>
  <c r="H29" i="45"/>
  <c r="E20" i="47" s="1"/>
  <c r="H31" i="45"/>
  <c r="E22" i="47" s="1"/>
  <c r="H34" i="45"/>
  <c r="E25" i="47" s="1"/>
  <c r="H35" i="45"/>
  <c r="E26" i="47" s="1"/>
  <c r="H39" i="45"/>
  <c r="E28" i="47" s="1"/>
  <c r="H40" i="45"/>
  <c r="E29" i="47" s="1"/>
  <c r="H43" i="45"/>
  <c r="E33" i="47" s="1"/>
  <c r="H44" i="45"/>
  <c r="E34" i="47" s="1"/>
  <c r="H45" i="45"/>
  <c r="E35" i="47" s="1"/>
  <c r="H46" i="45"/>
  <c r="E36" i="47" s="1"/>
  <c r="H47" i="45"/>
  <c r="E37" i="47" s="1"/>
  <c r="H48" i="45"/>
  <c r="E38" i="47" s="1"/>
  <c r="H49" i="45"/>
  <c r="E39" i="47" s="1"/>
  <c r="H50" i="45"/>
  <c r="E40" i="47" s="1"/>
  <c r="H52" i="45"/>
  <c r="E42" i="47" s="1"/>
  <c r="H54" i="45"/>
  <c r="E44" i="47" s="1"/>
  <c r="H55" i="45"/>
  <c r="E45" i="47" s="1"/>
  <c r="H57" i="45"/>
  <c r="E47" i="47" s="1"/>
  <c r="H58" i="45"/>
  <c r="E48" i="47" s="1"/>
  <c r="H63" i="45"/>
  <c r="E52" i="47" s="1"/>
  <c r="H67" i="45"/>
  <c r="E54" i="47" s="1"/>
  <c r="H68" i="45"/>
  <c r="E55" i="47" s="1"/>
  <c r="H71" i="45"/>
  <c r="E57" i="47" s="1"/>
  <c r="H72" i="45"/>
  <c r="E58" i="47" s="1"/>
  <c r="H76" i="45"/>
  <c r="E62" i="47" s="1"/>
  <c r="F83" i="44"/>
  <c r="D142" i="46" s="1"/>
  <c r="I10" i="44"/>
  <c r="H6" i="46" s="1"/>
  <c r="I15" i="44"/>
  <c r="H12" i="46" s="1"/>
  <c r="I16" i="44"/>
  <c r="H14" i="46" s="1"/>
  <c r="I18" i="44"/>
  <c r="I19" i="44"/>
  <c r="H20" i="46" s="1"/>
  <c r="I21" i="44"/>
  <c r="H24" i="46" s="1"/>
  <c r="I22" i="44"/>
  <c r="H26" i="46" s="1"/>
  <c r="I25" i="44"/>
  <c r="H30" i="46" s="1"/>
  <c r="I28" i="44"/>
  <c r="H39" i="46" s="1"/>
  <c r="I29" i="44"/>
  <c r="H41" i="46" s="1"/>
  <c r="I30" i="44"/>
  <c r="H43" i="46" s="1"/>
  <c r="I32" i="44"/>
  <c r="H47" i="46" s="1"/>
  <c r="I33" i="44"/>
  <c r="H49" i="46" s="1"/>
  <c r="I36" i="44"/>
  <c r="H53" i="46" s="1"/>
  <c r="I37" i="44"/>
  <c r="H55" i="46" s="1"/>
  <c r="I38" i="44"/>
  <c r="H57" i="46" s="1"/>
  <c r="I39" i="44"/>
  <c r="H59" i="46" s="1"/>
  <c r="I40" i="44"/>
  <c r="H61" i="46" s="1"/>
  <c r="I41" i="44"/>
  <c r="H66" i="46" s="1"/>
  <c r="I42" i="44"/>
  <c r="H68" i="46" s="1"/>
  <c r="I43" i="44"/>
  <c r="H70" i="46" s="1"/>
  <c r="I49" i="44"/>
  <c r="H78" i="46" s="1"/>
  <c r="I50" i="44"/>
  <c r="H80" i="46" s="1"/>
  <c r="I52" i="44"/>
  <c r="H84" i="46" s="1"/>
  <c r="I54" i="44"/>
  <c r="H88" i="46" s="1"/>
  <c r="I57" i="44"/>
  <c r="H92" i="46" s="1"/>
  <c r="I58" i="44"/>
  <c r="H97" i="46" s="1"/>
  <c r="I59" i="44"/>
  <c r="H99" i="46" s="1"/>
  <c r="I60" i="44"/>
  <c r="H101" i="46" s="1"/>
  <c r="I61" i="44"/>
  <c r="H103" i="46" s="1"/>
  <c r="I62" i="44"/>
  <c r="H105" i="46" s="1"/>
  <c r="I65" i="44"/>
  <c r="H109" i="46" s="1"/>
  <c r="I66" i="44"/>
  <c r="H111" i="46" s="1"/>
  <c r="I67" i="44"/>
  <c r="H113" i="46" s="1"/>
  <c r="I68" i="44"/>
  <c r="H115" i="46" s="1"/>
  <c r="I69" i="44"/>
  <c r="H117" i="46" s="1"/>
  <c r="I70" i="44"/>
  <c r="H119" i="46" s="1"/>
  <c r="I71" i="44"/>
  <c r="H121" i="46" s="1"/>
  <c r="I75" i="44"/>
  <c r="H130" i="46" s="1"/>
  <c r="I76" i="44"/>
  <c r="H132" i="46" s="1"/>
  <c r="I77" i="44"/>
  <c r="H134" i="46" s="1"/>
  <c r="I78" i="44"/>
  <c r="H136" i="46" s="1"/>
  <c r="D7" i="46"/>
  <c r="H18" i="46"/>
  <c r="D106" i="46"/>
  <c r="D129" i="46"/>
  <c r="D131" i="46"/>
  <c r="D133" i="46"/>
  <c r="D141" i="46"/>
  <c r="D143" i="46"/>
  <c r="F124" i="44"/>
  <c r="G170" i="46" s="1"/>
  <c r="F156" i="44"/>
  <c r="G198" i="46" s="1"/>
  <c r="G97" i="44"/>
  <c r="H149" i="46" s="1"/>
  <c r="G98" i="44"/>
  <c r="H150" i="46" s="1"/>
  <c r="G101" i="44"/>
  <c r="H152" i="46" s="1"/>
  <c r="G102" i="44"/>
  <c r="H153" i="46" s="1"/>
  <c r="G103" i="44"/>
  <c r="H154" i="46" s="1"/>
  <c r="G104" i="44"/>
  <c r="H155" i="46" s="1"/>
  <c r="G105" i="44"/>
  <c r="H156" i="46" s="1"/>
  <c r="G106" i="44"/>
  <c r="H157" i="46" s="1"/>
  <c r="G109" i="44"/>
  <c r="H159" i="46" s="1"/>
  <c r="G110" i="44"/>
  <c r="H160" i="46" s="1"/>
  <c r="G111" i="44"/>
  <c r="H161" i="46" s="1"/>
  <c r="G114" i="44"/>
  <c r="H163" i="46" s="1"/>
  <c r="G122" i="44"/>
  <c r="H168" i="46" s="1"/>
  <c r="G124" i="44"/>
  <c r="H170" i="46" s="1"/>
  <c r="G127" i="44"/>
  <c r="H173" i="46" s="1"/>
  <c r="G128" i="44"/>
  <c r="H174" i="46" s="1"/>
  <c r="G129" i="44"/>
  <c r="H175" i="46" s="1"/>
  <c r="G130" i="44"/>
  <c r="H176" i="46" s="1"/>
  <c r="G131" i="44"/>
  <c r="H177" i="46" s="1"/>
  <c r="G132" i="44"/>
  <c r="H178" i="46" s="1"/>
  <c r="G133" i="44"/>
  <c r="H179" i="46" s="1"/>
  <c r="G135" i="44"/>
  <c r="H181" i="46" s="1"/>
  <c r="G136" i="44"/>
  <c r="H182" i="46" s="1"/>
  <c r="G141" i="44"/>
  <c r="H186" i="46" s="1"/>
  <c r="G142" i="44"/>
  <c r="H187" i="46" s="1"/>
  <c r="G143" i="44"/>
  <c r="H188" i="46" s="1"/>
  <c r="G145" i="44"/>
  <c r="H190" i="46" s="1"/>
  <c r="G146" i="44"/>
  <c r="H191" i="46" s="1"/>
  <c r="G147" i="44"/>
  <c r="H192" i="46" s="1"/>
  <c r="G150" i="44"/>
  <c r="H194" i="46" s="1"/>
  <c r="G151" i="44"/>
  <c r="H195" i="46" s="1"/>
  <c r="G152" i="44"/>
  <c r="H196" i="46" s="1"/>
  <c r="G156" i="44"/>
  <c r="H198" i="46" s="1"/>
  <c r="G80" i="44"/>
  <c r="D139" i="46" s="1"/>
  <c r="A11" i="43"/>
  <c r="B11" i="43"/>
  <c r="C11" i="43"/>
  <c r="D11" i="43"/>
  <c r="E11" i="43"/>
  <c r="F11" i="43"/>
  <c r="G11" i="43"/>
  <c r="H11" i="43"/>
  <c r="I11" i="43"/>
  <c r="J11" i="43"/>
  <c r="L12" i="43"/>
  <c r="R12" i="43"/>
  <c r="L13" i="43"/>
  <c r="R13" i="43"/>
  <c r="A14" i="43"/>
  <c r="B14" i="43"/>
  <c r="C14" i="43"/>
  <c r="D14" i="43"/>
  <c r="E14" i="43"/>
  <c r="F14" i="43"/>
  <c r="G14" i="43"/>
  <c r="H14" i="43"/>
  <c r="L14" i="43"/>
  <c r="A19" i="43"/>
  <c r="B19" i="43"/>
  <c r="C19" i="43"/>
  <c r="D19" i="43"/>
  <c r="E19" i="43"/>
  <c r="F19" i="43"/>
  <c r="G19" i="43"/>
  <c r="H19" i="43"/>
  <c r="I19" i="43"/>
  <c r="J19" i="43"/>
  <c r="K19" i="43"/>
  <c r="L19" i="43"/>
  <c r="M19" i="43"/>
  <c r="N19" i="43"/>
  <c r="O19" i="43"/>
  <c r="P19" i="43"/>
  <c r="Q19" i="43"/>
  <c r="R19" i="43"/>
  <c r="S19" i="43"/>
  <c r="T19" i="43"/>
  <c r="U19" i="43"/>
  <c r="V19" i="43"/>
  <c r="W19" i="43"/>
  <c r="X19" i="43"/>
  <c r="Y19" i="43"/>
  <c r="Z19" i="43"/>
  <c r="AA19" i="43"/>
  <c r="AB19" i="43"/>
  <c r="AC19" i="43"/>
  <c r="AD19" i="43"/>
  <c r="AE19" i="43"/>
  <c r="AF19" i="43"/>
  <c r="AG19" i="43"/>
  <c r="AH19" i="43"/>
  <c r="AI19" i="43"/>
  <c r="AJ19" i="43"/>
  <c r="AK19" i="43"/>
  <c r="A20" i="43"/>
  <c r="B20" i="43"/>
  <c r="C20" i="43"/>
  <c r="D20" i="43"/>
  <c r="E20" i="43"/>
  <c r="F20" i="43"/>
  <c r="G20" i="43"/>
  <c r="H20" i="43"/>
  <c r="I20" i="43"/>
  <c r="J20" i="43"/>
  <c r="K20" i="43"/>
  <c r="L20" i="43"/>
  <c r="M20" i="43"/>
  <c r="N20" i="43"/>
  <c r="O20" i="43"/>
  <c r="P20" i="43"/>
  <c r="Q20" i="43"/>
  <c r="R20" i="43"/>
  <c r="S20" i="43"/>
  <c r="T20" i="43"/>
  <c r="U20" i="43"/>
  <c r="V20" i="43"/>
  <c r="W20" i="43"/>
  <c r="X20" i="43"/>
  <c r="Y20" i="43"/>
  <c r="Z20" i="43"/>
  <c r="AA20" i="43"/>
  <c r="AB20" i="43"/>
  <c r="AC20" i="43"/>
  <c r="AD20" i="43"/>
  <c r="AE20" i="43"/>
  <c r="AF20" i="43"/>
  <c r="AG20" i="43"/>
  <c r="AH20" i="43"/>
  <c r="AI20" i="43"/>
  <c r="AJ20" i="43"/>
  <c r="AK20" i="43"/>
  <c r="A22" i="43"/>
  <c r="B22" i="43"/>
  <c r="C22" i="43"/>
  <c r="D22" i="43"/>
  <c r="E22" i="43"/>
  <c r="F22" i="43"/>
  <c r="G22" i="43"/>
  <c r="H22" i="43"/>
  <c r="I22" i="43"/>
  <c r="J22" i="43"/>
  <c r="K22" i="43"/>
  <c r="L22" i="43"/>
  <c r="M22" i="43"/>
  <c r="N22" i="43"/>
  <c r="O22" i="43"/>
  <c r="P22" i="43"/>
  <c r="Q22" i="43"/>
  <c r="R22" i="43"/>
  <c r="S22" i="43"/>
  <c r="T22" i="43"/>
  <c r="U22" i="43"/>
  <c r="V22" i="43"/>
  <c r="W22" i="43"/>
  <c r="X22" i="43"/>
  <c r="Y22" i="43"/>
  <c r="Z22" i="43"/>
  <c r="AA22" i="43"/>
  <c r="AB22" i="43"/>
  <c r="AC22" i="43"/>
  <c r="AD22" i="43"/>
  <c r="AE22" i="43"/>
  <c r="AF22" i="43"/>
  <c r="AG22" i="43"/>
  <c r="AH22" i="43"/>
  <c r="AI22" i="43"/>
  <c r="AJ22" i="43"/>
  <c r="AK22" i="43"/>
  <c r="A25" i="43"/>
  <c r="B25" i="43"/>
  <c r="C25" i="43"/>
  <c r="D25" i="43"/>
  <c r="E25" i="43"/>
  <c r="F25" i="43"/>
  <c r="G25" i="43"/>
  <c r="H25" i="43"/>
  <c r="I25" i="43"/>
  <c r="J25" i="43"/>
  <c r="K25" i="43"/>
  <c r="L25" i="43"/>
  <c r="M25" i="43"/>
  <c r="N25" i="43"/>
  <c r="O25" i="43"/>
  <c r="P25" i="43"/>
  <c r="Q25" i="43"/>
  <c r="R25" i="43"/>
  <c r="S25" i="43"/>
  <c r="T25" i="43"/>
  <c r="U25" i="43"/>
  <c r="V25" i="43"/>
  <c r="W25" i="43"/>
  <c r="X25" i="43"/>
  <c r="Y25" i="43"/>
  <c r="Z25" i="43"/>
  <c r="AB25" i="43"/>
  <c r="AC25" i="43"/>
  <c r="AD25" i="43"/>
  <c r="AE25" i="43"/>
  <c r="AF25" i="43"/>
  <c r="AG25" i="43"/>
  <c r="AH25" i="43"/>
  <c r="AI25" i="43"/>
  <c r="AJ25" i="43"/>
  <c r="AK25" i="43"/>
  <c r="A27" i="43"/>
  <c r="B27" i="43"/>
  <c r="C27" i="43"/>
  <c r="D27" i="43"/>
  <c r="E27" i="43"/>
  <c r="G27" i="43"/>
  <c r="H27" i="43"/>
  <c r="I27" i="43"/>
  <c r="J27" i="43"/>
  <c r="K27" i="43"/>
  <c r="L27" i="43"/>
  <c r="M27" i="43"/>
  <c r="N27" i="43"/>
  <c r="O27" i="43"/>
  <c r="P27" i="43"/>
  <c r="Q27" i="43"/>
  <c r="R27" i="43"/>
  <c r="S27" i="43"/>
  <c r="T27" i="43"/>
  <c r="U27" i="43"/>
  <c r="V27" i="43"/>
  <c r="W27" i="43"/>
  <c r="X27" i="43"/>
  <c r="Y27" i="43"/>
  <c r="Z27" i="43"/>
  <c r="AA27" i="43"/>
  <c r="AB27" i="43"/>
  <c r="AC27" i="43"/>
  <c r="AD27" i="43"/>
  <c r="AE27" i="43"/>
  <c r="AF27" i="43"/>
  <c r="AG27" i="43"/>
  <c r="AH27" i="43"/>
  <c r="AI27" i="43"/>
  <c r="AJ27" i="43"/>
  <c r="AK27" i="43"/>
  <c r="A29" i="43"/>
  <c r="B29" i="43"/>
  <c r="C29" i="43"/>
  <c r="D29" i="43"/>
  <c r="E29" i="43"/>
  <c r="G29" i="43"/>
  <c r="H29" i="43"/>
  <c r="I29" i="43"/>
  <c r="J29" i="43"/>
  <c r="K29" i="43"/>
  <c r="L29" i="43"/>
  <c r="M29" i="43"/>
  <c r="N29" i="43"/>
  <c r="P29" i="43"/>
  <c r="Q29" i="43"/>
  <c r="R29" i="43"/>
  <c r="S29" i="43"/>
  <c r="T29" i="43"/>
  <c r="V29" i="43"/>
  <c r="W29" i="43"/>
  <c r="X29" i="43"/>
  <c r="Y29" i="43"/>
  <c r="Z29" i="43"/>
  <c r="AA29" i="43"/>
  <c r="AB29" i="43"/>
  <c r="AC29" i="43"/>
  <c r="A31" i="43"/>
  <c r="B31" i="43"/>
  <c r="C31" i="43"/>
  <c r="D31" i="43"/>
  <c r="E31" i="43"/>
  <c r="F31" i="43"/>
  <c r="G31" i="43"/>
  <c r="H31" i="43"/>
  <c r="I31" i="43"/>
  <c r="J31" i="43"/>
  <c r="K31" i="43"/>
  <c r="L31" i="43"/>
  <c r="M31" i="43"/>
  <c r="N31" i="43"/>
  <c r="O31" i="43"/>
  <c r="P31" i="43"/>
  <c r="Q31" i="43"/>
  <c r="R31" i="43"/>
  <c r="S31" i="43"/>
  <c r="T31" i="43"/>
  <c r="U31" i="43"/>
  <c r="V31" i="43"/>
  <c r="W31" i="43"/>
  <c r="X31" i="43"/>
  <c r="Y31" i="43"/>
  <c r="Z31" i="43"/>
  <c r="AA31" i="43"/>
  <c r="AB31" i="43"/>
  <c r="AC31" i="43"/>
  <c r="AD31" i="43"/>
  <c r="AE31" i="43"/>
  <c r="AF31" i="43"/>
  <c r="AG31" i="43"/>
  <c r="AH31" i="43"/>
  <c r="AI31" i="43"/>
  <c r="AJ31" i="43"/>
  <c r="AK31" i="43"/>
  <c r="A34" i="43"/>
  <c r="B34" i="43"/>
  <c r="D34" i="43"/>
  <c r="E34" i="43"/>
  <c r="G34" i="43"/>
  <c r="H34" i="43"/>
  <c r="I34" i="43"/>
  <c r="J34" i="43"/>
  <c r="A37" i="43"/>
  <c r="B37" i="43"/>
  <c r="D37" i="43"/>
  <c r="E37" i="43"/>
  <c r="G37" i="43"/>
  <c r="H37" i="43"/>
  <c r="I37" i="43"/>
  <c r="J37" i="43"/>
  <c r="A11" i="42"/>
  <c r="B11" i="42"/>
  <c r="C11" i="42"/>
  <c r="D11" i="42"/>
  <c r="E11" i="42"/>
  <c r="F11" i="42"/>
  <c r="G11" i="42"/>
  <c r="H11" i="42"/>
  <c r="I11" i="42"/>
  <c r="J11" i="42"/>
  <c r="L12" i="42"/>
  <c r="R12" i="42"/>
  <c r="L13" i="42"/>
  <c r="R13" i="42"/>
  <c r="A14" i="42"/>
  <c r="B14" i="42"/>
  <c r="C14" i="42"/>
  <c r="D14" i="42"/>
  <c r="E14" i="42"/>
  <c r="F14" i="42"/>
  <c r="G14" i="42"/>
  <c r="H14" i="42"/>
  <c r="L14" i="42"/>
  <c r="A19" i="42"/>
  <c r="B19" i="42"/>
  <c r="C19" i="42"/>
  <c r="D19" i="42"/>
  <c r="E19" i="42"/>
  <c r="F19" i="42"/>
  <c r="G19" i="42"/>
  <c r="H19" i="42"/>
  <c r="I19" i="42"/>
  <c r="J19" i="42"/>
  <c r="K19" i="42"/>
  <c r="L19" i="42"/>
  <c r="M19" i="42"/>
  <c r="N19" i="42"/>
  <c r="O19" i="42"/>
  <c r="P19" i="42"/>
  <c r="Q19" i="42"/>
  <c r="R19" i="42"/>
  <c r="S19" i="42"/>
  <c r="T19" i="42"/>
  <c r="U19" i="42"/>
  <c r="V19" i="42"/>
  <c r="W19" i="42"/>
  <c r="X19" i="42"/>
  <c r="Y19" i="42"/>
  <c r="Z19" i="42"/>
  <c r="AA19" i="42"/>
  <c r="AB19" i="42"/>
  <c r="AC19" i="42"/>
  <c r="AD19" i="42"/>
  <c r="AE19" i="42"/>
  <c r="AF19" i="42"/>
  <c r="AG19" i="42"/>
  <c r="AH19" i="42"/>
  <c r="AI19" i="42"/>
  <c r="AJ19" i="42"/>
  <c r="AK19" i="42"/>
  <c r="A20" i="42"/>
  <c r="B20" i="42"/>
  <c r="C20" i="42"/>
  <c r="D20" i="42"/>
  <c r="E20" i="42"/>
  <c r="F20" i="42"/>
  <c r="G20" i="42"/>
  <c r="H20" i="42"/>
  <c r="I20" i="42"/>
  <c r="J20" i="42"/>
  <c r="K20" i="42"/>
  <c r="L20" i="42"/>
  <c r="M20" i="42"/>
  <c r="N20" i="42"/>
  <c r="O20" i="42"/>
  <c r="P20" i="42"/>
  <c r="Q20" i="42"/>
  <c r="R20" i="42"/>
  <c r="S20" i="42"/>
  <c r="T20" i="42"/>
  <c r="U20" i="42"/>
  <c r="V20" i="42"/>
  <c r="W20" i="42"/>
  <c r="X20" i="42"/>
  <c r="Y20" i="42"/>
  <c r="Z20" i="42"/>
  <c r="AA20" i="42"/>
  <c r="AB20" i="42"/>
  <c r="AC20" i="42"/>
  <c r="AD20" i="42"/>
  <c r="AE20" i="42"/>
  <c r="AF20" i="42"/>
  <c r="AG20" i="42"/>
  <c r="AH20" i="42"/>
  <c r="AI20" i="42"/>
  <c r="AJ20" i="42"/>
  <c r="AK20" i="42"/>
  <c r="A22" i="42"/>
  <c r="B22" i="42"/>
  <c r="C22" i="42"/>
  <c r="D22" i="42"/>
  <c r="E22" i="42"/>
  <c r="F22" i="42"/>
  <c r="G22" i="42"/>
  <c r="H22" i="42"/>
  <c r="I22" i="42"/>
  <c r="J22" i="42"/>
  <c r="K22" i="42"/>
  <c r="L22" i="42"/>
  <c r="M22" i="42"/>
  <c r="N22" i="42"/>
  <c r="O22" i="42"/>
  <c r="P22" i="42"/>
  <c r="Q22" i="42"/>
  <c r="R22" i="42"/>
  <c r="S22" i="42"/>
  <c r="T22" i="42"/>
  <c r="U22" i="42"/>
  <c r="V22" i="42"/>
  <c r="W22" i="42"/>
  <c r="X22" i="42"/>
  <c r="Y22" i="42"/>
  <c r="Z22" i="42"/>
  <c r="AA22" i="42"/>
  <c r="AB22" i="42"/>
  <c r="AC22" i="42"/>
  <c r="AD22" i="42"/>
  <c r="AE22" i="42"/>
  <c r="AF22" i="42"/>
  <c r="AG22" i="42"/>
  <c r="AH22" i="42"/>
  <c r="AI22" i="42"/>
  <c r="AJ22" i="42"/>
  <c r="AK22" i="42"/>
  <c r="A25" i="42"/>
  <c r="B25" i="42"/>
  <c r="C25" i="42"/>
  <c r="D25" i="42"/>
  <c r="E25" i="42"/>
  <c r="F25" i="42"/>
  <c r="G25" i="42"/>
  <c r="H25" i="42"/>
  <c r="I25" i="42"/>
  <c r="J25" i="42"/>
  <c r="K25" i="42"/>
  <c r="L25" i="42"/>
  <c r="M25" i="42"/>
  <c r="N25" i="42"/>
  <c r="O25" i="42"/>
  <c r="P25" i="42"/>
  <c r="Q25" i="42"/>
  <c r="R25" i="42"/>
  <c r="S25" i="42"/>
  <c r="T25" i="42"/>
  <c r="U25" i="42"/>
  <c r="V25" i="42"/>
  <c r="W25" i="42"/>
  <c r="X25" i="42"/>
  <c r="Y25" i="42"/>
  <c r="Z25" i="42"/>
  <c r="AB25" i="42"/>
  <c r="AC25" i="42"/>
  <c r="AD25" i="42"/>
  <c r="AE25" i="42"/>
  <c r="AF25" i="42"/>
  <c r="AG25" i="42"/>
  <c r="AH25" i="42"/>
  <c r="AI25" i="42"/>
  <c r="AJ25" i="42"/>
  <c r="AK25" i="42"/>
  <c r="A27" i="42"/>
  <c r="B27" i="42"/>
  <c r="C27" i="42"/>
  <c r="D27" i="42"/>
  <c r="E27" i="42"/>
  <c r="G27" i="42"/>
  <c r="H27" i="42"/>
  <c r="I27" i="42"/>
  <c r="J27" i="42"/>
  <c r="K27" i="42"/>
  <c r="L27" i="42"/>
  <c r="M27" i="42"/>
  <c r="N27" i="42"/>
  <c r="O27" i="42"/>
  <c r="P27" i="42"/>
  <c r="Q27" i="42"/>
  <c r="R27" i="42"/>
  <c r="S27" i="42"/>
  <c r="T27" i="42"/>
  <c r="U27" i="42"/>
  <c r="V27" i="42"/>
  <c r="W27" i="42"/>
  <c r="X27" i="42"/>
  <c r="Y27" i="42"/>
  <c r="Z27" i="42"/>
  <c r="AA27" i="42"/>
  <c r="AB27" i="42"/>
  <c r="AC27" i="42"/>
  <c r="AD27" i="42"/>
  <c r="AE27" i="42"/>
  <c r="AF27" i="42"/>
  <c r="AG27" i="42"/>
  <c r="AH27" i="42"/>
  <c r="AI27" i="42"/>
  <c r="AJ27" i="42"/>
  <c r="AK27" i="42"/>
  <c r="A29" i="42"/>
  <c r="B29" i="42"/>
  <c r="C29" i="42"/>
  <c r="D29" i="42"/>
  <c r="E29" i="42"/>
  <c r="G29" i="42"/>
  <c r="H29" i="42"/>
  <c r="I29" i="42"/>
  <c r="J29" i="42"/>
  <c r="K29" i="42"/>
  <c r="L29" i="42"/>
  <c r="M29" i="42"/>
  <c r="N29" i="42"/>
  <c r="P29" i="42"/>
  <c r="Q29" i="42"/>
  <c r="R29" i="42"/>
  <c r="S29" i="42"/>
  <c r="T29" i="42"/>
  <c r="V29" i="42"/>
  <c r="W29" i="42"/>
  <c r="X29" i="42"/>
  <c r="Y29" i="42"/>
  <c r="Z29" i="42"/>
  <c r="AA29" i="42"/>
  <c r="AB29" i="42"/>
  <c r="AC29" i="42"/>
  <c r="A31" i="42"/>
  <c r="B31" i="42"/>
  <c r="C31" i="42"/>
  <c r="D31" i="42"/>
  <c r="E31" i="42"/>
  <c r="F31" i="42"/>
  <c r="G31" i="42"/>
  <c r="H31" i="42"/>
  <c r="I31" i="42"/>
  <c r="J31" i="42"/>
  <c r="K31" i="42"/>
  <c r="L31" i="42"/>
  <c r="M31" i="42"/>
  <c r="N31" i="42"/>
  <c r="O31" i="42"/>
  <c r="P31" i="42"/>
  <c r="Q31" i="42"/>
  <c r="R31" i="42"/>
  <c r="S31" i="42"/>
  <c r="T31" i="42"/>
  <c r="U31" i="42"/>
  <c r="V31" i="42"/>
  <c r="W31" i="42"/>
  <c r="X31" i="42"/>
  <c r="Y31" i="42"/>
  <c r="Z31" i="42"/>
  <c r="AA31" i="42"/>
  <c r="AB31" i="42"/>
  <c r="AC31" i="42"/>
  <c r="AD31" i="42"/>
  <c r="AE31" i="42"/>
  <c r="AF31" i="42"/>
  <c r="AG31" i="42"/>
  <c r="AH31" i="42"/>
  <c r="AI31" i="42"/>
  <c r="AJ31" i="42"/>
  <c r="AK31" i="42"/>
  <c r="A34" i="42"/>
  <c r="B34" i="42"/>
  <c r="D34" i="42"/>
  <c r="E34" i="42"/>
  <c r="G34" i="42"/>
  <c r="H34" i="42"/>
  <c r="I34" i="42"/>
  <c r="J34" i="42"/>
  <c r="A37" i="42"/>
  <c r="B37" i="42"/>
  <c r="D37" i="42"/>
  <c r="E37" i="42"/>
  <c r="G37" i="42"/>
  <c r="H37" i="42"/>
  <c r="I37" i="42"/>
  <c r="J37" i="42"/>
  <c r="H15" i="10"/>
  <c r="H25" i="10"/>
  <c r="H26" i="10"/>
  <c r="E17" i="33" s="1"/>
  <c r="F17" i="33" s="1"/>
  <c r="H29" i="10"/>
  <c r="E20" i="33" s="1"/>
  <c r="F20" i="33" s="1"/>
  <c r="H30" i="10"/>
  <c r="H31" i="10"/>
  <c r="H35" i="10"/>
  <c r="E26" i="33" s="1"/>
  <c r="F26" i="33" s="1"/>
  <c r="H36" i="10"/>
  <c r="H53" i="10"/>
  <c r="E42" i="33" s="1"/>
  <c r="F42" i="33" s="1"/>
  <c r="H54" i="10"/>
  <c r="H40" i="10"/>
  <c r="E29" i="33" s="1"/>
  <c r="F29" i="33" s="1"/>
  <c r="H41" i="10"/>
  <c r="E31" i="33" s="1"/>
  <c r="F31" i="33" s="1"/>
  <c r="H44" i="10"/>
  <c r="H45" i="10"/>
  <c r="H46" i="10"/>
  <c r="H47" i="10"/>
  <c r="E36" i="33" s="1"/>
  <c r="F36" i="33" s="1"/>
  <c r="H48" i="10"/>
  <c r="H49" i="10"/>
  <c r="H50" i="10"/>
  <c r="E39" i="33" s="1"/>
  <c r="F39" i="33" s="1"/>
  <c r="H51" i="10"/>
  <c r="E40" i="33" s="1"/>
  <c r="F40" i="33" s="1"/>
  <c r="H56" i="10"/>
  <c r="H58" i="10"/>
  <c r="H59" i="10"/>
  <c r="E48" i="33" s="1"/>
  <c r="F48" i="33" s="1"/>
  <c r="H69" i="10"/>
  <c r="H70" i="10"/>
  <c r="E56" i="33" s="1"/>
  <c r="F56" i="33" s="1"/>
  <c r="H75" i="10"/>
  <c r="H76" i="10"/>
  <c r="H82" i="10"/>
  <c r="I10" i="29"/>
  <c r="I82" i="29"/>
  <c r="D102" i="29"/>
  <c r="I117" i="29"/>
  <c r="I119" i="29"/>
  <c r="D124" i="29"/>
  <c r="D129" i="29"/>
  <c r="D131" i="29"/>
  <c r="D139" i="29"/>
  <c r="D141" i="29"/>
  <c r="D143" i="29"/>
  <c r="D145" i="29"/>
  <c r="H175" i="29"/>
  <c r="I175" i="29" s="1"/>
  <c r="I198" i="29"/>
  <c r="G80" i="7"/>
  <c r="E6" i="2"/>
  <c r="F6" i="2"/>
  <c r="G6" i="2"/>
  <c r="H6" i="2" s="1"/>
  <c r="A12" i="2"/>
  <c r="A13" i="2"/>
  <c r="A14" i="2"/>
  <c r="A15" i="2"/>
  <c r="A16" i="2"/>
  <c r="A17" i="2"/>
  <c r="A20" i="2"/>
  <c r="A21" i="2"/>
  <c r="A22" i="2"/>
  <c r="A23" i="2"/>
  <c r="A24" i="2"/>
  <c r="A25" i="2"/>
  <c r="A27" i="2"/>
  <c r="A28" i="2"/>
  <c r="A29" i="2"/>
  <c r="A31" i="2"/>
  <c r="A32" i="2"/>
  <c r="A33" i="2"/>
  <c r="A34" i="2"/>
  <c r="A36" i="2"/>
  <c r="A37" i="2"/>
  <c r="A38" i="2"/>
  <c r="A39" i="2"/>
  <c r="A41" i="2"/>
  <c r="A42" i="2"/>
  <c r="A43" i="2"/>
  <c r="A44" i="2"/>
  <c r="A45" i="2"/>
  <c r="A48" i="2"/>
  <c r="A51" i="2"/>
  <c r="A52" i="2"/>
  <c r="A54" i="2"/>
  <c r="A55" i="2"/>
  <c r="A56" i="2"/>
  <c r="A57" i="2"/>
  <c r="A58" i="2"/>
  <c r="A59" i="2"/>
  <c r="A60" i="2"/>
  <c r="A62" i="2"/>
  <c r="A63" i="2"/>
  <c r="A64" i="2"/>
  <c r="A65" i="2"/>
  <c r="A66" i="2"/>
  <c r="A67" i="2"/>
  <c r="A69" i="2"/>
  <c r="A76" i="2"/>
  <c r="A83" i="2"/>
  <c r="A84" i="2"/>
  <c r="A85" i="2"/>
  <c r="A89" i="2"/>
  <c r="A100" i="2"/>
  <c r="A101" i="2"/>
  <c r="A102" i="2"/>
  <c r="A104" i="2"/>
  <c r="A106" i="2"/>
  <c r="A107" i="2"/>
  <c r="A108" i="2"/>
  <c r="A109" i="2"/>
  <c r="A111" i="2"/>
  <c r="A114" i="2"/>
  <c r="A117" i="2"/>
  <c r="A118" i="2"/>
  <c r="A119" i="2"/>
  <c r="A121" i="2"/>
  <c r="A122" i="2"/>
  <c r="A124" i="2"/>
  <c r="A125" i="2"/>
  <c r="A127" i="2"/>
  <c r="A128" i="2"/>
  <c r="A131" i="2"/>
  <c r="A134" i="2"/>
  <c r="A135" i="2"/>
  <c r="A136" i="2"/>
  <c r="A137" i="2"/>
  <c r="A139" i="2"/>
  <c r="A141" i="2"/>
  <c r="A142" i="2"/>
  <c r="A143" i="2"/>
  <c r="A145" i="2"/>
  <c r="A149" i="2"/>
  <c r="A151" i="2"/>
  <c r="A152" i="2"/>
  <c r="A153" i="2"/>
  <c r="A155" i="2"/>
  <c r="A156" i="2"/>
  <c r="A157" i="2"/>
  <c r="A159" i="2"/>
  <c r="A160" i="2"/>
  <c r="A161" i="2"/>
  <c r="A162" i="2"/>
  <c r="A163" i="2"/>
  <c r="A166" i="2"/>
  <c r="A167" i="2"/>
  <c r="A168" i="2"/>
  <c r="A169" i="2"/>
  <c r="A171" i="2"/>
  <c r="A172" i="2"/>
  <c r="A174" i="2"/>
  <c r="A177" i="2"/>
  <c r="A179" i="2"/>
  <c r="A181" i="2"/>
  <c r="A184" i="2"/>
  <c r="A187" i="2"/>
  <c r="A190" i="2"/>
  <c r="A196" i="2"/>
  <c r="A204" i="2"/>
  <c r="A206" i="2"/>
  <c r="A207" i="2"/>
  <c r="A208" i="2"/>
  <c r="A211" i="2"/>
  <c r="A212" i="2"/>
  <c r="A213" i="2"/>
  <c r="A214" i="2"/>
  <c r="A216" i="2"/>
  <c r="A217" i="2"/>
  <c r="A218" i="2"/>
  <c r="A221" i="2"/>
  <c r="A224" i="2"/>
  <c r="A226" i="2"/>
  <c r="A229" i="2"/>
  <c r="A232" i="2"/>
  <c r="A235" i="2"/>
  <c r="A238" i="2"/>
  <c r="A241" i="2"/>
  <c r="A246" i="2"/>
  <c r="A251" i="2"/>
  <c r="A252" i="2"/>
  <c r="A255" i="2"/>
  <c r="A258" i="2"/>
  <c r="A261" i="2"/>
  <c r="A263" i="2"/>
  <c r="A266" i="2"/>
  <c r="A267" i="2"/>
  <c r="A268" i="2"/>
  <c r="A269" i="2"/>
  <c r="A270" i="2"/>
  <c r="A271" i="2"/>
  <c r="A273" i="2"/>
  <c r="A276" i="2"/>
  <c r="A279" i="2"/>
  <c r="A284" i="2"/>
  <c r="A287" i="2"/>
  <c r="A290" i="2"/>
  <c r="A293" i="2"/>
  <c r="A296" i="2"/>
  <c r="A301" i="2"/>
  <c r="A304" i="2"/>
  <c r="A306" i="2"/>
  <c r="A309" i="2"/>
  <c r="A312" i="2"/>
  <c r="A315" i="2"/>
  <c r="A318" i="2"/>
  <c r="A321" i="2"/>
  <c r="A323" i="2"/>
  <c r="A337" i="2"/>
  <c r="A338" i="2"/>
  <c r="A341" i="2"/>
  <c r="A343" i="2"/>
  <c r="A345" i="2"/>
  <c r="A346" i="2"/>
  <c r="A347" i="2"/>
  <c r="A348" i="2"/>
  <c r="A349" i="2"/>
  <c r="A350" i="2"/>
  <c r="A351" i="2"/>
  <c r="A352" i="2"/>
  <c r="A353" i="2"/>
  <c r="A354" i="2"/>
  <c r="A356" i="2"/>
  <c r="A357" i="2"/>
  <c r="A358" i="2"/>
  <c r="A359" i="2"/>
  <c r="A360" i="2"/>
  <c r="A361" i="2"/>
  <c r="A362" i="2"/>
  <c r="A364" i="2"/>
  <c r="A365" i="2"/>
  <c r="A367" i="2"/>
  <c r="A370" i="2"/>
  <c r="A371" i="2"/>
  <c r="A373" i="2"/>
  <c r="A376" i="2"/>
  <c r="A378" i="2"/>
  <c r="A383" i="2"/>
  <c r="A384" i="2"/>
  <c r="A387" i="2"/>
  <c r="A390" i="2"/>
  <c r="A393" i="2"/>
  <c r="A394" i="2"/>
  <c r="A398" i="2"/>
  <c r="A403" i="2"/>
  <c r="A405" i="2"/>
  <c r="A408" i="2"/>
  <c r="A410" i="2"/>
  <c r="A411" i="2"/>
  <c r="A413" i="2"/>
  <c r="A415" i="2"/>
  <c r="A416" i="2"/>
  <c r="A417" i="2"/>
  <c r="A418" i="2"/>
  <c r="A419" i="2"/>
  <c r="A423" i="2"/>
  <c r="A425" i="2"/>
  <c r="A426" i="2"/>
  <c r="A427" i="2"/>
  <c r="A428" i="2"/>
  <c r="A429" i="2"/>
  <c r="A431" i="2"/>
  <c r="A432" i="2"/>
  <c r="A433" i="2"/>
  <c r="A434" i="2"/>
  <c r="A435" i="2"/>
  <c r="A436" i="2"/>
  <c r="A437" i="2"/>
  <c r="A438" i="2"/>
  <c r="A439" i="2"/>
  <c r="A441" i="2"/>
  <c r="A442" i="2"/>
  <c r="A443" i="2"/>
  <c r="A444" i="2"/>
  <c r="A446" i="2"/>
  <c r="A447" i="2"/>
  <c r="A448" i="2"/>
  <c r="A449" i="2"/>
  <c r="A450" i="2"/>
  <c r="A451" i="2"/>
  <c r="A452" i="2"/>
  <c r="A453" i="2"/>
  <c r="A454" i="2"/>
  <c r="A455" i="2"/>
  <c r="A457" i="2"/>
  <c r="A458" i="2"/>
  <c r="A459" i="2"/>
  <c r="A460" i="2"/>
  <c r="A461" i="2"/>
  <c r="A463" i="2"/>
  <c r="A464" i="2"/>
  <c r="A465" i="2"/>
  <c r="A466" i="2"/>
  <c r="A467" i="2"/>
  <c r="A468" i="2"/>
  <c r="A469" i="2"/>
  <c r="A470" i="2"/>
  <c r="A471" i="2"/>
  <c r="A472" i="2"/>
  <c r="A474" i="2"/>
  <c r="A475" i="2"/>
  <c r="A476" i="2"/>
  <c r="A478" i="2"/>
  <c r="A479" i="2"/>
  <c r="A480" i="2"/>
  <c r="A481" i="2"/>
  <c r="A482" i="2"/>
  <c r="A483" i="2"/>
  <c r="A484" i="2"/>
  <c r="A485" i="2"/>
  <c r="A486" i="2"/>
  <c r="A488" i="2"/>
  <c r="A490" i="2"/>
  <c r="A491" i="2"/>
  <c r="A492" i="2"/>
  <c r="A495" i="2"/>
  <c r="A497" i="2"/>
  <c r="A498" i="2"/>
  <c r="A499" i="2"/>
  <c r="A500" i="2"/>
  <c r="A501" i="2"/>
  <c r="A503" i="2"/>
  <c r="A504" i="2"/>
  <c r="A505" i="2"/>
  <c r="A506" i="2"/>
  <c r="A507" i="2"/>
  <c r="A509" i="2"/>
  <c r="A510" i="2"/>
  <c r="A511" i="2"/>
  <c r="A512" i="2"/>
  <c r="A513" i="2"/>
  <c r="A514" i="2"/>
  <c r="A515" i="2"/>
  <c r="A517" i="2"/>
  <c r="A518" i="2"/>
  <c r="A519" i="2"/>
  <c r="A521" i="2"/>
  <c r="A522" i="2"/>
  <c r="A523" i="2"/>
  <c r="A524" i="2"/>
  <c r="A525" i="2"/>
  <c r="A529" i="2"/>
  <c r="A530" i="2"/>
  <c r="A531" i="2"/>
  <c r="A532" i="2"/>
  <c r="A534" i="2"/>
  <c r="A535" i="2"/>
  <c r="A536" i="2"/>
  <c r="A538" i="2"/>
  <c r="A539" i="2"/>
  <c r="K88" i="23" l="1"/>
  <c r="S114" i="23"/>
  <c r="AF88" i="23"/>
  <c r="AA88" i="23"/>
  <c r="W88" i="23"/>
  <c r="O88" i="23"/>
  <c r="C79" i="23"/>
  <c r="X88" i="23"/>
  <c r="R88" i="23"/>
  <c r="N88" i="23"/>
  <c r="J88" i="23"/>
  <c r="C73" i="23"/>
  <c r="M36" i="23"/>
  <c r="M54" i="23" s="1"/>
  <c r="M63" i="23" s="1"/>
  <c r="E541" i="2"/>
  <c r="G487" i="2"/>
  <c r="G412" i="2"/>
  <c r="AD12" i="42"/>
  <c r="F15" i="50"/>
  <c r="D12" i="52" s="1"/>
  <c r="H178" i="2"/>
  <c r="E35" i="33"/>
  <c r="F35" i="33" s="1"/>
  <c r="E64" i="33"/>
  <c r="F64" i="33" s="1"/>
  <c r="E27" i="33"/>
  <c r="F27" i="33" s="1"/>
  <c r="E45" i="33"/>
  <c r="F45" i="33" s="1"/>
  <c r="E37" i="33"/>
  <c r="F37" i="33" s="1"/>
  <c r="E33" i="33"/>
  <c r="F33" i="33" s="1"/>
  <c r="E21" i="33"/>
  <c r="F21" i="33" s="1"/>
  <c r="E9" i="33"/>
  <c r="F9" i="33" s="1"/>
  <c r="D33" i="33"/>
  <c r="E11" i="33"/>
  <c r="F11" i="33" s="1"/>
  <c r="E61" i="33"/>
  <c r="F61" i="33" s="1"/>
  <c r="E55" i="33"/>
  <c r="F55" i="33" s="1"/>
  <c r="D60" i="33"/>
  <c r="E7" i="33"/>
  <c r="F7" i="33" s="1"/>
  <c r="E60" i="33"/>
  <c r="F60" i="33" s="1"/>
  <c r="E47" i="33"/>
  <c r="F47" i="33" s="1"/>
  <c r="E38" i="33"/>
  <c r="F38" i="33" s="1"/>
  <c r="E34" i="33"/>
  <c r="F34" i="33" s="1"/>
  <c r="E43" i="33"/>
  <c r="F43" i="33" s="1"/>
  <c r="E22" i="33"/>
  <c r="F22" i="33" s="1"/>
  <c r="E16" i="33"/>
  <c r="F16" i="33" s="1"/>
  <c r="D38" i="33"/>
  <c r="E46" i="33"/>
  <c r="F46" i="33" s="1"/>
  <c r="U4" i="43"/>
  <c r="S4" i="42"/>
  <c r="T4" i="49"/>
  <c r="AG15" i="48"/>
  <c r="AI15" i="42"/>
  <c r="AH15" i="43"/>
  <c r="AI12" i="43"/>
  <c r="U4" i="48"/>
  <c r="AG12" i="42"/>
  <c r="AH12" i="48"/>
  <c r="AG14" i="43"/>
  <c r="AG14" i="42"/>
  <c r="P4" i="48"/>
  <c r="O4" i="43"/>
  <c r="M4" i="42"/>
  <c r="O4" i="42"/>
  <c r="AI11" i="43"/>
  <c r="I34" i="7"/>
  <c r="G103" i="7"/>
  <c r="H157" i="29" s="1"/>
  <c r="I157" i="29" s="1"/>
  <c r="H179" i="29"/>
  <c r="I179" i="29" s="1"/>
  <c r="I80" i="7"/>
  <c r="H165" i="29"/>
  <c r="I165" i="29" s="1"/>
  <c r="G111" i="7"/>
  <c r="H164" i="29" s="1"/>
  <c r="I164" i="29" s="1"/>
  <c r="AD14" i="43"/>
  <c r="AJ15" i="42"/>
  <c r="AI15" i="43"/>
  <c r="AJ15" i="48"/>
  <c r="AI15" i="49"/>
  <c r="AG15" i="42"/>
  <c r="AJ15" i="43"/>
  <c r="AH15" i="42"/>
  <c r="AG15" i="43"/>
  <c r="AH12" i="42"/>
  <c r="T4" i="42"/>
  <c r="AJ12" i="43"/>
  <c r="AJ12" i="48"/>
  <c r="AI12" i="42"/>
  <c r="U4" i="42"/>
  <c r="AG12" i="43"/>
  <c r="S4" i="43"/>
  <c r="R4" i="48"/>
  <c r="AJ12" i="49"/>
  <c r="R4" i="43"/>
  <c r="AI12" i="49"/>
  <c r="U4" i="49"/>
  <c r="AJ12" i="42"/>
  <c r="R4" i="42"/>
  <c r="AH12" i="43"/>
  <c r="T4" i="43"/>
  <c r="AG12" i="48"/>
  <c r="S4" i="48"/>
  <c r="AD11" i="42"/>
  <c r="AE11" i="42"/>
  <c r="AE11" i="43"/>
  <c r="I63" i="7"/>
  <c r="D2" i="44"/>
  <c r="I54" i="7"/>
  <c r="H84" i="29" s="1"/>
  <c r="D2" i="50"/>
  <c r="E2" i="10"/>
  <c r="C2" i="2" s="1"/>
  <c r="G157" i="7"/>
  <c r="AC3" i="23" s="1"/>
  <c r="G161" i="7"/>
  <c r="W3" i="23"/>
  <c r="AI15" i="48"/>
  <c r="AE14" i="48"/>
  <c r="AI14" i="48"/>
  <c r="AD14" i="48"/>
  <c r="AE12" i="48"/>
  <c r="AH12" i="49"/>
  <c r="G9" i="2"/>
  <c r="E2" i="45"/>
  <c r="H210" i="29"/>
  <c r="I210" i="29" s="1"/>
  <c r="AD15" i="49"/>
  <c r="AE15" i="42"/>
  <c r="AH15" i="48"/>
  <c r="AD15" i="43"/>
  <c r="AD15" i="42"/>
  <c r="AJ14" i="49"/>
  <c r="AH14" i="42"/>
  <c r="AH14" i="43"/>
  <c r="AJ14" i="48"/>
  <c r="AJ14" i="42"/>
  <c r="AJ14" i="43"/>
  <c r="AH14" i="48"/>
  <c r="AI14" i="49"/>
  <c r="AI14" i="42"/>
  <c r="AI14" i="43"/>
  <c r="AG14" i="48"/>
  <c r="AE12" i="43"/>
  <c r="AI12" i="48"/>
  <c r="AD12" i="48"/>
  <c r="T4" i="48"/>
  <c r="O4" i="48"/>
  <c r="AE12" i="49"/>
  <c r="AE12" i="42"/>
  <c r="P4" i="42"/>
  <c r="AD12" i="43"/>
  <c r="P4" i="43"/>
  <c r="AJ11" i="49"/>
  <c r="AH11" i="42"/>
  <c r="AJ11" i="43"/>
  <c r="AI11" i="49"/>
  <c r="G48" i="45"/>
  <c r="D38" i="47" s="1"/>
  <c r="G19" i="50"/>
  <c r="H19" i="50" s="1"/>
  <c r="F38" i="44"/>
  <c r="D57" i="46" s="1"/>
  <c r="G70" i="44"/>
  <c r="D120" i="46" s="1"/>
  <c r="G34" i="45"/>
  <c r="D25" i="47" s="1"/>
  <c r="F42" i="50"/>
  <c r="D68" i="52" s="1"/>
  <c r="F30" i="44"/>
  <c r="D43" i="46" s="1"/>
  <c r="D37" i="29"/>
  <c r="H13" i="51"/>
  <c r="E7" i="53" s="1"/>
  <c r="D3" i="44"/>
  <c r="H30" i="51"/>
  <c r="E21" i="53" s="1"/>
  <c r="H154" i="29"/>
  <c r="I154" i="29" s="1"/>
  <c r="G54" i="50"/>
  <c r="D89" i="52" s="1"/>
  <c r="H196" i="29"/>
  <c r="I196" i="29" s="1"/>
  <c r="H163" i="29"/>
  <c r="I163" i="29" s="1"/>
  <c r="H35" i="29"/>
  <c r="I35" i="29" s="1"/>
  <c r="G51" i="44"/>
  <c r="D83" i="46" s="1"/>
  <c r="F50" i="7"/>
  <c r="F16" i="50"/>
  <c r="D14" i="52" s="1"/>
  <c r="G39" i="45"/>
  <c r="D28" i="47" s="1"/>
  <c r="H69" i="23"/>
  <c r="H70" i="23" s="1"/>
  <c r="H88" i="23" s="1"/>
  <c r="G18" i="7"/>
  <c r="G68" i="45"/>
  <c r="D55" i="47" s="1"/>
  <c r="F76" i="50"/>
  <c r="H76" i="50" s="1"/>
  <c r="F106" i="44"/>
  <c r="G157" i="46" s="1"/>
  <c r="H83" i="50"/>
  <c r="F58" i="50"/>
  <c r="D97" i="52" s="1"/>
  <c r="H169" i="29"/>
  <c r="I169" i="29" s="1"/>
  <c r="H187" i="29"/>
  <c r="I187" i="29" s="1"/>
  <c r="H159" i="29"/>
  <c r="I159" i="29" s="1"/>
  <c r="H113" i="29"/>
  <c r="I113" i="29" s="1"/>
  <c r="H72" i="10"/>
  <c r="E57" i="33" s="1"/>
  <c r="F57" i="33" s="1"/>
  <c r="F110" i="44"/>
  <c r="G160" i="46" s="1"/>
  <c r="H182" i="29"/>
  <c r="I182" i="29" s="1"/>
  <c r="H189" i="29"/>
  <c r="I189" i="29" s="1"/>
  <c r="H162" i="29"/>
  <c r="I162" i="29" s="1"/>
  <c r="H61" i="29"/>
  <c r="I61" i="29" s="1"/>
  <c r="F150" i="44"/>
  <c r="G194" i="46" s="1"/>
  <c r="G71" i="44"/>
  <c r="D122" i="46" s="1"/>
  <c r="F82" i="44"/>
  <c r="D140" i="46" s="1"/>
  <c r="G140" i="46" s="1"/>
  <c r="G108" i="50"/>
  <c r="H158" i="52" s="1"/>
  <c r="G30" i="44"/>
  <c r="D44" i="46" s="1"/>
  <c r="I3" i="23"/>
  <c r="H190" i="29"/>
  <c r="I190" i="29" s="1"/>
  <c r="G56" i="10"/>
  <c r="I201" i="29"/>
  <c r="H155" i="29"/>
  <c r="I155" i="29" s="1"/>
  <c r="G45" i="10"/>
  <c r="G36" i="44"/>
  <c r="D54" i="46" s="1"/>
  <c r="G35" i="45"/>
  <c r="D26" i="47" s="1"/>
  <c r="F101" i="50"/>
  <c r="G152" i="52" s="1"/>
  <c r="G69" i="50"/>
  <c r="D118" i="52" s="1"/>
  <c r="G47" i="51"/>
  <c r="D37" i="53" s="1"/>
  <c r="F104" i="7"/>
  <c r="F103" i="44"/>
  <c r="G154" i="46" s="1"/>
  <c r="H199" i="29"/>
  <c r="I199" i="29" s="1"/>
  <c r="H37" i="29"/>
  <c r="I37" i="29" s="1"/>
  <c r="G46" i="10"/>
  <c r="D35" i="33" s="1"/>
  <c r="F132" i="44"/>
  <c r="G178" i="46" s="1"/>
  <c r="F58" i="44"/>
  <c r="D97" i="46" s="1"/>
  <c r="G47" i="45"/>
  <c r="D37" i="47" s="1"/>
  <c r="G71" i="50"/>
  <c r="D122" i="52" s="1"/>
  <c r="F22" i="50"/>
  <c r="D26" i="52" s="1"/>
  <c r="F109" i="7"/>
  <c r="H128" i="29"/>
  <c r="I128" i="29" s="1"/>
  <c r="D112" i="29"/>
  <c r="H74" i="29"/>
  <c r="I74" i="29" s="1"/>
  <c r="H167" i="29"/>
  <c r="I167" i="29" s="1"/>
  <c r="H158" i="29"/>
  <c r="I158" i="29" s="1"/>
  <c r="H134" i="29"/>
  <c r="I134" i="29" s="1"/>
  <c r="H111" i="29"/>
  <c r="I111" i="29" s="1"/>
  <c r="H26" i="29"/>
  <c r="I26" i="29" s="1"/>
  <c r="E3" i="23"/>
  <c r="H57" i="7"/>
  <c r="G208" i="29"/>
  <c r="H97" i="29"/>
  <c r="I97" i="29" s="1"/>
  <c r="D120" i="29"/>
  <c r="W4" i="23"/>
  <c r="G174" i="29"/>
  <c r="H85" i="7"/>
  <c r="D144" i="29"/>
  <c r="G144" i="29" s="1"/>
  <c r="D35" i="29"/>
  <c r="G58" i="10"/>
  <c r="D47" i="33" s="1"/>
  <c r="F122" i="44"/>
  <c r="G168" i="46" s="1"/>
  <c r="G44" i="45"/>
  <c r="D34" i="47" s="1"/>
  <c r="F105" i="50"/>
  <c r="G156" i="52" s="1"/>
  <c r="G55" i="51"/>
  <c r="D45" i="53" s="1"/>
  <c r="G25" i="51"/>
  <c r="D16" i="53" s="1"/>
  <c r="F67" i="7"/>
  <c r="H67" i="7" s="1"/>
  <c r="G149" i="50"/>
  <c r="H193" i="52" s="1"/>
  <c r="H144" i="29"/>
  <c r="I144" i="29" s="1"/>
  <c r="H207" i="29"/>
  <c r="I207" i="29" s="1"/>
  <c r="H181" i="29"/>
  <c r="I181" i="29" s="1"/>
  <c r="H115" i="29"/>
  <c r="I115" i="29" s="1"/>
  <c r="H22" i="29"/>
  <c r="G36" i="10"/>
  <c r="G25" i="10"/>
  <c r="D16" i="33" s="1"/>
  <c r="F129" i="44"/>
  <c r="G175" i="46" s="1"/>
  <c r="F39" i="44"/>
  <c r="D59" i="46" s="1"/>
  <c r="G59" i="46" s="1"/>
  <c r="F28" i="44"/>
  <c r="D39" i="46" s="1"/>
  <c r="G57" i="45"/>
  <c r="D47" i="47" s="1"/>
  <c r="H53" i="45"/>
  <c r="E43" i="47" s="1"/>
  <c r="H26" i="45"/>
  <c r="E17" i="47" s="1"/>
  <c r="H13" i="45"/>
  <c r="E7" i="47" s="1"/>
  <c r="F110" i="50"/>
  <c r="G160" i="52" s="1"/>
  <c r="G67" i="50"/>
  <c r="H67" i="50" s="1"/>
  <c r="G45" i="51"/>
  <c r="D35" i="53" s="1"/>
  <c r="G30" i="7"/>
  <c r="D42" i="29" s="1"/>
  <c r="F151" i="44"/>
  <c r="G195" i="46" s="1"/>
  <c r="G40" i="50"/>
  <c r="D62" i="52" s="1"/>
  <c r="F29" i="7"/>
  <c r="H184" i="29"/>
  <c r="I184" i="29" s="1"/>
  <c r="F22" i="44"/>
  <c r="D26" i="46" s="1"/>
  <c r="F129" i="50"/>
  <c r="G175" i="52" s="1"/>
  <c r="F25" i="50"/>
  <c r="D30" i="52" s="1"/>
  <c r="F24" i="7"/>
  <c r="G31" i="45"/>
  <c r="D22" i="47" s="1"/>
  <c r="H101" i="29"/>
  <c r="I101" i="29" s="1"/>
  <c r="H20" i="29"/>
  <c r="I22" i="29" s="1"/>
  <c r="F98" i="44"/>
  <c r="G150" i="46" s="1"/>
  <c r="G67" i="44"/>
  <c r="D114" i="46" s="1"/>
  <c r="F130" i="50"/>
  <c r="G176" i="52" s="1"/>
  <c r="F150" i="50"/>
  <c r="G194" i="52" s="1"/>
  <c r="G58" i="50"/>
  <c r="D98" i="52" s="1"/>
  <c r="F28" i="50"/>
  <c r="D39" i="52" s="1"/>
  <c r="G39" i="52" s="1"/>
  <c r="G67" i="45"/>
  <c r="D54" i="47" s="1"/>
  <c r="G15" i="10"/>
  <c r="F61" i="50"/>
  <c r="D103" i="52" s="1"/>
  <c r="F146" i="50"/>
  <c r="G191" i="52" s="1"/>
  <c r="G27" i="7"/>
  <c r="H27" i="7" s="1"/>
  <c r="G15" i="50"/>
  <c r="D13" i="52" s="1"/>
  <c r="F37" i="7"/>
  <c r="D53" i="29" s="1"/>
  <c r="H8" i="10"/>
  <c r="D61" i="29"/>
  <c r="D83" i="29"/>
  <c r="D66" i="29"/>
  <c r="G66" i="29" s="1"/>
  <c r="H42" i="7"/>
  <c r="D45" i="29"/>
  <c r="G31" i="44"/>
  <c r="D46" i="46" s="1"/>
  <c r="G45" i="46" s="1"/>
  <c r="F59" i="44"/>
  <c r="D99" i="46" s="1"/>
  <c r="F29" i="50"/>
  <c r="D41" i="52" s="1"/>
  <c r="F21" i="50"/>
  <c r="D24" i="52" s="1"/>
  <c r="G15" i="45"/>
  <c r="D9" i="47" s="1"/>
  <c r="F141" i="50"/>
  <c r="G186" i="52" s="1"/>
  <c r="F78" i="44"/>
  <c r="D136" i="46" s="1"/>
  <c r="G49" i="44"/>
  <c r="D79" i="46" s="1"/>
  <c r="G38" i="44"/>
  <c r="D58" i="46" s="1"/>
  <c r="G29" i="50"/>
  <c r="D42" i="52" s="1"/>
  <c r="O3" i="23"/>
  <c r="H42" i="45"/>
  <c r="E32" i="47" s="1"/>
  <c r="H208" i="29"/>
  <c r="I208" i="29" s="1"/>
  <c r="H204" i="29"/>
  <c r="I204" i="29" s="1"/>
  <c r="H138" i="29"/>
  <c r="I138" i="29" s="1"/>
  <c r="H130" i="29"/>
  <c r="I130" i="29" s="1"/>
  <c r="H109" i="29"/>
  <c r="I109" i="29" s="1"/>
  <c r="H57" i="29"/>
  <c r="I57" i="29" s="1"/>
  <c r="H49" i="29"/>
  <c r="I49" i="29" s="1"/>
  <c r="H10" i="29"/>
  <c r="I12" i="29" s="1"/>
  <c r="G35" i="10"/>
  <c r="D26" i="33" s="1"/>
  <c r="F127" i="44"/>
  <c r="G173" i="46" s="1"/>
  <c r="G61" i="44"/>
  <c r="D104" i="46" s="1"/>
  <c r="G28" i="44"/>
  <c r="D40" i="46" s="1"/>
  <c r="F76" i="44"/>
  <c r="D132" i="46" s="1"/>
  <c r="G132" i="46" s="1"/>
  <c r="F42" i="44"/>
  <c r="D68" i="46" s="1"/>
  <c r="F33" i="44"/>
  <c r="D49" i="46" s="1"/>
  <c r="F16" i="44"/>
  <c r="D14" i="46" s="1"/>
  <c r="H56" i="45"/>
  <c r="E46" i="47" s="1"/>
  <c r="F127" i="50"/>
  <c r="G173" i="52" s="1"/>
  <c r="G65" i="50"/>
  <c r="D110" i="52" s="1"/>
  <c r="F30" i="50"/>
  <c r="D43" i="52" s="1"/>
  <c r="G67" i="51"/>
  <c r="D54" i="53" s="1"/>
  <c r="H56" i="51"/>
  <c r="E46" i="53" s="1"/>
  <c r="G39" i="51"/>
  <c r="D28" i="53" s="1"/>
  <c r="G69" i="10"/>
  <c r="D55" i="33" s="1"/>
  <c r="G64" i="7"/>
  <c r="G14" i="7"/>
  <c r="F70" i="50"/>
  <c r="H70" i="50" s="1"/>
  <c r="F57" i="44"/>
  <c r="D92" i="46" s="1"/>
  <c r="G92" i="46" s="1"/>
  <c r="F133" i="44"/>
  <c r="G179" i="46" s="1"/>
  <c r="F77" i="50"/>
  <c r="D134" i="52" s="1"/>
  <c r="G41" i="50"/>
  <c r="D67" i="52" s="1"/>
  <c r="G30" i="50"/>
  <c r="D44" i="52" s="1"/>
  <c r="G18" i="44"/>
  <c r="D19" i="46" s="1"/>
  <c r="F40" i="44"/>
  <c r="D61" i="46" s="1"/>
  <c r="G108" i="44"/>
  <c r="H158" i="46" s="1"/>
  <c r="H159" i="52"/>
  <c r="G54" i="44"/>
  <c r="D89" i="46" s="1"/>
  <c r="G15" i="44"/>
  <c r="D13" i="46" s="1"/>
  <c r="G46" i="45"/>
  <c r="D36" i="47" s="1"/>
  <c r="F43" i="50"/>
  <c r="D70" i="52" s="1"/>
  <c r="G16" i="44"/>
  <c r="D15" i="46" s="1"/>
  <c r="H107" i="29"/>
  <c r="G47" i="10"/>
  <c r="G43" i="44"/>
  <c r="D71" i="46" s="1"/>
  <c r="G29" i="44"/>
  <c r="D42" i="46" s="1"/>
  <c r="F43" i="44"/>
  <c r="F36" i="44"/>
  <c r="D53" i="46" s="1"/>
  <c r="F29" i="44"/>
  <c r="D41" i="46" s="1"/>
  <c r="F21" i="44"/>
  <c r="H21" i="44" s="1"/>
  <c r="H8" i="45"/>
  <c r="E4" i="47" s="1"/>
  <c r="G43" i="50"/>
  <c r="D71" i="52" s="1"/>
  <c r="F59" i="50"/>
  <c r="D99" i="52" s="1"/>
  <c r="F33" i="50"/>
  <c r="D49" i="52" s="1"/>
  <c r="G50" i="44"/>
  <c r="D81" i="46" s="1"/>
  <c r="G19" i="44"/>
  <c r="D21" i="46" s="1"/>
  <c r="F38" i="50"/>
  <c r="D57" i="52" s="1"/>
  <c r="I35" i="44"/>
  <c r="H51" i="46" s="1"/>
  <c r="H74" i="10"/>
  <c r="I51" i="50"/>
  <c r="H82" i="52" s="1"/>
  <c r="I26" i="50"/>
  <c r="H35" i="52" s="1"/>
  <c r="D49" i="29"/>
  <c r="D117" i="52"/>
  <c r="D92" i="29"/>
  <c r="F52" i="44"/>
  <c r="D84" i="46" s="1"/>
  <c r="F102" i="50"/>
  <c r="G153" i="52" s="1"/>
  <c r="F131" i="50"/>
  <c r="G177" i="52" s="1"/>
  <c r="G58" i="51"/>
  <c r="D48" i="53" s="1"/>
  <c r="G49" i="51"/>
  <c r="D39" i="53" s="1"/>
  <c r="F147" i="44"/>
  <c r="G192" i="46" s="1"/>
  <c r="F143" i="44"/>
  <c r="G188" i="46" s="1"/>
  <c r="F146" i="44"/>
  <c r="G191" i="46" s="1"/>
  <c r="G40" i="44"/>
  <c r="D62" i="46" s="1"/>
  <c r="D77" i="29"/>
  <c r="F130" i="44"/>
  <c r="G176" i="46" s="1"/>
  <c r="G66" i="44"/>
  <c r="D112" i="46" s="1"/>
  <c r="G41" i="44"/>
  <c r="D67" i="46" s="1"/>
  <c r="G22" i="44"/>
  <c r="D27" i="46" s="1"/>
  <c r="F69" i="44"/>
  <c r="D117" i="46" s="1"/>
  <c r="G49" i="50"/>
  <c r="D79" i="52" s="1"/>
  <c r="F36" i="50"/>
  <c r="D53" i="52" s="1"/>
  <c r="G76" i="10"/>
  <c r="F68" i="50"/>
  <c r="D115" i="52" s="1"/>
  <c r="F149" i="7"/>
  <c r="G197" i="29" s="1"/>
  <c r="F61" i="44"/>
  <c r="D103" i="46" s="1"/>
  <c r="F69" i="7"/>
  <c r="H69" i="7" s="1"/>
  <c r="F111" i="44"/>
  <c r="G161" i="46" s="1"/>
  <c r="F135" i="50"/>
  <c r="G181" i="52" s="1"/>
  <c r="F41" i="50"/>
  <c r="D66" i="52" s="1"/>
  <c r="G41" i="10"/>
  <c r="D31" i="33" s="1"/>
  <c r="F102" i="44"/>
  <c r="G153" i="46" s="1"/>
  <c r="F145" i="44"/>
  <c r="G190" i="46" s="1"/>
  <c r="G59" i="44"/>
  <c r="D100" i="46" s="1"/>
  <c r="G71" i="45"/>
  <c r="D57" i="47" s="1"/>
  <c r="G59" i="50"/>
  <c r="D100" i="52" s="1"/>
  <c r="F18" i="50"/>
  <c r="D18" i="52" s="1"/>
  <c r="E21" i="23"/>
  <c r="E25" i="23" s="1"/>
  <c r="E36" i="23" s="1"/>
  <c r="E54" i="23" s="1"/>
  <c r="E63" i="23" s="1"/>
  <c r="F136" i="7"/>
  <c r="G184" i="29" s="1"/>
  <c r="G70" i="7"/>
  <c r="F142" i="44"/>
  <c r="G187" i="46" s="1"/>
  <c r="F60" i="44"/>
  <c r="D101" i="46" s="1"/>
  <c r="D130" i="29"/>
  <c r="G130" i="29" s="1"/>
  <c r="D116" i="29"/>
  <c r="G59" i="10"/>
  <c r="G60" i="44"/>
  <c r="D102" i="46" s="1"/>
  <c r="G33" i="44"/>
  <c r="D50" i="46" s="1"/>
  <c r="F70" i="44"/>
  <c r="D119" i="46" s="1"/>
  <c r="F18" i="44"/>
  <c r="D18" i="46" s="1"/>
  <c r="F142" i="50"/>
  <c r="G187" i="52" s="1"/>
  <c r="G61" i="50"/>
  <c r="D104" i="52" s="1"/>
  <c r="G51" i="50"/>
  <c r="D83" i="52" s="1"/>
  <c r="F40" i="50"/>
  <c r="D61" i="52" s="1"/>
  <c r="G139" i="7"/>
  <c r="F137" i="7"/>
  <c r="G66" i="7"/>
  <c r="G48" i="7"/>
  <c r="G30" i="51"/>
  <c r="D21" i="53" s="1"/>
  <c r="G161" i="29"/>
  <c r="D114" i="29"/>
  <c r="G210" i="29"/>
  <c r="G199" i="29"/>
  <c r="D50" i="29"/>
  <c r="H65" i="7"/>
  <c r="D107" i="29"/>
  <c r="G107" i="29" s="1"/>
  <c r="G179" i="29"/>
  <c r="H58" i="7"/>
  <c r="D93" i="29"/>
  <c r="D14" i="29"/>
  <c r="F147" i="7"/>
  <c r="G29" i="7"/>
  <c r="G8" i="51"/>
  <c r="D4" i="53" s="1"/>
  <c r="G166" i="29"/>
  <c r="M166" i="29" s="1"/>
  <c r="D109" i="29"/>
  <c r="F135" i="44"/>
  <c r="G181" i="46" s="1"/>
  <c r="G69" i="44"/>
  <c r="D118" i="46" s="1"/>
  <c r="G58" i="44"/>
  <c r="F77" i="44"/>
  <c r="D134" i="46" s="1"/>
  <c r="G134" i="46" s="1"/>
  <c r="F68" i="44"/>
  <c r="D115" i="46" s="1"/>
  <c r="F54" i="44"/>
  <c r="D88" i="46" s="1"/>
  <c r="F41" i="44"/>
  <c r="D66" i="46" s="1"/>
  <c r="F37" i="44"/>
  <c r="D55" i="46" s="1"/>
  <c r="G50" i="45"/>
  <c r="D40" i="47" s="1"/>
  <c r="F111" i="50"/>
  <c r="G161" i="52" s="1"/>
  <c r="F104" i="50"/>
  <c r="G155" i="52" s="1"/>
  <c r="F98" i="50"/>
  <c r="G150" i="52" s="1"/>
  <c r="F145" i="50"/>
  <c r="G190" i="52" s="1"/>
  <c r="G77" i="50"/>
  <c r="D135" i="52" s="1"/>
  <c r="G68" i="50"/>
  <c r="D116" i="52" s="1"/>
  <c r="G48" i="50"/>
  <c r="D77" i="52" s="1"/>
  <c r="G36" i="50"/>
  <c r="D54" i="52" s="1"/>
  <c r="G18" i="50"/>
  <c r="D19" i="52" s="1"/>
  <c r="F39" i="50"/>
  <c r="D59" i="52" s="1"/>
  <c r="F108" i="7"/>
  <c r="G77" i="7"/>
  <c r="F36" i="7"/>
  <c r="F18" i="7"/>
  <c r="F14" i="7"/>
  <c r="F106" i="7"/>
  <c r="F151" i="50"/>
  <c r="G195" i="52" s="1"/>
  <c r="F21" i="23"/>
  <c r="G25" i="7"/>
  <c r="D29" i="29" s="1"/>
  <c r="G50" i="10"/>
  <c r="D39" i="33" s="1"/>
  <c r="F104" i="44"/>
  <c r="G155" i="46" s="1"/>
  <c r="F141" i="44"/>
  <c r="G186" i="46" s="1"/>
  <c r="F128" i="44"/>
  <c r="G174" i="46" s="1"/>
  <c r="G52" i="44"/>
  <c r="D85" i="46" s="1"/>
  <c r="G25" i="44"/>
  <c r="D31" i="46" s="1"/>
  <c r="F66" i="44"/>
  <c r="D111" i="46" s="1"/>
  <c r="F19" i="44"/>
  <c r="D20" i="46" s="1"/>
  <c r="F10" i="44"/>
  <c r="H10" i="44" s="1"/>
  <c r="G72" i="45"/>
  <c r="D58" i="47" s="1"/>
  <c r="G49" i="45"/>
  <c r="D39" i="47" s="1"/>
  <c r="F147" i="50"/>
  <c r="G192" i="52" s="1"/>
  <c r="G22" i="50"/>
  <c r="D27" i="52" s="1"/>
  <c r="F66" i="50"/>
  <c r="D111" i="52" s="1"/>
  <c r="G111" i="52" s="1"/>
  <c r="F54" i="50"/>
  <c r="D88" i="52" s="1"/>
  <c r="F10" i="50"/>
  <c r="F39" i="7"/>
  <c r="G207" i="29"/>
  <c r="G51" i="10"/>
  <c r="G68" i="44"/>
  <c r="D116" i="46" s="1"/>
  <c r="G48" i="44"/>
  <c r="D77" i="46" s="1"/>
  <c r="F67" i="44"/>
  <c r="D113" i="46" s="1"/>
  <c r="F15" i="44"/>
  <c r="F103" i="50"/>
  <c r="G154" i="52" s="1"/>
  <c r="F143" i="50"/>
  <c r="G188" i="52" s="1"/>
  <c r="F128" i="50"/>
  <c r="G174" i="52" s="1"/>
  <c r="G60" i="50"/>
  <c r="D102" i="52" s="1"/>
  <c r="G52" i="50"/>
  <c r="D85" i="52" s="1"/>
  <c r="G33" i="50"/>
  <c r="D50" i="52" s="1"/>
  <c r="G25" i="50"/>
  <c r="F59" i="7"/>
  <c r="D97" i="29" s="1"/>
  <c r="F68" i="7"/>
  <c r="H68" i="7" s="1"/>
  <c r="F65" i="50"/>
  <c r="D109" i="52" s="1"/>
  <c r="G50" i="50"/>
  <c r="D81" i="52" s="1"/>
  <c r="G40" i="7"/>
  <c r="G38" i="50"/>
  <c r="H76" i="29"/>
  <c r="I76" i="29" s="1"/>
  <c r="G28" i="10"/>
  <c r="F75" i="44"/>
  <c r="H75" i="44" s="1"/>
  <c r="F75" i="50"/>
  <c r="D130" i="52" s="1"/>
  <c r="G130" i="52" s="1"/>
  <c r="F112" i="7"/>
  <c r="F109" i="50"/>
  <c r="G159" i="52" s="1"/>
  <c r="F157" i="50"/>
  <c r="G199" i="52" s="1"/>
  <c r="F157" i="44"/>
  <c r="G134" i="44"/>
  <c r="H180" i="46" s="1"/>
  <c r="G29" i="10"/>
  <c r="I25" i="7"/>
  <c r="H28" i="29" s="1"/>
  <c r="I28" i="29" s="1"/>
  <c r="G31" i="10"/>
  <c r="D22" i="33" s="1"/>
  <c r="G144" i="44"/>
  <c r="H189" i="46" s="1"/>
  <c r="I83" i="44"/>
  <c r="H142" i="46" s="1"/>
  <c r="G26" i="10"/>
  <c r="D17" i="33" s="1"/>
  <c r="I47" i="7"/>
  <c r="G64" i="10"/>
  <c r="F16" i="7"/>
  <c r="F17" i="50"/>
  <c r="D16" i="52" s="1"/>
  <c r="F17" i="44"/>
  <c r="D16" i="46" s="1"/>
  <c r="F26" i="7"/>
  <c r="F27" i="50"/>
  <c r="D37" i="52" s="1"/>
  <c r="F27" i="44"/>
  <c r="D37" i="46" s="1"/>
  <c r="F96" i="50"/>
  <c r="G148" i="52" s="1"/>
  <c r="F96" i="44"/>
  <c r="G148" i="46" s="1"/>
  <c r="G53" i="51"/>
  <c r="D43" i="53" s="1"/>
  <c r="G53" i="45"/>
  <c r="D43" i="47" s="1"/>
  <c r="G54" i="10"/>
  <c r="D43" i="33" s="1"/>
  <c r="G57" i="10"/>
  <c r="G56" i="45"/>
  <c r="D46" i="47" s="1"/>
  <c r="F109" i="44"/>
  <c r="G26" i="44"/>
  <c r="D36" i="46" s="1"/>
  <c r="F31" i="50"/>
  <c r="D45" i="52" s="1"/>
  <c r="G45" i="52" s="1"/>
  <c r="G127" i="7"/>
  <c r="G124" i="7" s="1"/>
  <c r="F30" i="7"/>
  <c r="F123" i="44"/>
  <c r="G169" i="46" s="1"/>
  <c r="I48" i="50"/>
  <c r="H76" i="52" s="1"/>
  <c r="G26" i="50"/>
  <c r="D36" i="52" s="1"/>
  <c r="I73" i="7"/>
  <c r="G126" i="50"/>
  <c r="H171" i="52" s="1"/>
  <c r="G123" i="44"/>
  <c r="H169" i="46" s="1"/>
  <c r="I48" i="44"/>
  <c r="H76" i="46" s="1"/>
  <c r="I74" i="50"/>
  <c r="G56" i="51"/>
  <c r="D46" i="53" s="1"/>
  <c r="I26" i="44"/>
  <c r="H35" i="46" s="1"/>
  <c r="G8" i="45"/>
  <c r="D4" i="47" s="1"/>
  <c r="F123" i="50"/>
  <c r="G32" i="51"/>
  <c r="D23" i="53" s="1"/>
  <c r="G32" i="45"/>
  <c r="D23" i="47" s="1"/>
  <c r="G33" i="10"/>
  <c r="D24" i="33" s="1"/>
  <c r="Q59" i="23"/>
  <c r="C55" i="23"/>
  <c r="F71" i="44"/>
  <c r="D121" i="46" s="1"/>
  <c r="F150" i="7"/>
  <c r="G198" i="29" s="1"/>
  <c r="I166" i="29"/>
  <c r="G113" i="44"/>
  <c r="H162" i="46" s="1"/>
  <c r="H42" i="51"/>
  <c r="E32" i="53" s="1"/>
  <c r="I56" i="50"/>
  <c r="H90" i="52" s="1"/>
  <c r="G62" i="51"/>
  <c r="D51" i="53" s="1"/>
  <c r="G28" i="45"/>
  <c r="D19" i="47" s="1"/>
  <c r="G177" i="29"/>
  <c r="B10" i="19"/>
  <c r="H140" i="29"/>
  <c r="I140" i="29" s="1"/>
  <c r="F49" i="7"/>
  <c r="H49" i="7" s="1"/>
  <c r="F51" i="50"/>
  <c r="F51" i="44"/>
  <c r="G24" i="51"/>
  <c r="G24" i="10"/>
  <c r="D15" i="33" s="1"/>
  <c r="G24" i="45"/>
  <c r="G7" i="10"/>
  <c r="D3" i="33" s="1"/>
  <c r="G7" i="45"/>
  <c r="D3" i="47" s="1"/>
  <c r="H14" i="52"/>
  <c r="D140" i="52"/>
  <c r="G140" i="52" s="1"/>
  <c r="H82" i="50"/>
  <c r="G41" i="7"/>
  <c r="H41" i="7" s="1"/>
  <c r="G42" i="50"/>
  <c r="I21" i="23"/>
  <c r="I25" i="23" s="1"/>
  <c r="I36" i="23" s="1"/>
  <c r="I54" i="23" s="1"/>
  <c r="I63" i="23" s="1"/>
  <c r="G42" i="44"/>
  <c r="D69" i="46" s="1"/>
  <c r="G38" i="7"/>
  <c r="H38" i="7" s="1"/>
  <c r="G39" i="50"/>
  <c r="D60" i="52" s="1"/>
  <c r="G36" i="7"/>
  <c r="H21" i="23"/>
  <c r="H25" i="23" s="1"/>
  <c r="H36" i="23" s="1"/>
  <c r="G37" i="50"/>
  <c r="G37" i="44"/>
  <c r="G31" i="7"/>
  <c r="G32" i="50"/>
  <c r="D48" i="52" s="1"/>
  <c r="G20" i="7"/>
  <c r="G21" i="50"/>
  <c r="D25" i="52" s="1"/>
  <c r="B7" i="19"/>
  <c r="D7" i="19"/>
  <c r="F139" i="7"/>
  <c r="G188" i="29" s="1"/>
  <c r="F134" i="44"/>
  <c r="G54" i="51"/>
  <c r="D44" i="53" s="1"/>
  <c r="G54" i="45"/>
  <c r="D44" i="47" s="1"/>
  <c r="G55" i="10"/>
  <c r="D13" i="19"/>
  <c r="B13" i="19"/>
  <c r="I16" i="7"/>
  <c r="I17" i="50"/>
  <c r="H16" i="52" s="1"/>
  <c r="I17" i="44"/>
  <c r="I26" i="7"/>
  <c r="I27" i="50"/>
  <c r="I27" i="44"/>
  <c r="H37" i="46" s="1"/>
  <c r="I53" i="50"/>
  <c r="I53" i="44"/>
  <c r="H86" i="46" s="1"/>
  <c r="I82" i="50"/>
  <c r="I82" i="44"/>
  <c r="H140" i="46" s="1"/>
  <c r="H33" i="51"/>
  <c r="E24" i="53" s="1"/>
  <c r="H33" i="45"/>
  <c r="E24" i="47" s="1"/>
  <c r="H34" i="10"/>
  <c r="E25" i="33" s="1"/>
  <c r="F25" i="33" s="1"/>
  <c r="H62" i="51"/>
  <c r="H62" i="45"/>
  <c r="H32" i="51"/>
  <c r="E23" i="53" s="1"/>
  <c r="H32" i="45"/>
  <c r="E23" i="47" s="1"/>
  <c r="H33" i="10"/>
  <c r="E24" i="33" s="1"/>
  <c r="F24" i="33" s="1"/>
  <c r="I64" i="44"/>
  <c r="H107" i="46" s="1"/>
  <c r="D137" i="29"/>
  <c r="G100" i="50"/>
  <c r="H151" i="52" s="1"/>
  <c r="G76" i="51"/>
  <c r="D62" i="53" s="1"/>
  <c r="G76" i="45"/>
  <c r="D62" i="47" s="1"/>
  <c r="G82" i="10"/>
  <c r="D64" i="33" s="1"/>
  <c r="G63" i="51"/>
  <c r="D52" i="53" s="1"/>
  <c r="G63" i="45"/>
  <c r="D52" i="47" s="1"/>
  <c r="F57" i="50"/>
  <c r="G78" i="7"/>
  <c r="D135" i="29" s="1"/>
  <c r="G78" i="50"/>
  <c r="D137" i="52" s="1"/>
  <c r="G78" i="44"/>
  <c r="D137" i="46" s="1"/>
  <c r="F78" i="50"/>
  <c r="F78" i="7"/>
  <c r="F152" i="50"/>
  <c r="F152" i="44"/>
  <c r="G196" i="46" s="1"/>
  <c r="F99" i="7"/>
  <c r="F97" i="50"/>
  <c r="F49" i="50"/>
  <c r="F49" i="44"/>
  <c r="H90" i="29"/>
  <c r="I90" i="29" s="1"/>
  <c r="G52" i="45"/>
  <c r="D42" i="47" s="1"/>
  <c r="G53" i="10"/>
  <c r="D42" i="33" s="1"/>
  <c r="F25" i="7"/>
  <c r="F26" i="50"/>
  <c r="F26" i="44"/>
  <c r="D35" i="46" s="1"/>
  <c r="B8" i="19"/>
  <c r="F47" i="7"/>
  <c r="F53" i="44"/>
  <c r="F53" i="50"/>
  <c r="D9" i="19"/>
  <c r="B9" i="19"/>
  <c r="F144" i="7"/>
  <c r="F139" i="50"/>
  <c r="F146" i="7"/>
  <c r="G194" i="29" s="1"/>
  <c r="F140" i="44"/>
  <c r="G185" i="46" s="1"/>
  <c r="F140" i="50"/>
  <c r="G185" i="52" s="1"/>
  <c r="F118" i="7"/>
  <c r="F115" i="50"/>
  <c r="G164" i="52" s="1"/>
  <c r="G27" i="51"/>
  <c r="D18" i="53" s="1"/>
  <c r="G27" i="45"/>
  <c r="D18" i="47" s="1"/>
  <c r="G27" i="10"/>
  <c r="G52" i="10"/>
  <c r="D41" i="33" s="1"/>
  <c r="G51" i="45"/>
  <c r="D41" i="47" s="1"/>
  <c r="I19" i="7"/>
  <c r="I20" i="44"/>
  <c r="H22" i="46" s="1"/>
  <c r="I20" i="50"/>
  <c r="H22" i="52" s="1"/>
  <c r="G144" i="7"/>
  <c r="G139" i="50"/>
  <c r="G139" i="44"/>
  <c r="H184" i="46" s="1"/>
  <c r="G146" i="7"/>
  <c r="G140" i="50"/>
  <c r="H185" i="52" s="1"/>
  <c r="G140" i="44"/>
  <c r="H185" i="46" s="1"/>
  <c r="G157" i="50"/>
  <c r="G157" i="44"/>
  <c r="G116" i="7"/>
  <c r="G115" i="50"/>
  <c r="H164" i="52" s="1"/>
  <c r="H18" i="51"/>
  <c r="H18" i="45"/>
  <c r="H19" i="51"/>
  <c r="E12" i="53" s="1"/>
  <c r="H19" i="10"/>
  <c r="H19" i="45"/>
  <c r="E12" i="47" s="1"/>
  <c r="H24" i="51"/>
  <c r="H24" i="45"/>
  <c r="H24" i="10"/>
  <c r="E15" i="33" s="1"/>
  <c r="F15" i="33" s="1"/>
  <c r="H28" i="45"/>
  <c r="E19" i="47" s="1"/>
  <c r="H28" i="51"/>
  <c r="E19" i="53" s="1"/>
  <c r="H28" i="10"/>
  <c r="H14" i="51"/>
  <c r="E8" i="53" s="1"/>
  <c r="H14" i="45"/>
  <c r="H51" i="51"/>
  <c r="E41" i="53" s="1"/>
  <c r="H51" i="45"/>
  <c r="E41" i="47" s="1"/>
  <c r="H164" i="46"/>
  <c r="I73" i="44"/>
  <c r="H123" i="46" s="1"/>
  <c r="I35" i="50"/>
  <c r="H51" i="52" s="1"/>
  <c r="I56" i="44"/>
  <c r="H90" i="46" s="1"/>
  <c r="H65" i="10"/>
  <c r="E53" i="33" s="1"/>
  <c r="F53" i="33" s="1"/>
  <c r="I51" i="44"/>
  <c r="G62" i="45"/>
  <c r="D51" i="47" s="1"/>
  <c r="AE14" i="49"/>
  <c r="AE14" i="43"/>
  <c r="AD14" i="42"/>
  <c r="AE14" i="42"/>
  <c r="AG11" i="49"/>
  <c r="AI11" i="48"/>
  <c r="AH11" i="49"/>
  <c r="AJ11" i="48"/>
  <c r="AG11" i="48"/>
  <c r="AG11" i="43"/>
  <c r="AJ11" i="42"/>
  <c r="AH11" i="48"/>
  <c r="AH11" i="43"/>
  <c r="AG11" i="42"/>
  <c r="L4" i="49"/>
  <c r="L4" i="48"/>
  <c r="M4" i="48"/>
  <c r="L4" i="43"/>
  <c r="M4" i="43"/>
  <c r="L4" i="42"/>
  <c r="E3" i="51"/>
  <c r="E3" i="45"/>
  <c r="E3" i="10"/>
  <c r="C3" i="2" s="1"/>
  <c r="G51" i="51"/>
  <c r="D41" i="53" s="1"/>
  <c r="H183" i="29"/>
  <c r="I183" i="29" s="1"/>
  <c r="F159" i="7"/>
  <c r="G55" i="7"/>
  <c r="G14" i="45"/>
  <c r="D8" i="47" s="1"/>
  <c r="G14" i="51"/>
  <c r="D8" i="53" s="1"/>
  <c r="G14" i="10"/>
  <c r="D8" i="33" s="1"/>
  <c r="G43" i="51"/>
  <c r="G43" i="45"/>
  <c r="G26" i="51"/>
  <c r="D17" i="53" s="1"/>
  <c r="G26" i="45"/>
  <c r="D17" i="47" s="1"/>
  <c r="G17" i="50"/>
  <c r="D17" i="52" s="1"/>
  <c r="G51" i="7"/>
  <c r="G53" i="50"/>
  <c r="G53" i="44"/>
  <c r="D87" i="46" s="1"/>
  <c r="F117" i="7"/>
  <c r="F114" i="44"/>
  <c r="G18" i="51"/>
  <c r="G18" i="45"/>
  <c r="G18" i="10"/>
  <c r="D11" i="33" s="1"/>
  <c r="G19" i="51"/>
  <c r="D12" i="53" s="1"/>
  <c r="G19" i="45"/>
  <c r="D12" i="47" s="1"/>
  <c r="G32" i="10"/>
  <c r="F37" i="23"/>
  <c r="F40" i="23" s="1"/>
  <c r="F68" i="23"/>
  <c r="F70" i="23" s="1"/>
  <c r="F88" i="23" s="1"/>
  <c r="G30" i="10"/>
  <c r="D21" i="33" s="1"/>
  <c r="I30" i="7"/>
  <c r="G3" i="23" s="1"/>
  <c r="I31" i="50"/>
  <c r="H45" i="52" s="1"/>
  <c r="I31" i="44"/>
  <c r="H45" i="46" s="1"/>
  <c r="G97" i="7"/>
  <c r="G96" i="44"/>
  <c r="H27" i="51"/>
  <c r="E18" i="53" s="1"/>
  <c r="H27" i="45"/>
  <c r="E18" i="47" s="1"/>
  <c r="H27" i="10"/>
  <c r="E18" i="33" s="1"/>
  <c r="F18" i="33" s="1"/>
  <c r="H7" i="10"/>
  <c r="H7" i="51"/>
  <c r="E3" i="53" s="1"/>
  <c r="H7" i="45"/>
  <c r="G100" i="44"/>
  <c r="H151" i="46" s="1"/>
  <c r="H43" i="10"/>
  <c r="E32" i="33" s="1"/>
  <c r="F32" i="33" s="1"/>
  <c r="I64" i="50"/>
  <c r="H107" i="52" s="1"/>
  <c r="E33" i="53"/>
  <c r="H64" i="10"/>
  <c r="F52" i="33" s="1"/>
  <c r="H52" i="10"/>
  <c r="G19" i="10"/>
  <c r="H14" i="10"/>
  <c r="E8" i="33" s="1"/>
  <c r="F8" i="33" s="1"/>
  <c r="F97" i="44"/>
  <c r="F139" i="44"/>
  <c r="G17" i="44"/>
  <c r="D17" i="46" s="1"/>
  <c r="F65" i="44"/>
  <c r="D109" i="46" s="1"/>
  <c r="G109" i="46" s="1"/>
  <c r="D30" i="46"/>
  <c r="G30" i="45"/>
  <c r="D21" i="47" s="1"/>
  <c r="G57" i="50"/>
  <c r="AB88" i="23"/>
  <c r="U88" i="23"/>
  <c r="Q88" i="23"/>
  <c r="M88" i="23"/>
  <c r="M89" i="23" s="1"/>
  <c r="I88" i="23"/>
  <c r="E88" i="23"/>
  <c r="G21" i="23"/>
  <c r="G25" i="23" s="1"/>
  <c r="G36" i="23" s="1"/>
  <c r="G54" i="23" s="1"/>
  <c r="G63" i="23" s="1"/>
  <c r="H45" i="29"/>
  <c r="I45" i="29" s="1"/>
  <c r="I200" i="29"/>
  <c r="AE15" i="49"/>
  <c r="AD15" i="48"/>
  <c r="AE15" i="48"/>
  <c r="AD11" i="49"/>
  <c r="AD11" i="48"/>
  <c r="AE11" i="48"/>
  <c r="AE114" i="23"/>
  <c r="AA114" i="23"/>
  <c r="W114" i="23"/>
  <c r="O114" i="23"/>
  <c r="K114" i="23"/>
  <c r="G15" i="51"/>
  <c r="D9" i="53" s="1"/>
  <c r="G29" i="51"/>
  <c r="D20" i="53" s="1"/>
  <c r="G29" i="45"/>
  <c r="D20" i="47" s="1"/>
  <c r="G28" i="51"/>
  <c r="D19" i="53" s="1"/>
  <c r="F50" i="50"/>
  <c r="F50" i="44"/>
  <c r="D80" i="46" s="1"/>
  <c r="G142" i="46"/>
  <c r="D84" i="52"/>
  <c r="F141" i="7"/>
  <c r="F136" i="50"/>
  <c r="G182" i="52" s="1"/>
  <c r="F138" i="7"/>
  <c r="G187" i="29" s="1"/>
  <c r="F133" i="50"/>
  <c r="D21" i="23"/>
  <c r="G16" i="50"/>
  <c r="AH15" i="49"/>
  <c r="AD12" i="49"/>
  <c r="G71" i="51"/>
  <c r="G31" i="51"/>
  <c r="D22" i="53" s="1"/>
  <c r="G70" i="10"/>
  <c r="D56" i="33" s="1"/>
  <c r="G68" i="51"/>
  <c r="H37" i="23"/>
  <c r="H40" i="23" s="1"/>
  <c r="G40" i="51"/>
  <c r="D29" i="53" s="1"/>
  <c r="F12" i="23"/>
  <c r="C12" i="23" s="1"/>
  <c r="F153" i="7"/>
  <c r="F60" i="50"/>
  <c r="F70" i="7"/>
  <c r="R36" i="23"/>
  <c r="F155" i="7"/>
  <c r="F31" i="7"/>
  <c r="F32" i="50"/>
  <c r="C117" i="23"/>
  <c r="Z88" i="23"/>
  <c r="D88" i="23"/>
  <c r="AE88" i="23"/>
  <c r="C66" i="23"/>
  <c r="R54" i="23"/>
  <c r="R63" i="23" s="1"/>
  <c r="R89" i="23" s="1"/>
  <c r="AE36" i="23"/>
  <c r="AE54" i="23" s="1"/>
  <c r="AE56" i="23" s="1"/>
  <c r="H180" i="29"/>
  <c r="AC88" i="23"/>
  <c r="Y88" i="23"/>
  <c r="G88" i="23"/>
  <c r="S36" i="23"/>
  <c r="S54" i="23" s="1"/>
  <c r="S63" i="23" s="1"/>
  <c r="N36" i="23"/>
  <c r="N54" i="23" s="1"/>
  <c r="N63" i="23" s="1"/>
  <c r="H83" i="44"/>
  <c r="X4" i="23"/>
  <c r="C25" i="24"/>
  <c r="G176" i="29"/>
  <c r="G27" i="50"/>
  <c r="G27" i="44"/>
  <c r="G20" i="50"/>
  <c r="G20" i="44"/>
  <c r="G52" i="51"/>
  <c r="G16" i="7"/>
  <c r="G7" i="51"/>
  <c r="D46" i="29"/>
  <c r="H32" i="7"/>
  <c r="G182" i="29"/>
  <c r="S4" i="49"/>
  <c r="AF114" i="23"/>
  <c r="AB114" i="23"/>
  <c r="X114" i="23"/>
  <c r="T114" i="23"/>
  <c r="P114" i="23"/>
  <c r="L114" i="23"/>
  <c r="H114" i="23"/>
  <c r="D114" i="23"/>
  <c r="C86" i="23"/>
  <c r="L88" i="23"/>
  <c r="P4" i="49"/>
  <c r="AD114" i="23"/>
  <c r="V113" i="23"/>
  <c r="V114" i="23" s="1"/>
  <c r="N114" i="23"/>
  <c r="F114" i="23"/>
  <c r="Z114" i="23"/>
  <c r="R114" i="23"/>
  <c r="J114" i="23"/>
  <c r="AC114" i="23"/>
  <c r="Y114" i="23"/>
  <c r="U114" i="23"/>
  <c r="Q114" i="23"/>
  <c r="M114" i="23"/>
  <c r="I114" i="23"/>
  <c r="E114" i="23"/>
  <c r="T88" i="23"/>
  <c r="P88" i="23"/>
  <c r="C62" i="23"/>
  <c r="Q36" i="23"/>
  <c r="Q54" i="23" s="1"/>
  <c r="AE11" i="49"/>
  <c r="AD88" i="23"/>
  <c r="V88" i="23"/>
  <c r="AH14" i="49"/>
  <c r="AG12" i="49"/>
  <c r="M4" i="49"/>
  <c r="C104" i="23"/>
  <c r="C97" i="23"/>
  <c r="F126" i="7"/>
  <c r="G175" i="29" s="1"/>
  <c r="F114" i="7"/>
  <c r="G167" i="29" s="1"/>
  <c r="B12" i="19"/>
  <c r="G121" i="50"/>
  <c r="G181" i="29"/>
  <c r="D100" i="29"/>
  <c r="H32" i="44"/>
  <c r="F40" i="7"/>
  <c r="B11" i="19"/>
  <c r="G95" i="50"/>
  <c r="H147" i="52" s="1"/>
  <c r="C15" i="23"/>
  <c r="D98" i="29"/>
  <c r="F48" i="7"/>
  <c r="D27" i="29"/>
  <c r="G17" i="7"/>
  <c r="G15" i="7"/>
  <c r="D11" i="29" s="1"/>
  <c r="G10" i="29" s="1"/>
  <c r="G39" i="7"/>
  <c r="D58" i="29" s="1"/>
  <c r="G37" i="7"/>
  <c r="D54" i="29" s="1"/>
  <c r="C13" i="23"/>
  <c r="G159" i="29"/>
  <c r="D79" i="29"/>
  <c r="G180" i="29"/>
  <c r="H56" i="7"/>
  <c r="D88" i="29"/>
  <c r="G88" i="29" s="1"/>
  <c r="G204" i="29"/>
  <c r="G193" i="29"/>
  <c r="F98" i="7"/>
  <c r="F140" i="7"/>
  <c r="G189" i="29" s="1"/>
  <c r="G47" i="46"/>
  <c r="G142" i="52"/>
  <c r="F80" i="50"/>
  <c r="D138" i="52" s="1"/>
  <c r="G138" i="52" s="1"/>
  <c r="C18" i="24"/>
  <c r="F14" i="23" s="1"/>
  <c r="C14" i="23" s="1"/>
  <c r="Y6" i="23"/>
  <c r="Y16" i="23" s="1"/>
  <c r="Y25" i="23" s="1"/>
  <c r="Y36" i="23" s="1"/>
  <c r="Y54" i="23" s="1"/>
  <c r="Y63" i="23" s="1"/>
  <c r="H35" i="7"/>
  <c r="F83" i="7"/>
  <c r="D140" i="29" s="1"/>
  <c r="G140" i="29" s="1"/>
  <c r="F82" i="7"/>
  <c r="D138" i="29" s="1"/>
  <c r="G138" i="29" s="1"/>
  <c r="F60" i="7"/>
  <c r="H60" i="7" s="1"/>
  <c r="F148" i="7"/>
  <c r="F55" i="7"/>
  <c r="D86" i="29" s="1"/>
  <c r="F77" i="7"/>
  <c r="G28" i="7"/>
  <c r="H28" i="7" s="1"/>
  <c r="G19" i="7"/>
  <c r="G8" i="10"/>
  <c r="F75" i="7"/>
  <c r="H75" i="7" s="1"/>
  <c r="F64" i="7"/>
  <c r="H84" i="7"/>
  <c r="D142" i="29"/>
  <c r="G142" i="29" s="1"/>
  <c r="F152" i="7"/>
  <c r="F51" i="7"/>
  <c r="D80" i="29" s="1"/>
  <c r="G209" i="29"/>
  <c r="F161" i="7"/>
  <c r="D82" i="29"/>
  <c r="H52" i="7"/>
  <c r="D73" i="29"/>
  <c r="D23" i="29"/>
  <c r="D55" i="29"/>
  <c r="D22" i="29"/>
  <c r="H21" i="7"/>
  <c r="G155" i="29"/>
  <c r="D91" i="29"/>
  <c r="G90" i="29" s="1"/>
  <c r="D20" i="29"/>
  <c r="C113" i="23"/>
  <c r="G149" i="44"/>
  <c r="H193" i="46" s="1"/>
  <c r="E9" i="53"/>
  <c r="AB36" i="23"/>
  <c r="AB54" i="23" s="1"/>
  <c r="AB63" i="23" s="1"/>
  <c r="H70" i="45"/>
  <c r="AJ15" i="49"/>
  <c r="AF16" i="23"/>
  <c r="AF25" i="23" s="1"/>
  <c r="H193" i="29"/>
  <c r="H70" i="51"/>
  <c r="I118" i="23" l="1"/>
  <c r="I121" i="23" s="1"/>
  <c r="M118" i="23"/>
  <c r="M121" i="23" s="1"/>
  <c r="M123" i="23" s="1"/>
  <c r="M8" i="23" s="1"/>
  <c r="Y118" i="23"/>
  <c r="Y121" i="23" s="1"/>
  <c r="Y123" i="23" s="1"/>
  <c r="Y8" i="23" s="1"/>
  <c r="G12" i="52"/>
  <c r="G541" i="2"/>
  <c r="H541" i="2"/>
  <c r="D23" i="33"/>
  <c r="D61" i="33"/>
  <c r="E3" i="33"/>
  <c r="F3" i="33" s="1"/>
  <c r="D52" i="33"/>
  <c r="D20" i="33"/>
  <c r="D19" i="33"/>
  <c r="D40" i="33"/>
  <c r="E59" i="33"/>
  <c r="F59" i="33" s="1"/>
  <c r="D9" i="33"/>
  <c r="D34" i="33"/>
  <c r="D45" i="33"/>
  <c r="D12" i="33"/>
  <c r="F4" i="33"/>
  <c r="D4" i="33"/>
  <c r="D48" i="33"/>
  <c r="D36" i="33"/>
  <c r="E19" i="33"/>
  <c r="F19" i="33" s="1"/>
  <c r="D18" i="33"/>
  <c r="D44" i="33"/>
  <c r="E41" i="33"/>
  <c r="F41" i="33" s="1"/>
  <c r="H17" i="10"/>
  <c r="F10" i="33" s="1"/>
  <c r="F12" i="33"/>
  <c r="D46" i="33"/>
  <c r="D27" i="33"/>
  <c r="G43" i="52"/>
  <c r="G130" i="7"/>
  <c r="I13" i="7"/>
  <c r="I23" i="7"/>
  <c r="F3" i="23" s="1"/>
  <c r="G143" i="7"/>
  <c r="AA3" i="23" s="1"/>
  <c r="W6" i="23"/>
  <c r="W16" i="23" s="1"/>
  <c r="W25" i="23" s="1"/>
  <c r="W36" i="23" s="1"/>
  <c r="W54" i="23" s="1"/>
  <c r="W63" i="23" s="1"/>
  <c r="W89" i="23" s="1"/>
  <c r="I46" i="7"/>
  <c r="P3" i="23"/>
  <c r="G119" i="46"/>
  <c r="G57" i="46"/>
  <c r="G43" i="46"/>
  <c r="D21" i="52"/>
  <c r="G20" i="52" s="1"/>
  <c r="C69" i="23"/>
  <c r="G70" i="52"/>
  <c r="D132" i="52"/>
  <c r="G132" i="52" s="1"/>
  <c r="G88" i="52"/>
  <c r="H18" i="7"/>
  <c r="H15" i="44"/>
  <c r="D78" i="29"/>
  <c r="G78" i="29" s="1"/>
  <c r="H69" i="50"/>
  <c r="G121" i="46"/>
  <c r="H50" i="7"/>
  <c r="D17" i="29"/>
  <c r="G158" i="29"/>
  <c r="G73" i="44"/>
  <c r="D124" i="46" s="1"/>
  <c r="F71" i="50"/>
  <c r="H71" i="50" s="1"/>
  <c r="G68" i="46"/>
  <c r="H80" i="50"/>
  <c r="G88" i="46"/>
  <c r="G99" i="52"/>
  <c r="H3" i="23"/>
  <c r="H203" i="29"/>
  <c r="I203" i="29" s="1"/>
  <c r="H82" i="44"/>
  <c r="H80" i="44" s="1"/>
  <c r="G190" i="29"/>
  <c r="G53" i="46"/>
  <c r="G43" i="10"/>
  <c r="D32" i="33" s="1"/>
  <c r="F80" i="44"/>
  <c r="D138" i="46" s="1"/>
  <c r="G138" i="46" s="1"/>
  <c r="H47" i="29"/>
  <c r="I47" i="29" s="1"/>
  <c r="H58" i="50"/>
  <c r="G117" i="52"/>
  <c r="G26" i="52"/>
  <c r="H28" i="50"/>
  <c r="G160" i="29"/>
  <c r="H70" i="7"/>
  <c r="H22" i="50"/>
  <c r="H58" i="44"/>
  <c r="G63" i="7"/>
  <c r="D104" i="29" s="1"/>
  <c r="G99" i="46"/>
  <c r="G53" i="52"/>
  <c r="G41" i="46"/>
  <c r="G61" i="46"/>
  <c r="G163" i="29"/>
  <c r="T3" i="23"/>
  <c r="H30" i="44"/>
  <c r="H57" i="44"/>
  <c r="G61" i="52"/>
  <c r="G18" i="46"/>
  <c r="H76" i="44"/>
  <c r="H43" i="44"/>
  <c r="G49" i="46"/>
  <c r="D43" i="29"/>
  <c r="H31" i="44"/>
  <c r="H15" i="7"/>
  <c r="G82" i="29"/>
  <c r="H10" i="51"/>
  <c r="E5" i="53" s="1"/>
  <c r="M167" i="29"/>
  <c r="G45" i="29"/>
  <c r="G97" i="52"/>
  <c r="H29" i="44"/>
  <c r="D12" i="46"/>
  <c r="G12" i="46" s="1"/>
  <c r="H59" i="44"/>
  <c r="H70" i="44"/>
  <c r="G66" i="46"/>
  <c r="G14" i="46"/>
  <c r="G39" i="46"/>
  <c r="D24" i="46"/>
  <c r="G24" i="46" s="1"/>
  <c r="G18" i="52"/>
  <c r="G66" i="52"/>
  <c r="G53" i="29"/>
  <c r="H60" i="44"/>
  <c r="H38" i="44"/>
  <c r="H15" i="50"/>
  <c r="H14" i="7"/>
  <c r="G103" i="52"/>
  <c r="G26" i="46"/>
  <c r="D26" i="29"/>
  <c r="G26" i="29" s="1"/>
  <c r="G74" i="10"/>
  <c r="D59" i="33" s="1"/>
  <c r="H59" i="45"/>
  <c r="E49" i="47" s="1"/>
  <c r="H40" i="50"/>
  <c r="D114" i="52"/>
  <c r="G113" i="52" s="1"/>
  <c r="H77" i="7"/>
  <c r="H16" i="44"/>
  <c r="H28" i="44"/>
  <c r="H83" i="7"/>
  <c r="H12" i="51"/>
  <c r="E6" i="53" s="1"/>
  <c r="H24" i="7"/>
  <c r="H22" i="44"/>
  <c r="H39" i="44"/>
  <c r="H61" i="50"/>
  <c r="G30" i="46"/>
  <c r="G59" i="52"/>
  <c r="G92" i="29"/>
  <c r="G103" i="46"/>
  <c r="D111" i="29"/>
  <c r="G111" i="29" s="1"/>
  <c r="D36" i="29"/>
  <c r="G35" i="29" s="1"/>
  <c r="G46" i="7"/>
  <c r="G111" i="46"/>
  <c r="G84" i="46"/>
  <c r="D39" i="29"/>
  <c r="D106" i="29"/>
  <c r="F97" i="7"/>
  <c r="H54" i="44"/>
  <c r="H59" i="50"/>
  <c r="H68" i="44"/>
  <c r="I4" i="23"/>
  <c r="I6" i="23" s="1"/>
  <c r="I123" i="23" s="1"/>
  <c r="I8" i="23" s="1"/>
  <c r="H61" i="44"/>
  <c r="H59" i="7"/>
  <c r="H40" i="44"/>
  <c r="D6" i="46"/>
  <c r="G6" i="46" s="1"/>
  <c r="D119" i="52"/>
  <c r="G119" i="52" s="1"/>
  <c r="D70" i="46"/>
  <c r="G70" i="46" s="1"/>
  <c r="H29" i="50"/>
  <c r="H43" i="50"/>
  <c r="H41" i="50"/>
  <c r="G109" i="52"/>
  <c r="H30" i="50"/>
  <c r="S3" i="23"/>
  <c r="G80" i="46"/>
  <c r="G41" i="52"/>
  <c r="G134" i="52"/>
  <c r="G97" i="29"/>
  <c r="H36" i="44"/>
  <c r="H42" i="44"/>
  <c r="H78" i="10"/>
  <c r="E62" i="33" s="1"/>
  <c r="F62" i="33" s="1"/>
  <c r="H36" i="50"/>
  <c r="G136" i="46"/>
  <c r="G20" i="46"/>
  <c r="D118" i="29"/>
  <c r="G115" i="52"/>
  <c r="H48" i="7"/>
  <c r="H18" i="44"/>
  <c r="F124" i="7"/>
  <c r="G173" i="29" s="1"/>
  <c r="G84" i="52"/>
  <c r="H136" i="29"/>
  <c r="I136" i="29" s="1"/>
  <c r="D62" i="29"/>
  <c r="G61" i="29" s="1"/>
  <c r="Q63" i="23"/>
  <c r="Q118" i="23" s="1"/>
  <c r="Q121" i="23" s="1"/>
  <c r="Q123" i="23" s="1"/>
  <c r="Q8" i="23" s="1"/>
  <c r="H66" i="50"/>
  <c r="H77" i="50"/>
  <c r="G101" i="46"/>
  <c r="D19" i="29"/>
  <c r="G35" i="46"/>
  <c r="H188" i="29"/>
  <c r="I188" i="29" s="1"/>
  <c r="D110" i="29"/>
  <c r="G109" i="29" s="1"/>
  <c r="D75" i="29"/>
  <c r="H69" i="44"/>
  <c r="F35" i="50"/>
  <c r="D51" i="52" s="1"/>
  <c r="H33" i="44"/>
  <c r="G64" i="50"/>
  <c r="D108" i="52" s="1"/>
  <c r="G113" i="46"/>
  <c r="F100" i="44"/>
  <c r="G151" i="46" s="1"/>
  <c r="G196" i="29"/>
  <c r="H41" i="44"/>
  <c r="H25" i="44"/>
  <c r="G49" i="52"/>
  <c r="G35" i="50"/>
  <c r="D52" i="52" s="1"/>
  <c r="G115" i="46"/>
  <c r="G117" i="46"/>
  <c r="H18" i="50"/>
  <c r="G49" i="29"/>
  <c r="G185" i="29"/>
  <c r="D115" i="29"/>
  <c r="G115" i="29" s="1"/>
  <c r="H52" i="50"/>
  <c r="F103" i="7"/>
  <c r="H52" i="44"/>
  <c r="F100" i="50"/>
  <c r="G151" i="52" s="1"/>
  <c r="H72" i="29"/>
  <c r="I72" i="29" s="1"/>
  <c r="G70" i="45"/>
  <c r="H66" i="7"/>
  <c r="D133" i="29"/>
  <c r="G195" i="29"/>
  <c r="D58" i="52"/>
  <c r="G57" i="52" s="1"/>
  <c r="H38" i="50"/>
  <c r="D113" i="29"/>
  <c r="G113" i="29" s="1"/>
  <c r="D16" i="29"/>
  <c r="H67" i="44"/>
  <c r="H77" i="44"/>
  <c r="H25" i="7"/>
  <c r="H33" i="50"/>
  <c r="D74" i="29"/>
  <c r="G200" i="29"/>
  <c r="G73" i="7"/>
  <c r="D122" i="29" s="1"/>
  <c r="H50" i="44"/>
  <c r="H65" i="50"/>
  <c r="H39" i="50"/>
  <c r="G16" i="46"/>
  <c r="G24" i="52"/>
  <c r="G63" i="10"/>
  <c r="G64" i="44"/>
  <c r="D108" i="46" s="1"/>
  <c r="F108" i="50"/>
  <c r="G158" i="52" s="1"/>
  <c r="H68" i="50"/>
  <c r="G162" i="29"/>
  <c r="H25" i="50"/>
  <c r="D31" i="52"/>
  <c r="G30" i="52" s="1"/>
  <c r="H10" i="50"/>
  <c r="D6" i="52"/>
  <c r="G6" i="52" s="1"/>
  <c r="D60" i="29"/>
  <c r="D57" i="29"/>
  <c r="G57" i="29" s="1"/>
  <c r="D51" i="29"/>
  <c r="D98" i="46"/>
  <c r="G97" i="46" s="1"/>
  <c r="G56" i="44"/>
  <c r="D91" i="46" s="1"/>
  <c r="H29" i="7"/>
  <c r="D40" i="29"/>
  <c r="H54" i="50"/>
  <c r="H39" i="7"/>
  <c r="F154" i="50"/>
  <c r="G197" i="52" s="1"/>
  <c r="H65" i="44"/>
  <c r="H78" i="44"/>
  <c r="H37" i="44"/>
  <c r="H19" i="44"/>
  <c r="H66" i="44"/>
  <c r="H21" i="50"/>
  <c r="D130" i="46"/>
  <c r="G130" i="46" s="1"/>
  <c r="F149" i="44"/>
  <c r="G193" i="46" s="1"/>
  <c r="F35" i="44"/>
  <c r="D51" i="46" s="1"/>
  <c r="D30" i="29"/>
  <c r="F74" i="7"/>
  <c r="H74" i="7" s="1"/>
  <c r="N4" i="23" s="1"/>
  <c r="G17" i="10"/>
  <c r="H26" i="44"/>
  <c r="G13" i="7"/>
  <c r="D9" i="29" s="1"/>
  <c r="G126" i="44"/>
  <c r="H171" i="46" s="1"/>
  <c r="G152" i="29"/>
  <c r="H26" i="7"/>
  <c r="F111" i="7"/>
  <c r="T4" i="23" s="1"/>
  <c r="C37" i="23"/>
  <c r="C40" i="23" s="1"/>
  <c r="F121" i="44"/>
  <c r="G167" i="46" s="1"/>
  <c r="G165" i="29"/>
  <c r="G16" i="52"/>
  <c r="F64" i="44"/>
  <c r="D107" i="46" s="1"/>
  <c r="F24" i="44"/>
  <c r="D28" i="46" s="1"/>
  <c r="G138" i="44"/>
  <c r="H183" i="46" s="1"/>
  <c r="G199" i="46"/>
  <c r="F154" i="44"/>
  <c r="G197" i="46" s="1"/>
  <c r="I80" i="44"/>
  <c r="H138" i="46" s="1"/>
  <c r="H75" i="50"/>
  <c r="G113" i="50"/>
  <c r="H162" i="52" s="1"/>
  <c r="H27" i="44"/>
  <c r="G121" i="44"/>
  <c r="H167" i="46" s="1"/>
  <c r="H31" i="50"/>
  <c r="B25" i="24"/>
  <c r="D25" i="24" s="1"/>
  <c r="D28" i="24" s="1"/>
  <c r="X16" i="23" s="1"/>
  <c r="H176" i="29"/>
  <c r="I176" i="29" s="1"/>
  <c r="X3" i="23"/>
  <c r="X6" i="23" s="1"/>
  <c r="D12" i="29"/>
  <c r="G169" i="52"/>
  <c r="F121" i="50"/>
  <c r="G167" i="52" s="1"/>
  <c r="H128" i="52"/>
  <c r="I73" i="50"/>
  <c r="H123" i="52" s="1"/>
  <c r="N3" i="23"/>
  <c r="N119" i="23" s="1"/>
  <c r="C119" i="23" s="1"/>
  <c r="I123" i="29"/>
  <c r="D41" i="29"/>
  <c r="G41" i="29" s="1"/>
  <c r="F108" i="44"/>
  <c r="G158" i="46" s="1"/>
  <c r="G159" i="46"/>
  <c r="G61" i="51"/>
  <c r="D50" i="53" s="1"/>
  <c r="F71" i="7"/>
  <c r="D119" i="29" s="1"/>
  <c r="G119" i="29" s="1"/>
  <c r="H71" i="44"/>
  <c r="D10" i="19"/>
  <c r="H30" i="7"/>
  <c r="D76" i="29"/>
  <c r="G76" i="29" s="1"/>
  <c r="C10" i="19"/>
  <c r="C14" i="19" s="1"/>
  <c r="F143" i="7"/>
  <c r="AA4" i="23" s="1"/>
  <c r="D128" i="29"/>
  <c r="G128" i="29" s="1"/>
  <c r="H31" i="7"/>
  <c r="F113" i="50"/>
  <c r="G162" i="52" s="1"/>
  <c r="D99" i="29"/>
  <c r="G99" i="29" s="1"/>
  <c r="H59" i="51"/>
  <c r="E49" i="53" s="1"/>
  <c r="D38" i="29"/>
  <c r="G37" i="29" s="1"/>
  <c r="F144" i="50"/>
  <c r="G189" i="52" s="1"/>
  <c r="F144" i="44"/>
  <c r="G189" i="46" s="1"/>
  <c r="I89" i="23"/>
  <c r="E118" i="23"/>
  <c r="E121" i="23" s="1"/>
  <c r="H54" i="23"/>
  <c r="H63" i="23" s="1"/>
  <c r="H89" i="23" s="1"/>
  <c r="Y89" i="23"/>
  <c r="AD3" i="23"/>
  <c r="H206" i="29"/>
  <c r="I206" i="29" s="1"/>
  <c r="D72" i="29"/>
  <c r="G72" i="29" s="1"/>
  <c r="H47" i="7"/>
  <c r="H16" i="50"/>
  <c r="D15" i="52"/>
  <c r="G14" i="52" s="1"/>
  <c r="D11" i="47"/>
  <c r="G17" i="45"/>
  <c r="D10" i="47" s="1"/>
  <c r="D33" i="47"/>
  <c r="G42" i="45"/>
  <c r="E15" i="53"/>
  <c r="H23" i="51"/>
  <c r="E14" i="53" s="1"/>
  <c r="I192" i="29"/>
  <c r="H53" i="44"/>
  <c r="D35" i="52"/>
  <c r="G35" i="52" s="1"/>
  <c r="F24" i="50"/>
  <c r="D28" i="52" s="1"/>
  <c r="H49" i="50"/>
  <c r="D78" i="52"/>
  <c r="G78" i="52" s="1"/>
  <c r="H37" i="52"/>
  <c r="I24" i="50"/>
  <c r="H28" i="52" s="1"/>
  <c r="D21" i="29"/>
  <c r="G20" i="29" s="1"/>
  <c r="D56" i="29"/>
  <c r="G55" i="29" s="1"/>
  <c r="G61" i="45"/>
  <c r="D50" i="47" s="1"/>
  <c r="G34" i="7"/>
  <c r="D48" i="29" s="1"/>
  <c r="F80" i="7"/>
  <c r="D136" i="29" s="1"/>
  <c r="G136" i="29" s="1"/>
  <c r="H55" i="7"/>
  <c r="R118" i="23"/>
  <c r="R121" i="23" s="1"/>
  <c r="G184" i="46"/>
  <c r="H60" i="10"/>
  <c r="E49" i="33" s="1"/>
  <c r="F49" i="33" s="1"/>
  <c r="G205" i="29"/>
  <c r="E8" i="47"/>
  <c r="H12" i="45"/>
  <c r="E11" i="53"/>
  <c r="H17" i="51"/>
  <c r="E10" i="53" s="1"/>
  <c r="G154" i="50"/>
  <c r="H197" i="52" s="1"/>
  <c r="H199" i="52"/>
  <c r="D28" i="29"/>
  <c r="G28" i="29" s="1"/>
  <c r="G149" i="52"/>
  <c r="F95" i="50"/>
  <c r="G147" i="52" s="1"/>
  <c r="D134" i="29"/>
  <c r="G134" i="29" s="1"/>
  <c r="E51" i="47"/>
  <c r="H61" i="45"/>
  <c r="E50" i="47" s="1"/>
  <c r="H80" i="29"/>
  <c r="I80" i="29" s="1"/>
  <c r="H30" i="29"/>
  <c r="I30" i="29" s="1"/>
  <c r="F19" i="7"/>
  <c r="F20" i="50"/>
  <c r="F20" i="44"/>
  <c r="D8" i="19"/>
  <c r="D15" i="53"/>
  <c r="G23" i="51"/>
  <c r="D14" i="53" s="1"/>
  <c r="E89" i="23"/>
  <c r="H37" i="7"/>
  <c r="G22" i="29"/>
  <c r="F34" i="7"/>
  <c r="D47" i="29" s="1"/>
  <c r="H82" i="7"/>
  <c r="H78" i="7"/>
  <c r="B14" i="19"/>
  <c r="G72" i="10"/>
  <c r="G10" i="45"/>
  <c r="D5" i="47" s="1"/>
  <c r="D86" i="46"/>
  <c r="G86" i="46" s="1"/>
  <c r="H32" i="50"/>
  <c r="D47" i="52"/>
  <c r="G47" i="52" s="1"/>
  <c r="D57" i="53"/>
  <c r="G70" i="51"/>
  <c r="D56" i="53" s="1"/>
  <c r="G179" i="52"/>
  <c r="F126" i="50"/>
  <c r="H17" i="50"/>
  <c r="G56" i="50"/>
  <c r="D91" i="52" s="1"/>
  <c r="D93" i="52"/>
  <c r="H10" i="10"/>
  <c r="F5" i="33" s="1"/>
  <c r="G95" i="44"/>
  <c r="H147" i="46" s="1"/>
  <c r="H148" i="46"/>
  <c r="H41" i="29"/>
  <c r="I41" i="29" s="1"/>
  <c r="G163" i="46"/>
  <c r="F113" i="44"/>
  <c r="G162" i="46" s="1"/>
  <c r="D81" i="29"/>
  <c r="G80" i="29" s="1"/>
  <c r="H23" i="10"/>
  <c r="E14" i="33" s="1"/>
  <c r="F14" i="33" s="1"/>
  <c r="F74" i="50"/>
  <c r="F74" i="44"/>
  <c r="G154" i="29"/>
  <c r="H78" i="50"/>
  <c r="D136" i="52"/>
  <c r="G136" i="52" s="1"/>
  <c r="D92" i="52"/>
  <c r="H57" i="50"/>
  <c r="E51" i="53"/>
  <c r="H61" i="51"/>
  <c r="E50" i="53" s="1"/>
  <c r="H86" i="52"/>
  <c r="I47" i="50"/>
  <c r="H16" i="46"/>
  <c r="I14" i="44"/>
  <c r="D44" i="29"/>
  <c r="H36" i="7"/>
  <c r="D52" i="29"/>
  <c r="F48" i="44"/>
  <c r="I14" i="50"/>
  <c r="D82" i="46"/>
  <c r="G82" i="46" s="1"/>
  <c r="H51" i="44"/>
  <c r="G202" i="29"/>
  <c r="D101" i="52"/>
  <c r="G101" i="52" s="1"/>
  <c r="H60" i="50"/>
  <c r="D80" i="52"/>
  <c r="G80" i="52" s="1"/>
  <c r="H50" i="50"/>
  <c r="G149" i="46"/>
  <c r="F95" i="44"/>
  <c r="G147" i="46" s="1"/>
  <c r="E3" i="47"/>
  <c r="H10" i="45"/>
  <c r="E5" i="47" s="1"/>
  <c r="D87" i="29"/>
  <c r="G86" i="29" s="1"/>
  <c r="I24" i="44"/>
  <c r="H28" i="46" s="1"/>
  <c r="E11" i="47"/>
  <c r="H17" i="45"/>
  <c r="E10" i="47" s="1"/>
  <c r="H199" i="46"/>
  <c r="G154" i="44"/>
  <c r="H197" i="46" s="1"/>
  <c r="H194" i="29"/>
  <c r="I194" i="29" s="1"/>
  <c r="G192" i="29"/>
  <c r="G196" i="52"/>
  <c r="F149" i="50"/>
  <c r="G193" i="52" s="1"/>
  <c r="H12" i="29"/>
  <c r="I14" i="29" s="1"/>
  <c r="D56" i="52"/>
  <c r="G55" i="52" s="1"/>
  <c r="H37" i="50"/>
  <c r="G23" i="10"/>
  <c r="D14" i="33" s="1"/>
  <c r="H20" i="7"/>
  <c r="E4" i="23" s="1"/>
  <c r="E6" i="23" s="1"/>
  <c r="E24" i="23" s="1"/>
  <c r="D24" i="23" s="1"/>
  <c r="G54" i="7"/>
  <c r="D85" i="29" s="1"/>
  <c r="H17" i="44"/>
  <c r="G201" i="29"/>
  <c r="C21" i="23"/>
  <c r="D25" i="23"/>
  <c r="D36" i="23" s="1"/>
  <c r="D54" i="23" s="1"/>
  <c r="D63" i="23" s="1"/>
  <c r="H12" i="10"/>
  <c r="E6" i="33" s="1"/>
  <c r="F6" i="33" s="1"/>
  <c r="D11" i="53"/>
  <c r="G17" i="51"/>
  <c r="D10" i="53" s="1"/>
  <c r="D87" i="52"/>
  <c r="G47" i="50"/>
  <c r="D75" i="52" s="1"/>
  <c r="D33" i="53"/>
  <c r="G42" i="51"/>
  <c r="D32" i="53" s="1"/>
  <c r="F130" i="7"/>
  <c r="G73" i="50"/>
  <c r="D124" i="52" s="1"/>
  <c r="C114" i="23"/>
  <c r="D132" i="29"/>
  <c r="F23" i="7"/>
  <c r="F157" i="7"/>
  <c r="H63" i="10"/>
  <c r="F51" i="33" s="1"/>
  <c r="C68" i="23"/>
  <c r="H26" i="50"/>
  <c r="D117" i="29"/>
  <c r="D55" i="53"/>
  <c r="G47" i="44"/>
  <c r="D75" i="46" s="1"/>
  <c r="H152" i="29"/>
  <c r="I152" i="29" s="1"/>
  <c r="G169" i="29"/>
  <c r="F116" i="7"/>
  <c r="F48" i="50"/>
  <c r="H82" i="46"/>
  <c r="I47" i="44"/>
  <c r="E15" i="47"/>
  <c r="H23" i="45"/>
  <c r="E14" i="47" s="1"/>
  <c r="I170" i="29"/>
  <c r="G138" i="50"/>
  <c r="H183" i="52" s="1"/>
  <c r="H184" i="52"/>
  <c r="H18" i="29"/>
  <c r="I20" i="29" s="1"/>
  <c r="G170" i="29"/>
  <c r="G184" i="52"/>
  <c r="H53" i="50"/>
  <c r="D86" i="52"/>
  <c r="H49" i="44"/>
  <c r="D78" i="46"/>
  <c r="G78" i="46" s="1"/>
  <c r="H140" i="52"/>
  <c r="I80" i="50"/>
  <c r="H138" i="52" s="1"/>
  <c r="G13" i="45"/>
  <c r="G13" i="51"/>
  <c r="G13" i="10"/>
  <c r="G180" i="46"/>
  <c r="F126" i="44"/>
  <c r="D56" i="46"/>
  <c r="G55" i="46" s="1"/>
  <c r="G35" i="44"/>
  <c r="D52" i="46" s="1"/>
  <c r="D69" i="52"/>
  <c r="G68" i="52" s="1"/>
  <c r="H42" i="50"/>
  <c r="D15" i="47"/>
  <c r="G23" i="45"/>
  <c r="D14" i="47" s="1"/>
  <c r="H51" i="50"/>
  <c r="D82" i="52"/>
  <c r="G82" i="52" s="1"/>
  <c r="D38" i="46"/>
  <c r="G37" i="46" s="1"/>
  <c r="G24" i="44"/>
  <c r="D29" i="46" s="1"/>
  <c r="D42" i="53"/>
  <c r="D23" i="52"/>
  <c r="G14" i="50"/>
  <c r="H16" i="7"/>
  <c r="D13" i="29"/>
  <c r="D23" i="46"/>
  <c r="G14" i="44"/>
  <c r="D3" i="53"/>
  <c r="G10" i="51"/>
  <c r="D38" i="52"/>
  <c r="G37" i="52" s="1"/>
  <c r="H27" i="50"/>
  <c r="G24" i="50"/>
  <c r="D29" i="52" s="1"/>
  <c r="D15" i="29"/>
  <c r="G14" i="29" s="1"/>
  <c r="C56" i="23"/>
  <c r="C59" i="23" s="1"/>
  <c r="AE59" i="23"/>
  <c r="AE63" i="23" s="1"/>
  <c r="H17" i="7"/>
  <c r="S118" i="23"/>
  <c r="S121" i="23" s="1"/>
  <c r="S89" i="23"/>
  <c r="N89" i="23"/>
  <c r="N118" i="23"/>
  <c r="D59" i="29"/>
  <c r="H40" i="7"/>
  <c r="H167" i="52"/>
  <c r="G33" i="51"/>
  <c r="G34" i="10"/>
  <c r="D25" i="33" s="1"/>
  <c r="D12" i="19"/>
  <c r="G33" i="45"/>
  <c r="D31" i="29"/>
  <c r="G23" i="7"/>
  <c r="D105" i="29"/>
  <c r="H64" i="7"/>
  <c r="F61" i="7"/>
  <c r="D11" i="19"/>
  <c r="F62" i="50"/>
  <c r="F62" i="44"/>
  <c r="H51" i="7"/>
  <c r="F25" i="23"/>
  <c r="F36" i="23" s="1"/>
  <c r="F54" i="23" s="1"/>
  <c r="F63" i="23" s="1"/>
  <c r="G10" i="10"/>
  <c r="D5" i="33" s="1"/>
  <c r="F46" i="7"/>
  <c r="L3" i="23"/>
  <c r="I103" i="29"/>
  <c r="G118" i="23"/>
  <c r="G121" i="23" s="1"/>
  <c r="G89" i="23"/>
  <c r="E56" i="47"/>
  <c r="H74" i="45"/>
  <c r="E61" i="47" s="1"/>
  <c r="AB118" i="23"/>
  <c r="AB121" i="23" s="1"/>
  <c r="AB123" i="23" s="1"/>
  <c r="AB8" i="23" s="1"/>
  <c r="AB89" i="23"/>
  <c r="AD4" i="23"/>
  <c r="G206" i="29"/>
  <c r="I84" i="29"/>
  <c r="K3" i="23"/>
  <c r="E56" i="53"/>
  <c r="H74" i="51"/>
  <c r="E61" i="53" s="1"/>
  <c r="D57" i="33" l="1"/>
  <c r="D51" i="33"/>
  <c r="D7" i="33"/>
  <c r="D10" i="33"/>
  <c r="H70" i="29"/>
  <c r="I70" i="29" s="1"/>
  <c r="G122" i="7"/>
  <c r="Z3" i="23"/>
  <c r="J3" i="23"/>
  <c r="I191" i="29"/>
  <c r="AA6" i="23"/>
  <c r="AA28" i="23" s="1"/>
  <c r="AA33" i="23" s="1"/>
  <c r="AA36" i="23" s="1"/>
  <c r="AA54" i="23" s="1"/>
  <c r="AA63" i="23" s="1"/>
  <c r="AA118" i="23" s="1"/>
  <c r="AA121" i="23" s="1"/>
  <c r="AA123" i="23" s="1"/>
  <c r="AA8" i="23" s="1"/>
  <c r="I11" i="7"/>
  <c r="W118" i="23"/>
  <c r="W121" i="23" s="1"/>
  <c r="W123" i="23" s="1"/>
  <c r="W8" i="23" s="1"/>
  <c r="I44" i="7"/>
  <c r="G16" i="29"/>
  <c r="S4" i="23"/>
  <c r="S6" i="23" s="1"/>
  <c r="S123" i="23" s="1"/>
  <c r="S8" i="23" s="1"/>
  <c r="C70" i="23"/>
  <c r="C88" i="23" s="1"/>
  <c r="Q89" i="23"/>
  <c r="H118" i="23"/>
  <c r="H121" i="23" s="1"/>
  <c r="G51" i="29"/>
  <c r="G60" i="10"/>
  <c r="D49" i="33" s="1"/>
  <c r="D121" i="52"/>
  <c r="G121" i="52" s="1"/>
  <c r="F64" i="50"/>
  <c r="D107" i="52" s="1"/>
  <c r="G107" i="52" s="1"/>
  <c r="G117" i="29"/>
  <c r="G151" i="29"/>
  <c r="R4" i="23"/>
  <c r="T6" i="23"/>
  <c r="T11" i="23" s="1"/>
  <c r="T36" i="23" s="1"/>
  <c r="T54" i="23" s="1"/>
  <c r="T63" i="23" s="1"/>
  <c r="T118" i="23" s="1"/>
  <c r="T121" i="23" s="1"/>
  <c r="T123" i="23" s="1"/>
  <c r="T8" i="23" s="1"/>
  <c r="G74" i="29"/>
  <c r="G203" i="29"/>
  <c r="G43" i="29"/>
  <c r="D71" i="29"/>
  <c r="G39" i="29"/>
  <c r="G51" i="52"/>
  <c r="H35" i="44"/>
  <c r="AC4" i="23"/>
  <c r="AC6" i="23" s="1"/>
  <c r="AC24" i="23" s="1"/>
  <c r="AC25" i="23" s="1"/>
  <c r="AC36" i="23" s="1"/>
  <c r="AC54" i="23" s="1"/>
  <c r="AC63" i="23" s="1"/>
  <c r="H80" i="7"/>
  <c r="G157" i="29"/>
  <c r="H21" i="51"/>
  <c r="H37" i="51" s="1"/>
  <c r="G105" i="29"/>
  <c r="H178" i="29"/>
  <c r="I178" i="29" s="1"/>
  <c r="H23" i="7"/>
  <c r="AD6" i="23"/>
  <c r="AD19" i="23" s="1"/>
  <c r="AD25" i="23" s="1"/>
  <c r="AD36" i="23" s="1"/>
  <c r="AD54" i="23" s="1"/>
  <c r="AD63" i="23" s="1"/>
  <c r="G59" i="29"/>
  <c r="G51" i="46"/>
  <c r="H64" i="50"/>
  <c r="H24" i="44"/>
  <c r="D56" i="47"/>
  <c r="G74" i="45"/>
  <c r="D61" i="47" s="1"/>
  <c r="G12" i="29"/>
  <c r="H64" i="44"/>
  <c r="G30" i="29"/>
  <c r="H35" i="50"/>
  <c r="G107" i="46"/>
  <c r="G132" i="29"/>
  <c r="G178" i="29"/>
  <c r="G44" i="7"/>
  <c r="G74" i="51"/>
  <c r="D61" i="53" s="1"/>
  <c r="H73" i="7"/>
  <c r="F138" i="50"/>
  <c r="G183" i="52" s="1"/>
  <c r="G11" i="7"/>
  <c r="D7" i="29" s="1"/>
  <c r="F73" i="7"/>
  <c r="D121" i="29" s="1"/>
  <c r="G121" i="29" s="1"/>
  <c r="D123" i="29"/>
  <c r="G123" i="29" s="1"/>
  <c r="D24" i="29"/>
  <c r="G191" i="29"/>
  <c r="G164" i="29"/>
  <c r="F63" i="7"/>
  <c r="D103" i="29" s="1"/>
  <c r="G103" i="29" s="1"/>
  <c r="F138" i="44"/>
  <c r="G183" i="46" s="1"/>
  <c r="H71" i="7"/>
  <c r="H63" i="7" s="1"/>
  <c r="L4" i="23" s="1"/>
  <c r="L6" i="23" s="1"/>
  <c r="L26" i="23" s="1"/>
  <c r="L33" i="23" s="1"/>
  <c r="L36" i="23" s="1"/>
  <c r="L54" i="23" s="1"/>
  <c r="L63" i="23" s="1"/>
  <c r="G28" i="52"/>
  <c r="G119" i="44"/>
  <c r="H166" i="46" s="1"/>
  <c r="H24" i="50"/>
  <c r="X25" i="23"/>
  <c r="X36" i="23" s="1"/>
  <c r="X54" i="23" s="1"/>
  <c r="X63" i="23" s="1"/>
  <c r="C16" i="23"/>
  <c r="C25" i="23" s="1"/>
  <c r="I121" i="29"/>
  <c r="H46" i="7"/>
  <c r="G4" i="23"/>
  <c r="G6" i="23" s="1"/>
  <c r="G24" i="23" s="1"/>
  <c r="F24" i="23" s="1"/>
  <c r="H173" i="29"/>
  <c r="I173" i="29" s="1"/>
  <c r="G28" i="46"/>
  <c r="D14" i="19"/>
  <c r="H34" i="7"/>
  <c r="D7" i="47"/>
  <c r="G12" i="45"/>
  <c r="G168" i="29"/>
  <c r="U4" i="23"/>
  <c r="R3" i="23"/>
  <c r="H151" i="29"/>
  <c r="I151" i="29" s="1"/>
  <c r="H74" i="52"/>
  <c r="I45" i="50"/>
  <c r="H72" i="52" s="1"/>
  <c r="F14" i="50"/>
  <c r="D22" i="52"/>
  <c r="G22" i="52" s="1"/>
  <c r="G47" i="29"/>
  <c r="D25" i="29"/>
  <c r="U3" i="23"/>
  <c r="I168" i="29"/>
  <c r="H21" i="10"/>
  <c r="F13" i="33" s="1"/>
  <c r="G78" i="10"/>
  <c r="D62" i="33" s="1"/>
  <c r="D18" i="29"/>
  <c r="G18" i="29" s="1"/>
  <c r="F13" i="7"/>
  <c r="H19" i="7"/>
  <c r="H13" i="7" s="1"/>
  <c r="G45" i="44"/>
  <c r="D73" i="46" s="1"/>
  <c r="G119" i="50"/>
  <c r="H166" i="52" s="1"/>
  <c r="H20" i="50"/>
  <c r="H14" i="50" s="1"/>
  <c r="G12" i="10"/>
  <c r="D6" i="33" s="1"/>
  <c r="H74" i="46"/>
  <c r="I45" i="44"/>
  <c r="H72" i="46" s="1"/>
  <c r="H10" i="46"/>
  <c r="I12" i="44"/>
  <c r="G171" i="52"/>
  <c r="H24" i="29"/>
  <c r="I24" i="29" s="1"/>
  <c r="D32" i="47"/>
  <c r="G59" i="45"/>
  <c r="D49" i="47" s="1"/>
  <c r="O4" i="23"/>
  <c r="O6" i="23" s="1"/>
  <c r="O31" i="23" s="1"/>
  <c r="G171" i="46"/>
  <c r="D76" i="52"/>
  <c r="G76" i="52" s="1"/>
  <c r="F47" i="50"/>
  <c r="D74" i="52" s="1"/>
  <c r="G74" i="52" s="1"/>
  <c r="H48" i="50"/>
  <c r="H47" i="50" s="1"/>
  <c r="H8" i="29"/>
  <c r="I8" i="29" s="1"/>
  <c r="D3" i="23"/>
  <c r="D76" i="46"/>
  <c r="G76" i="46" s="1"/>
  <c r="F47" i="44"/>
  <c r="D74" i="46" s="1"/>
  <c r="G74" i="46" s="1"/>
  <c r="H48" i="44"/>
  <c r="H47" i="44" s="1"/>
  <c r="D128" i="52"/>
  <c r="G128" i="52" s="1"/>
  <c r="H74" i="50"/>
  <c r="H73" i="50" s="1"/>
  <c r="F73" i="50"/>
  <c r="D123" i="52" s="1"/>
  <c r="G123" i="52" s="1"/>
  <c r="G45" i="50"/>
  <c r="D73" i="52" s="1"/>
  <c r="Z4" i="23"/>
  <c r="F122" i="7"/>
  <c r="G59" i="51"/>
  <c r="D49" i="53" s="1"/>
  <c r="D7" i="53"/>
  <c r="G12" i="51"/>
  <c r="D6" i="53" s="1"/>
  <c r="G86" i="52"/>
  <c r="D118" i="23"/>
  <c r="D121" i="23" s="1"/>
  <c r="D89" i="23"/>
  <c r="H10" i="52"/>
  <c r="I12" i="50"/>
  <c r="H74" i="44"/>
  <c r="H73" i="44" s="1"/>
  <c r="D128" i="46"/>
  <c r="G128" i="46" s="1"/>
  <c r="F73" i="44"/>
  <c r="D123" i="46" s="1"/>
  <c r="G123" i="46" s="1"/>
  <c r="G92" i="52"/>
  <c r="D22" i="46"/>
  <c r="G22" i="46" s="1"/>
  <c r="F14" i="44"/>
  <c r="H20" i="44"/>
  <c r="H14" i="44" s="1"/>
  <c r="H21" i="45"/>
  <c r="E6" i="47"/>
  <c r="E123" i="23"/>
  <c r="E8" i="23" s="1"/>
  <c r="D5" i="53"/>
  <c r="D11" i="52"/>
  <c r="G12" i="50"/>
  <c r="D9" i="52" s="1"/>
  <c r="D11" i="46"/>
  <c r="G12" i="44"/>
  <c r="D9" i="46" s="1"/>
  <c r="AE118" i="23"/>
  <c r="AE121" i="23" s="1"/>
  <c r="AE123" i="23" s="1"/>
  <c r="AE8" i="23" s="1"/>
  <c r="AE89" i="23"/>
  <c r="D24" i="53"/>
  <c r="D70" i="29"/>
  <c r="D24" i="47"/>
  <c r="H62" i="50"/>
  <c r="H56" i="50" s="1"/>
  <c r="D105" i="52"/>
  <c r="G105" i="52" s="1"/>
  <c r="F56" i="50"/>
  <c r="H61" i="7"/>
  <c r="D101" i="29"/>
  <c r="G101" i="29" s="1"/>
  <c r="F54" i="7"/>
  <c r="D105" i="46"/>
  <c r="G105" i="46" s="1"/>
  <c r="H62" i="44"/>
  <c r="H56" i="44" s="1"/>
  <c r="F56" i="44"/>
  <c r="F89" i="23"/>
  <c r="F118" i="23"/>
  <c r="F121" i="23" s="1"/>
  <c r="N6" i="23"/>
  <c r="N120" i="23"/>
  <c r="I172" i="29" l="1"/>
  <c r="I68" i="29"/>
  <c r="AA89" i="23"/>
  <c r="Z6" i="23"/>
  <c r="Z28" i="23" s="1"/>
  <c r="Z33" i="23" s="1"/>
  <c r="Z36" i="23" s="1"/>
  <c r="Z54" i="23" s="1"/>
  <c r="Z63" i="23" s="1"/>
  <c r="Z118" i="23" s="1"/>
  <c r="Z121" i="23" s="1"/>
  <c r="Z123" i="23" s="1"/>
  <c r="Z8" i="23" s="1"/>
  <c r="I8" i="7"/>
  <c r="G123" i="23"/>
  <c r="G8" i="23" s="1"/>
  <c r="P4" i="23"/>
  <c r="P6" i="23" s="1"/>
  <c r="P17" i="23" s="1"/>
  <c r="P25" i="23" s="1"/>
  <c r="P36" i="23" s="1"/>
  <c r="P54" i="23" s="1"/>
  <c r="P63" i="23" s="1"/>
  <c r="G70" i="29"/>
  <c r="R6" i="23"/>
  <c r="R123" i="23" s="1"/>
  <c r="R8" i="23" s="1"/>
  <c r="T89" i="23"/>
  <c r="C24" i="23"/>
  <c r="E27" i="53"/>
  <c r="H65" i="51"/>
  <c r="H78" i="51" s="1"/>
  <c r="H80" i="51" s="1"/>
  <c r="C19" i="23"/>
  <c r="E13" i="53"/>
  <c r="H12" i="44"/>
  <c r="F119" i="44"/>
  <c r="G166" i="46" s="1"/>
  <c r="G8" i="7"/>
  <c r="D5" i="29" s="1"/>
  <c r="D69" i="29"/>
  <c r="H4" i="23"/>
  <c r="H6" i="23" s="1"/>
  <c r="H123" i="23" s="1"/>
  <c r="H8" i="23" s="1"/>
  <c r="H11" i="7"/>
  <c r="D4" i="23"/>
  <c r="D6" i="23" s="1"/>
  <c r="D123" i="23" s="1"/>
  <c r="D8" i="23" s="1"/>
  <c r="F119" i="50"/>
  <c r="G166" i="52" s="1"/>
  <c r="H12" i="50"/>
  <c r="G24" i="29"/>
  <c r="G8" i="44"/>
  <c r="D5" i="46" s="1"/>
  <c r="G21" i="51"/>
  <c r="D13" i="53" s="1"/>
  <c r="F4" i="23"/>
  <c r="F6" i="23" s="1"/>
  <c r="F123" i="23" s="1"/>
  <c r="F8" i="23" s="1"/>
  <c r="J4" i="23"/>
  <c r="J6" i="23" s="1"/>
  <c r="J30" i="23" s="1"/>
  <c r="J33" i="23" s="1"/>
  <c r="J36" i="23" s="1"/>
  <c r="J54" i="23" s="1"/>
  <c r="J63" i="23" s="1"/>
  <c r="H45" i="44"/>
  <c r="H45" i="50"/>
  <c r="X89" i="23"/>
  <c r="X118" i="23"/>
  <c r="X121" i="23" s="1"/>
  <c r="X123" i="23" s="1"/>
  <c r="X8" i="23" s="1"/>
  <c r="D10" i="46"/>
  <c r="G10" i="46" s="1"/>
  <c r="F12" i="44"/>
  <c r="D8" i="46" s="1"/>
  <c r="G8" i="46" s="1"/>
  <c r="O33" i="23"/>
  <c r="O36" i="23" s="1"/>
  <c r="O54" i="23" s="1"/>
  <c r="O63" i="23" s="1"/>
  <c r="C31" i="23"/>
  <c r="H8" i="46"/>
  <c r="I8" i="44"/>
  <c r="G172" i="29"/>
  <c r="AF11" i="23"/>
  <c r="AF36" i="23" s="1"/>
  <c r="AF54" i="23" s="1"/>
  <c r="AF63" i="23" s="1"/>
  <c r="AF118" i="23" s="1"/>
  <c r="AF121" i="23" s="1"/>
  <c r="AF123" i="23" s="1"/>
  <c r="H38" i="10"/>
  <c r="F28" i="33" s="1"/>
  <c r="D10" i="52"/>
  <c r="G10" i="52" s="1"/>
  <c r="F12" i="50"/>
  <c r="D8" i="52" s="1"/>
  <c r="G8" i="52" s="1"/>
  <c r="U6" i="23"/>
  <c r="U11" i="23" s="1"/>
  <c r="U36" i="23" s="1"/>
  <c r="U54" i="23" s="1"/>
  <c r="U63" i="23" s="1"/>
  <c r="E13" i="47"/>
  <c r="H37" i="45"/>
  <c r="G8" i="50"/>
  <c r="D5" i="52" s="1"/>
  <c r="G21" i="10"/>
  <c r="D13" i="33" s="1"/>
  <c r="H8" i="52"/>
  <c r="I8" i="50"/>
  <c r="H6" i="29"/>
  <c r="I6" i="29" s="1"/>
  <c r="F11" i="7"/>
  <c r="D8" i="29"/>
  <c r="G8" i="29" s="1"/>
  <c r="D6" i="47"/>
  <c r="G21" i="45"/>
  <c r="D84" i="29"/>
  <c r="G84" i="29" s="1"/>
  <c r="D90" i="52"/>
  <c r="G90" i="52" s="1"/>
  <c r="F45" i="50"/>
  <c r="F45" i="44"/>
  <c r="D90" i="46"/>
  <c r="G90" i="46" s="1"/>
  <c r="H54" i="7"/>
  <c r="F44" i="7"/>
  <c r="AC118" i="23"/>
  <c r="AC121" i="23" s="1"/>
  <c r="AC123" i="23" s="1"/>
  <c r="AC8" i="23" s="1"/>
  <c r="AC89" i="23"/>
  <c r="C120" i="23"/>
  <c r="C127" i="23" s="1"/>
  <c r="N121" i="23"/>
  <c r="N123" i="23" s="1"/>
  <c r="N8" i="23" s="1"/>
  <c r="AD118" i="23"/>
  <c r="AD121" i="23" s="1"/>
  <c r="AD123" i="23" s="1"/>
  <c r="AD8" i="23" s="1"/>
  <c r="AD89" i="23"/>
  <c r="L118" i="23"/>
  <c r="L121" i="23" s="1"/>
  <c r="L123" i="23" s="1"/>
  <c r="L8" i="23" s="1"/>
  <c r="L89" i="23"/>
  <c r="I4" i="29" l="1"/>
  <c r="C17" i="23"/>
  <c r="Z89" i="23"/>
  <c r="C28" i="23"/>
  <c r="C20" i="19"/>
  <c r="E53" i="53"/>
  <c r="H8" i="44"/>
  <c r="F117" i="44" s="1"/>
  <c r="G165" i="46" s="1"/>
  <c r="AF89" i="23"/>
  <c r="G37" i="51"/>
  <c r="G65" i="51" s="1"/>
  <c r="G78" i="51" s="1"/>
  <c r="H8" i="50"/>
  <c r="F117" i="50" s="1"/>
  <c r="G165" i="52" s="1"/>
  <c r="G85" i="44"/>
  <c r="C30" i="23"/>
  <c r="G38" i="10"/>
  <c r="G85" i="50"/>
  <c r="U118" i="23"/>
  <c r="U121" i="23" s="1"/>
  <c r="U123" i="23" s="1"/>
  <c r="U8" i="23" s="1"/>
  <c r="U89" i="23"/>
  <c r="H61" i="10"/>
  <c r="F50" i="33" s="1"/>
  <c r="D13" i="47"/>
  <c r="G37" i="45"/>
  <c r="D6" i="29"/>
  <c r="G6" i="29" s="1"/>
  <c r="G117" i="50"/>
  <c r="H85" i="51" s="1"/>
  <c r="J85" i="51" s="1"/>
  <c r="I85" i="50"/>
  <c r="H4" i="52"/>
  <c r="E27" i="47"/>
  <c r="H65" i="45"/>
  <c r="I85" i="44"/>
  <c r="G117" i="44"/>
  <c r="H4" i="46"/>
  <c r="O89" i="23"/>
  <c r="O118" i="23"/>
  <c r="O121" i="23" s="1"/>
  <c r="O123" i="23" s="1"/>
  <c r="O8" i="23" s="1"/>
  <c r="D68" i="29"/>
  <c r="G68" i="29" s="1"/>
  <c r="F8" i="7"/>
  <c r="D72" i="46"/>
  <c r="G72" i="46" s="1"/>
  <c r="F8" i="44"/>
  <c r="K4" i="23"/>
  <c r="K6" i="23" s="1"/>
  <c r="K26" i="23" s="1"/>
  <c r="H44" i="7"/>
  <c r="F8" i="50"/>
  <c r="D72" i="52"/>
  <c r="G72" i="52" s="1"/>
  <c r="H84" i="51"/>
  <c r="J84" i="51" s="1"/>
  <c r="E63" i="53"/>
  <c r="J118" i="23"/>
  <c r="J121" i="23" s="1"/>
  <c r="J123" i="23" s="1"/>
  <c r="J8" i="23" s="1"/>
  <c r="J89" i="23"/>
  <c r="P118" i="23"/>
  <c r="P121" i="23" s="1"/>
  <c r="P123" i="23" s="1"/>
  <c r="P8" i="23" s="1"/>
  <c r="P89" i="23"/>
  <c r="D28" i="33" l="1"/>
  <c r="G95" i="7"/>
  <c r="I150" i="29" s="1"/>
  <c r="I171" i="29"/>
  <c r="V3" i="23"/>
  <c r="C3" i="23" s="1"/>
  <c r="G174" i="7"/>
  <c r="I174" i="7" s="1"/>
  <c r="H85" i="44"/>
  <c r="D53" i="53"/>
  <c r="F93" i="50"/>
  <c r="F91" i="50" s="1"/>
  <c r="D27" i="53"/>
  <c r="H85" i="50"/>
  <c r="F165" i="50"/>
  <c r="H165" i="50" s="1"/>
  <c r="F93" i="44"/>
  <c r="G146" i="46" s="1"/>
  <c r="F165" i="44"/>
  <c r="H165" i="44" s="1"/>
  <c r="G61" i="10"/>
  <c r="E53" i="47"/>
  <c r="H78" i="45"/>
  <c r="H80" i="45" s="1"/>
  <c r="G165" i="44"/>
  <c r="I165" i="44" s="1"/>
  <c r="H165" i="46"/>
  <c r="G93" i="44"/>
  <c r="G93" i="50"/>
  <c r="H165" i="52"/>
  <c r="G165" i="50"/>
  <c r="I165" i="50" s="1"/>
  <c r="D27" i="47"/>
  <c r="G65" i="45"/>
  <c r="H80" i="10"/>
  <c r="F63" i="33" s="1"/>
  <c r="H67" i="10"/>
  <c r="F54" i="33" s="1"/>
  <c r="D63" i="53"/>
  <c r="G80" i="51"/>
  <c r="G84" i="51"/>
  <c r="I84" i="51" s="1"/>
  <c r="G85" i="51"/>
  <c r="I85" i="51" s="1"/>
  <c r="F85" i="44"/>
  <c r="D4" i="46"/>
  <c r="G4" i="46" s="1"/>
  <c r="D4" i="29"/>
  <c r="G4" i="29" s="1"/>
  <c r="D4" i="52"/>
  <c r="G4" i="52" s="1"/>
  <c r="F85" i="50"/>
  <c r="H8" i="7"/>
  <c r="F120" i="7" s="1"/>
  <c r="F174" i="7" s="1"/>
  <c r="K33" i="23"/>
  <c r="K36" i="23" s="1"/>
  <c r="K54" i="23" s="1"/>
  <c r="K63" i="23" s="1"/>
  <c r="C26" i="23"/>
  <c r="C33" i="23" s="1"/>
  <c r="G80" i="10" l="1"/>
  <c r="D63" i="33" s="1"/>
  <c r="D50" i="33"/>
  <c r="H174" i="7"/>
  <c r="G93" i="7"/>
  <c r="G146" i="52"/>
  <c r="F91" i="44"/>
  <c r="F159" i="44" s="1"/>
  <c r="G67" i="10"/>
  <c r="F83" i="51"/>
  <c r="G91" i="44"/>
  <c r="H146" i="46"/>
  <c r="H84" i="10"/>
  <c r="G78" i="45"/>
  <c r="D53" i="47"/>
  <c r="G91" i="50"/>
  <c r="H146" i="52"/>
  <c r="H84" i="45"/>
  <c r="J84" i="45" s="1"/>
  <c r="E63" i="47"/>
  <c r="H85" i="45"/>
  <c r="J85" i="45" s="1"/>
  <c r="K118" i="23"/>
  <c r="K121" i="23" s="1"/>
  <c r="K123" i="23" s="1"/>
  <c r="K8" i="23" s="1"/>
  <c r="K89" i="23"/>
  <c r="B20" i="19"/>
  <c r="G145" i="52"/>
  <c r="F164" i="50"/>
  <c r="H164" i="50" s="1"/>
  <c r="F159" i="50"/>
  <c r="H90" i="10" l="1"/>
  <c r="J90" i="10" s="1"/>
  <c r="F65" i="33"/>
  <c r="D54" i="33"/>
  <c r="C21" i="19"/>
  <c r="C22" i="19" s="1"/>
  <c r="G173" i="7"/>
  <c r="I173" i="7" s="1"/>
  <c r="I149" i="29"/>
  <c r="I214" i="29" s="1"/>
  <c r="F164" i="44"/>
  <c r="H164" i="44" s="1"/>
  <c r="G145" i="46"/>
  <c r="G84" i="10"/>
  <c r="G84" i="45"/>
  <c r="I84" i="45" s="1"/>
  <c r="G85" i="45"/>
  <c r="I85" i="45" s="1"/>
  <c r="G80" i="45"/>
  <c r="D63" i="47"/>
  <c r="H145" i="52"/>
  <c r="G159" i="50"/>
  <c r="G164" i="50"/>
  <c r="I164" i="50" s="1"/>
  <c r="E163" i="50" s="1"/>
  <c r="H91" i="10"/>
  <c r="J91" i="10" s="1"/>
  <c r="H145" i="46"/>
  <c r="G159" i="44"/>
  <c r="G164" i="44"/>
  <c r="I164" i="44" s="1"/>
  <c r="G171" i="29"/>
  <c r="F95" i="7"/>
  <c r="G150" i="29" s="1"/>
  <c r="K150" i="29" s="1"/>
  <c r="V4" i="23"/>
  <c r="D65" i="33" l="1"/>
  <c r="G215" i="29" s="1"/>
  <c r="G91" i="10"/>
  <c r="I91" i="10" s="1"/>
  <c r="H214" i="29"/>
  <c r="G90" i="10"/>
  <c r="I90" i="10" s="1"/>
  <c r="E163" i="44"/>
  <c r="F83" i="45"/>
  <c r="I215" i="29"/>
  <c r="H215" i="29"/>
  <c r="V6" i="23"/>
  <c r="C4" i="23"/>
  <c r="F93" i="7"/>
  <c r="F89" i="10" l="1"/>
  <c r="V11" i="23"/>
  <c r="C6" i="23"/>
  <c r="B21" i="19"/>
  <c r="B22" i="19" s="1"/>
  <c r="G149" i="29"/>
  <c r="G214" i="29" s="1"/>
  <c r="F173" i="7"/>
  <c r="H173" i="7" s="1"/>
  <c r="E172" i="7" s="1"/>
  <c r="C11" i="23" l="1"/>
  <c r="C36" i="23" s="1"/>
  <c r="C54" i="23" s="1"/>
  <c r="C63" i="23" s="1"/>
  <c r="V36" i="23"/>
  <c r="V54" i="23" s="1"/>
  <c r="V63" i="23" s="1"/>
  <c r="C89" i="23" l="1"/>
  <c r="C125" i="23" s="1"/>
  <c r="C129" i="23" s="1"/>
  <c r="C118" i="23"/>
  <c r="C121" i="23" s="1"/>
  <c r="C123" i="23" s="1"/>
  <c r="V89" i="23"/>
  <c r="V118" i="23"/>
  <c r="V121" i="23" s="1"/>
  <c r="V123" i="23" s="1"/>
  <c r="V8" i="23" s="1"/>
</calcChain>
</file>

<file path=xl/comments1.xml><?xml version="1.0" encoding="utf-8"?>
<comments xmlns="http://schemas.openxmlformats.org/spreadsheetml/2006/main">
  <authors>
    <author>Peter Sadák</author>
  </authors>
  <commentList>
    <comment ref="D12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K15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J24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Provision to stock created minus Provision to stock released
a/c 559 minus a/c 659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24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BDP created - BDP released + rec. write off - proceeds from rec. written off
(559 - 659 + 546 - 646)</t>
        </r>
      </text>
    </comment>
    <comment ref="N24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 FX realised co CASH-u</t>
        </r>
      </text>
    </comment>
    <comment ref="K27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L27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Z29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AA29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O32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D37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D38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H38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AB41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G64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Z64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AA64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E65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Z65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AA65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D67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AC90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podla informácií od klienta</t>
        </r>
      </text>
    </comment>
    <comment ref="AC91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podla informácií od klienta</t>
        </r>
      </text>
    </comment>
  </commentList>
</comments>
</file>

<file path=xl/comments2.xml><?xml version="1.0" encoding="utf-8"?>
<comments xmlns="http://schemas.openxmlformats.org/spreadsheetml/2006/main">
  <authors>
    <author>Ondrej Dragún</author>
  </authors>
  <commentList>
    <comment ref="A9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Predpoklad: nepeňažné dary sú dary dlhodobého nehmotného a dlhodobého hmotného  majetku. V prípade iného daru nutná úprava.</t>
        </r>
      </text>
    </comment>
    <comment ref="A10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Predpoklad: nepeňažné dary sú dary investičného majetku. V prípade iného daru nutná úprava.</t>
        </r>
      </text>
    </comment>
    <comment ref="B25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Nie je nutné rozdeľovať Rezervy na riadne a mimoriadne, lebo zmena stavu mimoriadnych rezerv je vylúčená účtami 684,584.
Predpoklad: Upravujem len Other reserves, pretoze Rezervy zakonne
su len z beznych aktivit</t>
        </r>
      </text>
    </comment>
    <comment ref="A26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vylúčené rezervy z mimoriadnych činností preto, lebo upravujeme hosp. výsledok LEN z bežnej činnosti a nie mimoriadnej činnosti.</t>
        </r>
      </text>
    </comment>
  </commentList>
</comments>
</file>

<file path=xl/sharedStrings.xml><?xml version="1.0" encoding="utf-8"?>
<sst xmlns="http://schemas.openxmlformats.org/spreadsheetml/2006/main" count="6116" uniqueCount="3175">
  <si>
    <t>Extraordinary revenues (acc. group 68)</t>
  </si>
  <si>
    <t>Extraordinary expenses (acc. group 58)</t>
  </si>
  <si>
    <t xml:space="preserve"> - payable (593)</t>
  </si>
  <si>
    <t xml:space="preserve"> - deferred (+/ 594)</t>
  </si>
  <si>
    <t>Extraordinary profit/(loss)
l. 50 - 51 - 52</t>
  </si>
  <si>
    <t>Profit/(loss) share transferred to owners' account
(+/-596)</t>
  </si>
  <si>
    <t>Grand Totals to BS-SK</t>
  </si>
  <si>
    <t>Current year</t>
  </si>
  <si>
    <t>Forderungen gegen Gesellschafter, Mitglieder und der Vereinigung (354A, 355A, 358A, 35XA, 398A) - 391A</t>
  </si>
  <si>
    <t>Pohľadávky voči spoločníkom, členom a združeniu  (354A,355A,358A,35XA,398A) -391A</t>
  </si>
  <si>
    <t>Loans to accounting units in consolidation group (066) -096A</t>
  </si>
  <si>
    <t xml:space="preserve">Income from investments in subsidiaries and associates (665A) </t>
  </si>
  <si>
    <t>Income from other equity investments (665A)</t>
  </si>
  <si>
    <t xml:space="preserve">Income from  short term financial assets (666)                   </t>
  </si>
  <si>
    <t xml:space="preserve">Costs of short term financial assets (566)                   </t>
  </si>
  <si>
    <t>Adjustments to shares and ownership interests with substantial influence in enterprises</t>
  </si>
  <si>
    <t>D</t>
  </si>
  <si>
    <t>Sk'000</t>
  </si>
  <si>
    <t>Income Statement Úč POD 2-01</t>
  </si>
  <si>
    <t>Pozemky (031) -092A</t>
  </si>
  <si>
    <t>Value added tax</t>
  </si>
  <si>
    <t>Daň z pridanej hodnoty</t>
  </si>
  <si>
    <t>343A1</t>
  </si>
  <si>
    <t>Sonstige Forderungen (335A, 33XA,371A, 373A,374A,375A,376A,378A) -391A</t>
  </si>
  <si>
    <t>Steuerforderung (341,342,343,345,346,347) -391A</t>
  </si>
  <si>
    <t>Sonstige Forderungen (335A,33xA,371A,373A,374A,375A,376A,378A) -391A</t>
  </si>
  <si>
    <t>Forderungen gegen Unternehmen, mit denen ein Beteiligungsverhältnis besteht (354A, 355A, 358A, 35XA,398A) -391A</t>
  </si>
  <si>
    <t>Finanzanlagen im Bau (259,314A) - 291</t>
  </si>
  <si>
    <t>Kurzfristiges Finanzanlagevermögen (251, 253, 256, 257, 25x) -/291, 29x/</t>
  </si>
  <si>
    <t>Passiva Insgesamt  Z.  066+086+116</t>
  </si>
  <si>
    <t>Gesetzliche Rücklage (Unteilbarer Fonds) aus den Kapitaleinlagen (417, 418)</t>
  </si>
  <si>
    <t>Profit/loss to GL</t>
  </si>
  <si>
    <t>Profit/loss to BS</t>
  </si>
  <si>
    <t>Ergebnis der laufenden Buchungsperiode /+ -/ l. 00l-(067+071+078+082+086+116)</t>
  </si>
  <si>
    <t>Laufende Bankkredite (221A, 231, 232, 23X, 461A, 46XA)</t>
  </si>
  <si>
    <t>Verbindlichkeiten aus der Sozialversicherung (336A, 479A)</t>
  </si>
  <si>
    <t>Kurzfristige Verbindlichkeiten aus Gesellschafter und der Vereinigung (361, 471A)</t>
  </si>
  <si>
    <t>Langfristige Verbindlichkeiten aus Gesellschafter und der Vereinigung (471A)</t>
  </si>
  <si>
    <t>Retained earnings from previous years</t>
  </si>
  <si>
    <t>096A4</t>
  </si>
  <si>
    <t>096A5</t>
  </si>
  <si>
    <t>097</t>
  </si>
  <si>
    <t>Podielové cenné papiere a podiely v dcérskej účtovnej jednotke (061) –096A</t>
  </si>
  <si>
    <t>Podielové cenné papiere a podiely v spoločnosti s podstatným vplyvom (062) -096A</t>
  </si>
  <si>
    <t>Pohľadávky voči dcérskej účtovnej jednotke a materskej účtovnej jednotke (351A) -391A</t>
  </si>
  <si>
    <t>Sociálne poistenie (336) - 391A</t>
  </si>
  <si>
    <t>Daňové pohľadávky (341,342,343,345,346,347) - 391A</t>
  </si>
  <si>
    <t>Obstarávaný krátkodobý finančný majetok (259,314A) - 291</t>
  </si>
  <si>
    <t>Oceňovacie rozdiely z precenenia pri zlúčení, splynutí a rozdelení (+/-416)</t>
  </si>
  <si>
    <t>Dlhodobé záväzky voči dcérskej účtovnej jednotke a materskej účtovnej jednotke (471A)</t>
  </si>
  <si>
    <t>Záväzky voči dcérskej účtovnej jednotke a materskej účtovnej jednotke(361,471A)</t>
  </si>
  <si>
    <t>Záväzky zo sociálneho poistenia (336,479A)</t>
  </si>
  <si>
    <t xml:space="preserve">Spotreba materiálu, energie a ostatných neskladovateľných dodávok  (501,502,503,505A)                       </t>
  </si>
  <si>
    <t>Tvorba a zúčtovanie opravných položiek k ostatným zásobám</t>
  </si>
  <si>
    <t>Tvorba a zúčtovanie opravných položiek k tovaru</t>
  </si>
  <si>
    <t>505A1</t>
  </si>
  <si>
    <t>505A2</t>
  </si>
  <si>
    <t>Additions and accounting for adjustments to merchantize</t>
  </si>
  <si>
    <t>Additions and accounting for adjustments to other inventory</t>
  </si>
  <si>
    <t xml:space="preserve">Odpisy dlhodobého nehmotného a dlhodobého hmotného investičného majetku (551,553)         </t>
  </si>
  <si>
    <t>Receivables from subsidiaries and controlling enterprises (351A) -391A</t>
  </si>
  <si>
    <t>Tax receivables (341,342,343,345,346,347) -391A</t>
  </si>
  <si>
    <t xml:space="preserve">Abschreibungen auf langfristiges Anlagevermögen (551, 553)         </t>
  </si>
  <si>
    <t>Sonstige betriebliche Erträge  (644, 645, 646, 648, 655, 657)</t>
  </si>
  <si>
    <t>Deferred tax liability and deferred tax asset</t>
  </si>
  <si>
    <t>Záväzky z obchodného styku
(321, 322, 324, 325, 32X, 475A, 478A, 479A, 47XA)</t>
  </si>
  <si>
    <t>Záväzky voči dcérskej účtovnej jednotke a materskej
účtovnej jednotke (361A, 471A)</t>
  </si>
  <si>
    <t>Ostatné nepeňažné operácie ovplyvňujúce hospodársky výsledok z bežnej činnosti (v prípade, ak sa nevyžaduje ich vykazovanie v dalších častiach prehľadu peňažných tokov) (+/-)</t>
  </si>
  <si>
    <t>Kurzové rozdiely k záväzkom</t>
  </si>
  <si>
    <t>Kurzové rozdiely k pohľadávkam</t>
  </si>
  <si>
    <t>Zmena stavu krátkodobého finančného majetku (len toho, ktorý nie je súčasťou peňažných ekvivalentov) (-/+)</t>
  </si>
  <si>
    <t>Kurzové rozdiely ku krátkodobému finančnému majetku</t>
  </si>
  <si>
    <t xml:space="preserve">Finanzerträge aus der Auflösung von Wertberichtigungen (564,567)     </t>
  </si>
  <si>
    <t xml:space="preserve">Zinserträge (662)                                             </t>
  </si>
  <si>
    <t xml:space="preserve">Zinsaufwand (562)                                            </t>
  </si>
  <si>
    <t xml:space="preserve">Umgliederung von Finanzaufwendungen (-)(598)                              </t>
  </si>
  <si>
    <t xml:space="preserve">Umgliederung von Finanzerträgen (-)(698)                               </t>
  </si>
  <si>
    <t xml:space="preserve">Außerordentliche Erträge (Kontengruppe 68)                                 </t>
  </si>
  <si>
    <t xml:space="preserve">Außerordentliche Aufwendungen (Kontengruppe 58)                                </t>
  </si>
  <si>
    <t xml:space="preserve">Zuweisung des Anteils am Jahresergebnis an die Gesellschafter (+/-596)        </t>
  </si>
  <si>
    <t>Laufendes Jahr</t>
  </si>
  <si>
    <t>Vorjahr</t>
  </si>
  <si>
    <t>Ozna-
čenie
a</t>
  </si>
  <si>
    <t>STRANA AKTÍV
b</t>
  </si>
  <si>
    <t>Číslo
riadku
c</t>
  </si>
  <si>
    <t>Bezprostredne predchádzajúce
účtovné obdobie</t>
  </si>
  <si>
    <t>Netto
2</t>
  </si>
  <si>
    <t>Netto 3</t>
  </si>
  <si>
    <t>Intercompany  payables to companies with substantial influence - short-term</t>
  </si>
  <si>
    <t>Bonds issued - short-term</t>
  </si>
  <si>
    <t>Bonds issued - long-term</t>
  </si>
  <si>
    <t xml:space="preserve"> Payables under leasing contracts - short-term</t>
  </si>
  <si>
    <t xml:space="preserve"> Payables under leasing contracts - long-term</t>
  </si>
  <si>
    <t>Long-term advances received - short-term</t>
  </si>
  <si>
    <t>Long-term advances received - long-term</t>
  </si>
  <si>
    <t>Samostatné hnuteľné veci a súbory hnuteľných vecí (022) -/082,092A/</t>
  </si>
  <si>
    <t>Pestovateľské celky trvalých porastov (025) -/085,092A/</t>
  </si>
  <si>
    <t>Základné stádo a ťažné zvieratá (026) -/086,092A/</t>
  </si>
  <si>
    <t>Ostatný dlhodobý hmotný  majetok (029,02x,032) -/089,08x,092A/</t>
  </si>
  <si>
    <t>Deferred tax liability (481A)</t>
  </si>
  <si>
    <t>Trade liabilities (321, 322, 324, 325, 32x, 475A, 478A, 479A, 47xA)</t>
  </si>
  <si>
    <t>Other liabilities within consolidation Group (361A, 36xA, 471A, 47xA)</t>
  </si>
  <si>
    <t>Liabilities to partners, associates and consortium members (364, 365, 366, 367, 368, 398A, 478A, 479A)</t>
  </si>
  <si>
    <t xml:space="preserve">Odložená daň z príjmov z mimoriadnej činnosti </t>
  </si>
  <si>
    <t>Splatná daň z príjmov z mimoriadnej činnosti</t>
  </si>
  <si>
    <t>Ostatné pokuty, penále a úroky z omeškania</t>
  </si>
  <si>
    <t>Zmluvné pokuty, penále a úroky z omeškania</t>
  </si>
  <si>
    <t>Dlhodobé pohľadávky súčet (r. 042 až 047)</t>
  </si>
  <si>
    <t>Pohľadávky z obchodného styku (311A,312A,313A,314A,315A,31XA) –391A</t>
  </si>
  <si>
    <t>Pohľadávky voči ovládanej osobe a ovládajúcej osobe (351A) –391A</t>
  </si>
  <si>
    <t>Ostané pohľadávky v rámci konsolidovaného celku (351A) -391A</t>
  </si>
  <si>
    <t>Adjustments to semi-finished products</t>
  </si>
  <si>
    <t>Adjustments to finished products</t>
  </si>
  <si>
    <t>Opravná položka k výrobkom</t>
  </si>
  <si>
    <t>Other payables - long-term</t>
  </si>
  <si>
    <t>Adjustments to trade accounts receivables - short-term</t>
  </si>
  <si>
    <t>Adjustments to trade accounts receivables - long-term</t>
  </si>
  <si>
    <t>Adjustments to long-term receivables from enterprises with a majority interest - short-term</t>
  </si>
  <si>
    <t>Adjustments to long-term receivables from enterprises with a majority interest - long-term</t>
  </si>
  <si>
    <t>Adjustments to other intercomany receivables - short-term</t>
  </si>
  <si>
    <t>Adjustments to other intercomany receivables - long-term</t>
  </si>
  <si>
    <t>Adjustments to receivables from shareholders, partners and consortium members - short-term</t>
  </si>
  <si>
    <t xml:space="preserve">Dane a poplatky (účtová skupina 53)                                    </t>
  </si>
  <si>
    <t>Iné pohľadávky (335A,33XA,371A,373A,374A,375A,376A,378A) -391A</t>
  </si>
  <si>
    <t>Odložená daňová pohľadávka (481A)</t>
  </si>
  <si>
    <t>Výnosy z precenenia cenných papierov a výnosy z
derivatových operácií (664, 667)</t>
  </si>
  <si>
    <t>34</t>
  </si>
  <si>
    <t>Náklady na precenenie cenných papierov a náklady na
derivatové operácie (564, 567)</t>
  </si>
  <si>
    <t>35</t>
  </si>
  <si>
    <t>Tvorba a zúčtovanie opravných položiek k finančnému
majetku +/- 565</t>
  </si>
  <si>
    <t>36</t>
  </si>
  <si>
    <t xml:space="preserve">   X.</t>
  </si>
  <si>
    <t>37</t>
  </si>
  <si>
    <t>Nákladové úroky (562)</t>
  </si>
  <si>
    <t>38</t>
  </si>
  <si>
    <t xml:space="preserve">   XI.</t>
  </si>
  <si>
    <t>39</t>
  </si>
  <si>
    <t>40</t>
  </si>
  <si>
    <t xml:space="preserve">  XII.</t>
  </si>
  <si>
    <t>Ostatné výnosy z finančnej činnosti (668)</t>
  </si>
  <si>
    <t>41</t>
  </si>
  <si>
    <t>Ostatné náklady na finančnú činnosť (568, 569)</t>
  </si>
  <si>
    <t>42</t>
  </si>
  <si>
    <t xml:space="preserve"> XIII.</t>
  </si>
  <si>
    <t>Prevod finančných výnosov (-) (698)</t>
  </si>
  <si>
    <t>43</t>
  </si>
  <si>
    <t>Prevod finančných nákladov (-) (598)</t>
  </si>
  <si>
    <t>44</t>
  </si>
  <si>
    <t>45</t>
  </si>
  <si>
    <t>46</t>
  </si>
  <si>
    <t>R.1.</t>
  </si>
  <si>
    <t>- splatná (591, 595)</t>
  </si>
  <si>
    <t>47</t>
  </si>
  <si>
    <t>- odložená (+/- 592)</t>
  </si>
  <si>
    <t>48</t>
  </si>
  <si>
    <t xml:space="preserve"> XIV.</t>
  </si>
  <si>
    <t>Mimoriadne výnosy (účtová skupina 68)</t>
  </si>
  <si>
    <t>Mimoriadne náklady (účtová skupina 58)</t>
  </si>
  <si>
    <t>51</t>
  </si>
  <si>
    <t>T.1.</t>
  </si>
  <si>
    <t xml:space="preserve"> - splatná (593)</t>
  </si>
  <si>
    <t xml:space="preserve"> - odložená (+/ 594)</t>
  </si>
  <si>
    <t>54</t>
  </si>
  <si>
    <t>UVPOD1v07_1</t>
  </si>
  <si>
    <t>Výdavky vyplývajúce z future zmlúv, forward zmlúv, opčných zmlúv a swap zmlúv (ak nie sú vlastnené za účelom obchodovania s nimi) (+)</t>
  </si>
  <si>
    <t>B.7.</t>
  </si>
  <si>
    <t>Príjmy zo splácania úverov a pôžičiek, ktoré účtovná jednotka poskytla iným subjektom ako sú spriaznené osoby (+)</t>
  </si>
  <si>
    <t>A.6.8.1.</t>
  </si>
  <si>
    <t>A.6.9.</t>
  </si>
  <si>
    <t>Bank accounts (221A,22x,+/-261)</t>
  </si>
  <si>
    <t>Eigenständige bewegliche Sachen und Gesamtheiten von beweglichen Sachen (022) - /082, 092 A/</t>
  </si>
  <si>
    <t>16</t>
  </si>
  <si>
    <t>17</t>
  </si>
  <si>
    <t>18</t>
  </si>
  <si>
    <t>Current bank accounts</t>
  </si>
  <si>
    <t>Bežné bankové účty</t>
  </si>
  <si>
    <t>Short-term bank loans</t>
  </si>
  <si>
    <t>Krátkodobé bankové úvery</t>
  </si>
  <si>
    <t>Finished goods (123) –194</t>
  </si>
  <si>
    <t xml:space="preserve"> </t>
  </si>
  <si>
    <t xml:space="preserve">Reclassification of financial revenue (-) (698)                               </t>
  </si>
  <si>
    <t xml:space="preserve">Reclassification of financial expenses (-) (598)                              </t>
  </si>
  <si>
    <t xml:space="preserve"> Steuerverbindlichkeiten und Zuwendungen (341,342,343,345,346,347,34X)</t>
  </si>
  <si>
    <t>Langfristige Bankkredite (461A,46XA)</t>
  </si>
  <si>
    <t>Payables from sale of enterprise</t>
  </si>
  <si>
    <t>Payables from sale of enterprise - short-term</t>
  </si>
  <si>
    <t>Payables from sale of enterprise - long-term</t>
  </si>
  <si>
    <t>Receivables and payables from fixed derivative operations</t>
  </si>
  <si>
    <t>Intercompany payables to companies with controlling influence</t>
  </si>
  <si>
    <t>B.5.</t>
  </si>
  <si>
    <t>Špecifické položky (súčet B.5.1 až B.5.2.)</t>
  </si>
  <si>
    <t>B.5.1.</t>
  </si>
  <si>
    <t>Príjmy mimoriadneho charakteru vzťahujúce sa k investičným činnostiam (+)</t>
  </si>
  <si>
    <t>B.5.2.</t>
  </si>
  <si>
    <t>Výdavky mimoriadneho charakteru vzťahujúce sa k investičným činnostiam (-)</t>
  </si>
  <si>
    <t>B.6.</t>
  </si>
  <si>
    <t>Alternatívne vykazované položky (súčet B.6.1. až B.6.6.)</t>
  </si>
  <si>
    <t>B.6.1.</t>
  </si>
  <si>
    <t>B.6.2.</t>
  </si>
  <si>
    <t>Zaplatené úroky (-)</t>
  </si>
  <si>
    <t>B.6.3.</t>
  </si>
  <si>
    <t>Prijaté dividendy a iné podiely na zisku (+)</t>
  </si>
  <si>
    <t>471A4</t>
  </si>
  <si>
    <t>Bonds issued</t>
  </si>
  <si>
    <t>473A1</t>
  </si>
  <si>
    <t>Krátkodobý finančný majetok</t>
  </si>
  <si>
    <t>Shares and similar securities</t>
  </si>
  <si>
    <t>Own shares</t>
  </si>
  <si>
    <t>Dotácie zo štátneho rozpočtu</t>
  </si>
  <si>
    <t>Other subsidies</t>
  </si>
  <si>
    <t>Ostatné dotácie</t>
  </si>
  <si>
    <t>35x</t>
  </si>
  <si>
    <t>Receivables from partners and participants in association</t>
  </si>
  <si>
    <t>Pohľadávky voči spoločníkom a združeniu</t>
  </si>
  <si>
    <t>Intercompany receivables</t>
  </si>
  <si>
    <t>351A1</t>
  </si>
  <si>
    <t>Časové rozlíšenie súčet (r. 117 a r. 118)</t>
  </si>
  <si>
    <t>Píšte len do buniek označených zeleným podkladom. Ak ich chcete vymazať, stlačte Ikonu Delete green cells.</t>
  </si>
  <si>
    <t>A 1.2. Nepeňažné dary</t>
  </si>
  <si>
    <t>Spolu:</t>
  </si>
  <si>
    <t>Opravná položka k obchodným pohľadávkam - krátkodobým</t>
  </si>
  <si>
    <t>Opravná položka k obchodným pohľadávkam - dlhodobým</t>
  </si>
  <si>
    <t>Opravná položka k pohľadávky voči ovládanej osobe a ovládajúcej osobe - krátkodobým</t>
  </si>
  <si>
    <t>Opravná položka k pohľadávky voči ovládanej osobe a ovládajúcej osobe - dlhodobým</t>
  </si>
  <si>
    <t>061</t>
  </si>
  <si>
    <t>Shares and ownership interest with controlling influence</t>
  </si>
  <si>
    <t>062</t>
  </si>
  <si>
    <t>Shares and ownership interest with substantial influence</t>
  </si>
  <si>
    <t>063</t>
  </si>
  <si>
    <t>G. und V. Rechnung Úč POD 2 - 01</t>
  </si>
  <si>
    <t>Adjustments to advances for intangible fixed assets</t>
  </si>
  <si>
    <t>Individual tangible fixed assets  and complexes of tangible fixed assets (022) -/082, 092A/</t>
  </si>
  <si>
    <t>Non cash</t>
  </si>
  <si>
    <t>543 Dary</t>
  </si>
  <si>
    <t>Dary peňažné</t>
  </si>
  <si>
    <t>V cash flow v stĺpci:</t>
  </si>
  <si>
    <t>A 1.2</t>
  </si>
  <si>
    <t>Diff.</t>
  </si>
  <si>
    <t>557 (+)</t>
  </si>
  <si>
    <t>657 (-)</t>
  </si>
  <si>
    <t>A 1.5 Zmena stavu rezerv</t>
  </si>
  <si>
    <t>Vylúčenie vplyvu mimoriadných rezerv</t>
  </si>
  <si>
    <t>(+)</t>
  </si>
  <si>
    <t>close - open</t>
  </si>
  <si>
    <t>a/c 584 Tvorba mimoriadnych rezerv</t>
  </si>
  <si>
    <t>a/c 684 Rozpúšťanie mimoriadnych rezerv</t>
  </si>
  <si>
    <t xml:space="preserve">- payable (591,595)                                              </t>
  </si>
  <si>
    <t xml:space="preserve">- deferred (+/-592)                                                 </t>
  </si>
  <si>
    <t xml:space="preserve">Extraordinary expenses (acc. group 58)                                </t>
  </si>
  <si>
    <t xml:space="preserve">- payable  (593)                                                 </t>
  </si>
  <si>
    <t xml:space="preserve">- deferred (+/-594)                                                 </t>
  </si>
  <si>
    <t>Emisné ážio (412)</t>
  </si>
  <si>
    <t>Ostatné kapitálové fondy (413)</t>
  </si>
  <si>
    <t>Oceňovacie rozdiely z kapitálových účastín (+/-415)</t>
  </si>
  <si>
    <t>A.III.1.</t>
  </si>
  <si>
    <t>Zákonný rezervný fond (421)</t>
  </si>
  <si>
    <t>Nedeliteľný fond (422)</t>
  </si>
  <si>
    <t>Accounting for reserves and adjustments to operating revenues</t>
  </si>
  <si>
    <t>09</t>
  </si>
  <si>
    <t>10</t>
  </si>
  <si>
    <t>11</t>
  </si>
  <si>
    <t>C.</t>
  </si>
  <si>
    <t>013</t>
  </si>
  <si>
    <t>Nakúpené opcie - dlhodobé</t>
  </si>
  <si>
    <t>Iné pohľadávky - krátkodobé</t>
  </si>
  <si>
    <t>Iné pohľadávky - dlhodobé</t>
  </si>
  <si>
    <t>Iné záväzky - krátkodobé</t>
  </si>
  <si>
    <t>Iné záväzky - dlhodobé</t>
  </si>
  <si>
    <t xml:space="preserve">Sales of merchandise (604)                                       </t>
  </si>
  <si>
    <t xml:space="preserve">Revenue from sale of securities (661)                 </t>
  </si>
  <si>
    <t xml:space="preserve">Income from other investments (665A)                  </t>
  </si>
  <si>
    <t>Ostané dlhodobé záväzky v rámci konsolidovaného celku (471A)</t>
  </si>
  <si>
    <t>Vydané dlhopisy (473A/-/255A)</t>
  </si>
  <si>
    <t>Záväzky zo sociálneho fondu (472)</t>
  </si>
  <si>
    <t>099</t>
  </si>
  <si>
    <t>Ostatné dlhodobé záväzky  (474A,479A,47XA,372A,373A,377A)</t>
  </si>
  <si>
    <t>100</t>
  </si>
  <si>
    <t>Odložený daňový záväzok (481A)</t>
  </si>
  <si>
    <t>101</t>
  </si>
  <si>
    <t>B.III.</t>
  </si>
  <si>
    <t>Záväzky z obchodného styku (321,322,324,325,32X,475A,478A,479A,47XA)</t>
  </si>
  <si>
    <t>105</t>
  </si>
  <si>
    <t>Ostatné sociálne  zabezpečenie</t>
  </si>
  <si>
    <t>Náklady na sociálne poistenie (524, 525, 526)</t>
  </si>
  <si>
    <t xml:space="preserve">   4.</t>
  </si>
  <si>
    <t>Sociálne náklady (527, 528)</t>
  </si>
  <si>
    <t>Dane a poplatky (účtová skupina 53)</t>
  </si>
  <si>
    <t>Odpisy a opravné položky k dlhodobému nehmotnému
majetku a dlhodobému hmotnému majetku (551, 553)</t>
  </si>
  <si>
    <t xml:space="preserve">    III.</t>
  </si>
  <si>
    <t>Tržby z predaja dlhodobého majetku a materiálu (641, 642)</t>
  </si>
  <si>
    <t>Zostatková cena predaného dlhodobého majetku a
predaného materiálu (541, 542)</t>
  </si>
  <si>
    <t xml:space="preserve">   IV.</t>
  </si>
  <si>
    <t>Kurzove rozdiely (nerealizované) k prechodným účtom aktív</t>
  </si>
  <si>
    <t>Intercompany receivables from companies with controlling influence - long-term</t>
  </si>
  <si>
    <t>Intercompany receivables from companies with substantial influence - long-term</t>
  </si>
  <si>
    <t>Receivables from partners to cover losses - short-term</t>
  </si>
  <si>
    <t>Assets</t>
  </si>
  <si>
    <t>Liabilities</t>
  </si>
  <si>
    <t>Reclassification adjustments</t>
  </si>
  <si>
    <t>Receivables from participants in association - short-term</t>
  </si>
  <si>
    <t>Receivables from participants in association - long-term</t>
  </si>
  <si>
    <t>X</t>
  </si>
  <si>
    <t>06x</t>
  </si>
  <si>
    <t>Financial investments</t>
  </si>
  <si>
    <t>Finančné investície</t>
  </si>
  <si>
    <t>Depreciation, reserves and adjustments to operating expenses</t>
  </si>
  <si>
    <t xml:space="preserve">Remuneration of members of the board of companies and co-operatives (523)              </t>
  </si>
  <si>
    <t xml:space="preserve">Mzdové náklady (521,522)                                        </t>
  </si>
  <si>
    <t>029</t>
  </si>
  <si>
    <t>Other tangible fixed assets</t>
  </si>
  <si>
    <t>03x</t>
  </si>
  <si>
    <t>Non-depreciable tangible fixed assets</t>
  </si>
  <si>
    <t>031</t>
  </si>
  <si>
    <t>Land</t>
  </si>
  <si>
    <t>Pozemky</t>
  </si>
  <si>
    <t>032</t>
  </si>
  <si>
    <t>Works of art and collections</t>
  </si>
  <si>
    <t>Umelecké diela a zbierky</t>
  </si>
  <si>
    <t>04x</t>
  </si>
  <si>
    <t>Bills of exchange to be paid</t>
  </si>
  <si>
    <t>Zmenky na úhradu</t>
  </si>
  <si>
    <t>Advance payments received</t>
  </si>
  <si>
    <t>Prijaté preddavky</t>
  </si>
  <si>
    <t>Other payables</t>
  </si>
  <si>
    <t>Ostatné záväzky</t>
  </si>
  <si>
    <t>33x</t>
  </si>
  <si>
    <t>Receivables and payables with employees and institutions</t>
  </si>
  <si>
    <t>Employees</t>
  </si>
  <si>
    <t>Zamestnanci</t>
  </si>
  <si>
    <t>Other payables to employees</t>
  </si>
  <si>
    <t>Ostatné záväzky voči zamestnancom</t>
  </si>
  <si>
    <t>Receivables from employees</t>
  </si>
  <si>
    <t>Pohľadávky voči zamestnancom</t>
  </si>
  <si>
    <t>335A1</t>
  </si>
  <si>
    <t>335A2</t>
  </si>
  <si>
    <t>Dlhodobo prijaté preddavky (475A)</t>
  </si>
  <si>
    <t>Adjustments to land</t>
  </si>
  <si>
    <t>092A2</t>
  </si>
  <si>
    <t>092A3</t>
  </si>
  <si>
    <t>22</t>
  </si>
  <si>
    <t>23</t>
  </si>
  <si>
    <t>24</t>
  </si>
  <si>
    <t>25</t>
  </si>
  <si>
    <t>26</t>
  </si>
  <si>
    <t>27</t>
  </si>
  <si>
    <t>28</t>
  </si>
  <si>
    <t>29</t>
  </si>
  <si>
    <t>015</t>
  </si>
  <si>
    <t>Beteiligungen (062) –096A</t>
  </si>
  <si>
    <t>R.1</t>
  </si>
  <si>
    <t xml:space="preserve"> -splatná (591, 595)</t>
  </si>
  <si>
    <t xml:space="preserve"> - odložená (+/- 592)</t>
  </si>
  <si>
    <t>49</t>
  </si>
  <si>
    <t>50</t>
  </si>
  <si>
    <t>XIV.</t>
  </si>
  <si>
    <t>S.</t>
  </si>
  <si>
    <t>T.</t>
  </si>
  <si>
    <t>T.1</t>
  </si>
  <si>
    <t>U.</t>
  </si>
  <si>
    <t>57</t>
  </si>
  <si>
    <t>zum</t>
  </si>
  <si>
    <t>Monat</t>
  </si>
  <si>
    <t>Jahr</t>
  </si>
  <si>
    <t>bis</t>
  </si>
  <si>
    <t>ordnungsmässige</t>
  </si>
  <si>
    <t>korrigierte</t>
  </si>
  <si>
    <t>vorbereitet</t>
  </si>
  <si>
    <t>genehmigt</t>
  </si>
  <si>
    <t>Postleitzahl</t>
  </si>
  <si>
    <t>Gemeinde</t>
  </si>
  <si>
    <t>Fax</t>
  </si>
  <si>
    <t>Vorbereitet am :</t>
  </si>
  <si>
    <t>Opravná položka k ostaným pohľadávkam v rámci konsolidovaného celku - dlhodobým</t>
  </si>
  <si>
    <t xml:space="preserve">Opravná položka k pohľadávkam voči spoločníkom, členom a združeniu - krátkodobým </t>
  </si>
  <si>
    <t>Dane a poplatky</t>
  </si>
  <si>
    <t>Road tax</t>
  </si>
  <si>
    <t>Real estate tax</t>
  </si>
  <si>
    <t>Daň z nehnuteľností</t>
  </si>
  <si>
    <t>54x</t>
  </si>
  <si>
    <t>Sundry operating expenses</t>
  </si>
  <si>
    <t>Iné prevádzkové náklady</t>
  </si>
  <si>
    <t>Net book value of intangible and tangible assets sold</t>
  </si>
  <si>
    <t>Nerozdelený zisk minulých rokov</t>
  </si>
  <si>
    <t>Neuhradená strata minulých rokov (/-/429)</t>
  </si>
  <si>
    <t>Acquisition of intangible and tangible fixed assets</t>
  </si>
  <si>
    <t>041</t>
  </si>
  <si>
    <t>Acquisition of intangible fixed assets</t>
  </si>
  <si>
    <t>042</t>
  </si>
  <si>
    <t>Acquisition of tangible fixed assets</t>
  </si>
  <si>
    <t>05x</t>
  </si>
  <si>
    <t>Advance payments for intangible and tangible fixed assets</t>
  </si>
  <si>
    <t>Langfristige immaterielle Vermögensgegenstände (Z. 005 bis 012)</t>
  </si>
  <si>
    <t>Gründungsaufwendungen (011) -/071, 091A/</t>
  </si>
  <si>
    <t>Aktivierte Entwicklungskosten (012) -/072, 091A/</t>
  </si>
  <si>
    <t>Sonstige langfristige immaterielle Vermögensgegenstände (019, 01x) -/079, 07x, 091A/</t>
  </si>
  <si>
    <t>Langfristige immaterielle Vermögensgegenstände im Bau (041) - 093</t>
  </si>
  <si>
    <t>Geleistete Anzahlungen auf langfristige immaterielle Vermögensgegenstände (051) -095A</t>
  </si>
  <si>
    <t>Sachanlagen (Z. 014 bis 022)</t>
  </si>
  <si>
    <t>Eigenständige bewegliche Sachen und Gesamtheiten von beweglichen Sachen (022) -/082, 092A/</t>
  </si>
  <si>
    <t>Dauerhaft bepflanzte Anbauflächen (025) -/085, 092A/</t>
  </si>
  <si>
    <t>Sonstige Sachanlagen (029, 02x, 032) -/089, 08x, 092A/</t>
  </si>
  <si>
    <t>Geleistete Anzahlungen auf Sachanlagen (052) -095A</t>
  </si>
  <si>
    <t>Wertberichtigung auf erworbenes Vermögen (+/-097) +/-098</t>
  </si>
  <si>
    <t>Finanzanlagen (Z. 024 bis 031)</t>
  </si>
  <si>
    <t>Other current borrowings (241, 249, 24x, 473A, /-/255A)</t>
  </si>
  <si>
    <t>Accruals (383)</t>
  </si>
  <si>
    <t>Deferred income (384)</t>
  </si>
  <si>
    <t>Total liabilities and Equity l. 066+086+116</t>
  </si>
  <si>
    <t>Tax liabilities and subsidies payable (341, 342, 343, 345, 346, 347, 34x)</t>
  </si>
  <si>
    <t>Receivables from partners, associates and consortium members (354A, 355A, 358A, 35XA) –391A</t>
  </si>
  <si>
    <t>Receivables from partners, associates and consortium members (354A, 355A, 358A, 35XA,398A) -391A</t>
  </si>
  <si>
    <t>341A2</t>
  </si>
  <si>
    <t>Income taxes - tax payable</t>
  </si>
  <si>
    <t>Daň z príjmov - daňový záväzok</t>
  </si>
  <si>
    <t>Other direct taxes</t>
  </si>
  <si>
    <t>Accumulated depreciation of adjustments to acquired assets</t>
  </si>
  <si>
    <t>478A3</t>
  </si>
  <si>
    <t>Other long-term payables</t>
  </si>
  <si>
    <t>Ostatné dlhodobé záväzky</t>
  </si>
  <si>
    <t>479A1</t>
  </si>
  <si>
    <t>479A2</t>
  </si>
  <si>
    <t>Other short-term payables to customers and suppliers</t>
  </si>
  <si>
    <t>479A3</t>
  </si>
  <si>
    <t>479A4</t>
  </si>
  <si>
    <t>Riadok</t>
  </si>
  <si>
    <t>Brutto</t>
  </si>
  <si>
    <t>Korekcia</t>
  </si>
  <si>
    <t>Netto</t>
  </si>
  <si>
    <t>Predch. úč. obd.</t>
  </si>
  <si>
    <t>5xx</t>
  </si>
  <si>
    <t>Expenses</t>
  </si>
  <si>
    <t>Náklady</t>
  </si>
  <si>
    <t>4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</si>
  <si>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</si>
  <si>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</si>
  <si>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</si>
  <si>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</si>
  <si>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</si>
  <si>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</si>
  <si>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</si>
  <si>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</si>
  <si>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</si>
  <si>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05</t>
  </si>
  <si>
    <t>06</t>
  </si>
  <si>
    <t>07</t>
  </si>
  <si>
    <t>08</t>
  </si>
  <si>
    <t>Change in finished goods inventory</t>
  </si>
  <si>
    <t>Zmena stavu výrobkov</t>
  </si>
  <si>
    <t>Change in animal inventory</t>
  </si>
  <si>
    <t>Zmena stavu zvierat</t>
  </si>
  <si>
    <t>62x</t>
  </si>
  <si>
    <t>Capitalisation</t>
  </si>
  <si>
    <t>OK audit rep 2008</t>
  </si>
  <si>
    <t>Not billed supplies</t>
  </si>
  <si>
    <t>Nevyfakturované dodávky</t>
  </si>
  <si>
    <t>Zúčtovanie so zamestnancami a orgánmi sociálneho zabezpečenia a zdravotného poistenia</t>
  </si>
  <si>
    <t>Zúčtovanie s orgánmi sociálneho zabezpečenia a zdravotného poistenia</t>
  </si>
  <si>
    <t>Pohľadávky v rámci konsolidovaného celku</t>
  </si>
  <si>
    <t>Pohľadávky voči spoločníkom a členom pri úhrade straty</t>
  </si>
  <si>
    <t>Ostatné pohľadávky voči spoločníkom a členom</t>
  </si>
  <si>
    <t>Záväzky v rámci konsolidovaného celku</t>
  </si>
  <si>
    <t>Záväzky voči spoločníkom a členom pri rozdeľovaní zisku</t>
  </si>
  <si>
    <t>Záväzky voči spoločníkom a členom zo závislej činnosti</t>
  </si>
  <si>
    <t>Odložená daňová pohľadávka</t>
  </si>
  <si>
    <t>371A2</t>
  </si>
  <si>
    <t>Issued bonds receivable</t>
  </si>
  <si>
    <t>375A1</t>
  </si>
  <si>
    <t xml:space="preserve">Erhöhung bzw. Verminderung des Bestands an fertigen und unfertigen Erzeugnissen, (+/- Kontengruppe 61)           </t>
  </si>
  <si>
    <t>Výsledok hospodárenia za učtovné obdobie pred zdanením(+/-) r.47+r.54</t>
  </si>
  <si>
    <t>Anlagevermögen Z. 04+013+023</t>
  </si>
  <si>
    <t>Gründungskosten (011) -/071, 091A/</t>
  </si>
  <si>
    <t>Forschungs- und Entwicklungskosten  (012) -/072, 091A/</t>
  </si>
  <si>
    <t>Software (013) -/073, 091 A/</t>
  </si>
  <si>
    <t>Bewertbare Rechte (014) -/074, 091A/</t>
  </si>
  <si>
    <t>Sonstige immaterielle, langfristige Vermögensgegenstände (019, 01x) -/079, 07x, 091A/</t>
  </si>
  <si>
    <t>Geleistete Anzahlungen auf immaterielle, langfristige Vermögensgegenstände (051) -095A</t>
  </si>
  <si>
    <t>Grundstücke (031) -092A</t>
  </si>
  <si>
    <t>Bauten (021) -/081, 092A/</t>
  </si>
  <si>
    <t>Dauerhaft bepflanzte Anbaukomplexe (025) -/085, 092A/</t>
  </si>
  <si>
    <t>Grundherde und Zugtiere  (026) -/086, 092A/</t>
  </si>
  <si>
    <t>Investments in subsidiaries (061) –096A</t>
  </si>
  <si>
    <t xml:space="preserve">Depreciation of tangible and intangible fixed assets (551, 553)         </t>
  </si>
  <si>
    <t>Other operating revenues  (644, 645, 646, 648, 655, 657)</t>
  </si>
  <si>
    <t>Other operating expenses (543 to 549, 555, 557)</t>
  </si>
  <si>
    <t>Operating profit l.11-12-17-18+19-20+21-22+(-23)-(-24)</t>
  </si>
  <si>
    <t xml:space="preserve">Income from financial investments  l.29+30+31                    </t>
  </si>
  <si>
    <t>Loss brought forward from previous years (/-/429)</t>
  </si>
  <si>
    <t>Profit (loss) for the current year   /+ -/ l. 00l-(067+071+078+082+086+116)</t>
  </si>
  <si>
    <t>Liabilities l. 087+091+102+112</t>
  </si>
  <si>
    <t>Provisions total l. 088 to 090</t>
  </si>
  <si>
    <t>Legal provisions  (451A)</t>
  </si>
  <si>
    <t>Other long term provisions (459A, 45xA)</t>
  </si>
  <si>
    <t>Short term provisions (323, 32x, 451A, 459A, 45xA)</t>
  </si>
  <si>
    <t>Non-current trade liabilities (479A)</t>
  </si>
  <si>
    <t>Non-current advance payaments received (475A)</t>
  </si>
  <si>
    <t>Non-current bills of exchange payable (478A)</t>
  </si>
  <si>
    <t>Social fund payable (472)</t>
  </si>
  <si>
    <t>Long-term bank loans (461A, 46XA)</t>
  </si>
  <si>
    <t>Short-term bank loans (221A, 231, 232, 23X, 461A, 46XA)</t>
  </si>
  <si>
    <t>Current borrowings
(241, 249, 24X, 473A,/-/255A)</t>
  </si>
  <si>
    <t>Accruals and deferred income - total (l. 117 to 118)</t>
  </si>
  <si>
    <t>Line no
c</t>
  </si>
  <si>
    <t>current period
1</t>
  </si>
  <si>
    <t>prior period
2</t>
  </si>
  <si>
    <t>Sale of merchandise (604)</t>
  </si>
  <si>
    <t>Costs of merchandise sold
(504, 505A)</t>
  </si>
  <si>
    <t>Gross margin l. 01 - r. 02</t>
  </si>
  <si>
    <t>Production l. 05 + r. 06 + r. 07</t>
  </si>
  <si>
    <t>Sales of own products and services (601, 602)</t>
  </si>
  <si>
    <t>Change in inventory of finished goods and work in progress  (+/- acc. group 61)</t>
  </si>
  <si>
    <t xml:space="preserve">Own work capitalised (acc. group 62)     </t>
  </si>
  <si>
    <t>Production costs l. 09 + r. 10</t>
  </si>
  <si>
    <t>Raw material and energy used in production (501, 502, 503, 505A)</t>
  </si>
  <si>
    <t>Services (acc. group 51)</t>
  </si>
  <si>
    <t>Added value l. 03 + r. 04 - r. 08</t>
  </si>
  <si>
    <t>A.2.4.</t>
  </si>
  <si>
    <t>A.2.4.1.</t>
  </si>
  <si>
    <t>A.3.</t>
  </si>
  <si>
    <t>Úroky účtované do nákladov</t>
  </si>
  <si>
    <t>A.4.</t>
  </si>
  <si>
    <t>Opravná položka k ostatnému dlhodobému nehmotnému majetku</t>
  </si>
  <si>
    <t>Opravná položka k pozemkom</t>
  </si>
  <si>
    <t>Opravná položka k stavbám</t>
  </si>
  <si>
    <t xml:space="preserve">Výnosy z cenných papierov a podielov v dcérskej účtovnej jednotke a v spoločnosti s podstatným vplyvom (665A) </t>
  </si>
  <si>
    <t>Bankové účty - aktívne-s dobou viazanosti kratšou ako jeden rok</t>
  </si>
  <si>
    <t>Bankové účty - aktívne-s dobou viazanosti dlhšou ako jeden rok</t>
  </si>
  <si>
    <t>221A3</t>
  </si>
  <si>
    <t xml:space="preserve">Opravné položky ku krátkodobému obstarávanému finančnému majetku </t>
  </si>
  <si>
    <t>291A1</t>
  </si>
  <si>
    <t>291A2</t>
  </si>
  <si>
    <t>Odpisy dlhodobého nehmotného a dlhodobého hmotného majetku</t>
  </si>
  <si>
    <t>Änderung des Eigenkapitals +/- 419</t>
  </si>
  <si>
    <t>Verbindlichkeiten gegenüber Arbeitnehmern (331, 333, 33X, 479A)</t>
  </si>
  <si>
    <t>Sonstige Forderungen gegen verbundene Unternehmen (351A) -391A</t>
  </si>
  <si>
    <t>Latente Steuerforderung  (481A)</t>
  </si>
  <si>
    <t>Účty v bankách s dobou viazanosti dlhšou ako jeden rok (22XA)</t>
  </si>
  <si>
    <t>Bankguthaben  langere als 1 Jahr (22XA)</t>
  </si>
  <si>
    <t>Langfristige erhaltene Anzahlungen (475A)</t>
  </si>
  <si>
    <t>Bewertungsdifferenzen bei Verschmelzungen und Spaltungen (+/- 416)</t>
  </si>
  <si>
    <t>Previous year</t>
  </si>
  <si>
    <t>Iné pohľadávky a iné záväzky</t>
  </si>
  <si>
    <t>Emisne kvoty</t>
  </si>
  <si>
    <t>Unfertige Erzeugnisse und Halbfabrikate (121,122,12x) -/192, 193, 19x/</t>
  </si>
  <si>
    <t>Auftragsfertigung mit einer voraussichtlichen Fertigstellungszeit von mehr als einem Jahr 12X-192A</t>
  </si>
  <si>
    <t>Langfristige Forderungen (Z. 042 bis 047)</t>
  </si>
  <si>
    <t>Forderungen aus Lieferungen und Leistungen  (311A, 312A, 313A, 314A, 315A, 31XA) –391A</t>
  </si>
  <si>
    <t>Other non-current intangible assets
(019, 01X) - /079,
07X, 091A/</t>
  </si>
  <si>
    <t>Non-current intangible assets under construction
(041) - 093</t>
  </si>
  <si>
    <t>Advance payments on account of non-current intangible assets
(051) - 095A</t>
  </si>
  <si>
    <t>Non-current tangible assets  total (l. 014 to 022)</t>
  </si>
  <si>
    <t>Land
(031 ) - 092A</t>
  </si>
  <si>
    <t>Constructions
(021) - /081,092A/</t>
  </si>
  <si>
    <t>Individual movable assets and sets of movable assets
(022) - /082, 092A/</t>
  </si>
  <si>
    <t>Perennial crops
(025) - /085, 092A/</t>
  </si>
  <si>
    <t>Livestock and draught animals
(026) - /086, 092A/</t>
  </si>
  <si>
    <t>Other non-current tangible assets
(029, 02X, 032) -
/089, 08X, 092A/</t>
  </si>
  <si>
    <t xml:space="preserve">Steuern und Gebühren (keine Ertragssteuern) (Kontengruppe 53)                                    </t>
  </si>
  <si>
    <t xml:space="preserve">Erlöse aus dem Verkauf von langfristigen Anlagevermögen und Material (641,642)      </t>
  </si>
  <si>
    <t>Restbuchwert des veräußerten, langfristigen  Anlagevermögens und Materials (541,542)</t>
  </si>
  <si>
    <t xml:space="preserve">Umgliederung von betrieblichen Erträgen (-)(697)                         </t>
  </si>
  <si>
    <t xml:space="preserve">Umgliederung von betrieblichen Aufwendungen (-)(597)                         </t>
  </si>
  <si>
    <t xml:space="preserve">Erlöse aus dem Verkauf von Wertpapieren und Einlagen (661)                 </t>
  </si>
  <si>
    <t>Výnosy</t>
  </si>
  <si>
    <t>Zmena stavu vnútroorganizačných zásob</t>
  </si>
  <si>
    <r>
      <t>UVPOD2v07_1</t>
    </r>
    <r>
      <rPr>
        <sz val="5"/>
        <rFont val="Arial"/>
        <family val="2"/>
        <charset val="238"/>
      </rPr>
      <t/>
    </r>
  </si>
  <si>
    <t>pohladavka</t>
  </si>
  <si>
    <t>zavazok</t>
  </si>
  <si>
    <t>extraordinary</t>
  </si>
  <si>
    <t>C</t>
  </si>
  <si>
    <t>Other receivables</t>
  </si>
  <si>
    <t>Other operating revenues
(644, 645, 646, 648, 655, 657)</t>
  </si>
  <si>
    <t>Other operating expenses
(543, 544, 545, 546, 547, 548, 549, 555, 557)</t>
  </si>
  <si>
    <t>Reclassification of operating revenues (-)(697)</t>
  </si>
  <si>
    <t>Reclassification of operating expenses (-)(597)</t>
  </si>
  <si>
    <t>Operating profit/loss
l.11 - 12 - 17- 18 + 19- 20 + 21 - 22
+ (-23) - (-24)</t>
  </si>
  <si>
    <t>Revenues from sale of securities and ownership interests (661)</t>
  </si>
  <si>
    <t>Book value of securities and ownership interest sold (561)</t>
  </si>
  <si>
    <t>Income from long-term financial assets
l.29 + 30 + 31</t>
  </si>
  <si>
    <t>Income from investments in subsidiaries and associates (665A)</t>
  </si>
  <si>
    <t>Income from other long-term financial assets (665A)</t>
  </si>
  <si>
    <t>Income from short-term financial assets (666)</t>
  </si>
  <si>
    <t>Costs of short-term financial assets (566)</t>
  </si>
  <si>
    <t>Kurzfristige Darlehen (241, 249, 24X,473A, /-/255A)</t>
  </si>
  <si>
    <t>Aufwendungen künftiger Perioden (383)</t>
  </si>
  <si>
    <t>Erträge künftiger Perioden (384)</t>
  </si>
  <si>
    <t>Current</t>
  </si>
  <si>
    <t>Prior</t>
  </si>
  <si>
    <t xml:space="preserve">Gross margin   l.01-02                          </t>
  </si>
  <si>
    <t>Book value of securities and shares sold (561)</t>
  </si>
  <si>
    <t xml:space="preserve">Opravná položka k daňovým pohľadávkam </t>
  </si>
  <si>
    <t>391A11</t>
  </si>
  <si>
    <t>391A12</t>
  </si>
  <si>
    <t xml:space="preserve">Services   (acc. group 51)                                           </t>
  </si>
  <si>
    <t xml:space="preserve">Value added   l.03+04-08                   </t>
  </si>
  <si>
    <t xml:space="preserve">Staff costs  total l. 13 to 16                             </t>
  </si>
  <si>
    <t>Oprávky k ostatnému dlhodobému nehmotnému majetku</t>
  </si>
  <si>
    <t>Oprávky k stavbám</t>
  </si>
  <si>
    <t>Oprávky k samostatným hnuteľným veciam a k súboru hnuteľných vecí</t>
  </si>
  <si>
    <t>Oprávky k základnému stádu a ťažným zvieratám</t>
  </si>
  <si>
    <t>Pôžičky  účtovnej jednotke v konsolidovanom celku - s dobou splatnosti najviac jeden rok</t>
  </si>
  <si>
    <t>Umsatzsteuer-ID</t>
  </si>
  <si>
    <t xml:space="preserve">VAT ID No. </t>
  </si>
  <si>
    <t xml:space="preserve">Aufwendungen für die Neubewertung von Wertpapieren und Aufwendungen für Transaktionen mit derivativen Finanzinstrumenten (564, 567)     </t>
  </si>
  <si>
    <t>D.4.3.</t>
  </si>
  <si>
    <t>D.4.4.</t>
  </si>
  <si>
    <t>Vyplatené dividendy a iné podiely na zisku</t>
  </si>
  <si>
    <t>D.4.5.</t>
  </si>
  <si>
    <t>D.4.6.</t>
  </si>
  <si>
    <t>Výdavky vyplývajúce z future zmlúv, forward zmlúv, opčných zmlúv a swap zmlúv (ak nie sú vlastnené za účelom obchodovania s nimi) (-)</t>
  </si>
  <si>
    <t>D***</t>
  </si>
  <si>
    <t>Čistý peňažný tok z finančných činností</t>
  </si>
  <si>
    <t>E.</t>
  </si>
  <si>
    <t>E.1.</t>
  </si>
  <si>
    <t>Kurzové straty (účet 563) (-)</t>
  </si>
  <si>
    <t>E.2.</t>
  </si>
  <si>
    <t>Kurzové zisky (účet 663) (+)</t>
  </si>
  <si>
    <t>F.</t>
  </si>
  <si>
    <t>G.</t>
  </si>
  <si>
    <t>58x</t>
  </si>
  <si>
    <t>Extraordinary expenses</t>
  </si>
  <si>
    <t>Mimoriadne náklady</t>
  </si>
  <si>
    <t>Shortages and damage</t>
  </si>
  <si>
    <t>Manká a škody</t>
  </si>
  <si>
    <t>Other extraordinary expenses</t>
  </si>
  <si>
    <t>Ostatné mimoriadne náklady</t>
  </si>
  <si>
    <t>59x</t>
  </si>
  <si>
    <t>Income taxes and transfer accounts</t>
  </si>
  <si>
    <t>376A1</t>
  </si>
  <si>
    <t>376A2</t>
  </si>
  <si>
    <t>Predané opcie - krátkodobé</t>
  </si>
  <si>
    <t>Predané opcie - dlhodobé</t>
  </si>
  <si>
    <t>Záväzky z kúpy podniku - krátkodobé</t>
  </si>
  <si>
    <t>Záväzky z kúpy podniku - dlhodobé</t>
  </si>
  <si>
    <t>Pohľadávky voči zamestnancom - krátkodobé</t>
  </si>
  <si>
    <t>Pohľadávky voči zamestnancom - dlhodobé</t>
  </si>
  <si>
    <t>Intercompany loans - others</t>
  </si>
  <si>
    <t>Dlhodobý nehmotný majetok súčet (r.004 až 010)</t>
  </si>
  <si>
    <t>SPOLU MAJETOK
r. 002+ r. 030 + r. 061</t>
  </si>
  <si>
    <t>Neobežný majetok
r. 003 + r. 011
+ r. 022</t>
  </si>
  <si>
    <t>Dlhodobý
nehmotný majetok
súčet (r. 004 až
010)</t>
  </si>
  <si>
    <t>Dlhodobý hmotný
majetok
súčet (r. 012 až 020)</t>
  </si>
  <si>
    <t>Dlhodobý finančný
majetok
súčet (r. 022 až
029)</t>
  </si>
  <si>
    <t>1.</t>
  </si>
  <si>
    <t>124</t>
  </si>
  <si>
    <t>316A3</t>
  </si>
  <si>
    <t>Construction contracts payable - short-term</t>
  </si>
  <si>
    <t>Construction contracts payable - long-term</t>
  </si>
  <si>
    <t>Čistá hodnota zákazky - krátkodobý záväzok</t>
  </si>
  <si>
    <t>Čistá hodnota zákazky - dlhodobý záväzok</t>
  </si>
  <si>
    <t>Čistá hodnota zákazky - krátkodobý záväzok (316A)</t>
  </si>
  <si>
    <t>Čistá hodnota zákazky - dlhodobý záväzok (316A)</t>
  </si>
  <si>
    <t>125</t>
  </si>
  <si>
    <t>Krátkodobé záväzky súčet (r. 107 až r. 116)</t>
  </si>
  <si>
    <t>316A4</t>
  </si>
  <si>
    <t>Construction contracts receivable - long-term</t>
  </si>
  <si>
    <t>Construction contracts receivable - short-term</t>
  </si>
  <si>
    <t>Čistá hodnota zákazky - krátkodobá pohľadávka</t>
  </si>
  <si>
    <t>Čistá hodnota zákazky - dlhodobá pohľadávka</t>
  </si>
  <si>
    <t>Tovar
(132, 133, 13X, 139)
- /196, 19X/</t>
  </si>
  <si>
    <t>Adjustment to financial investments not yet in use</t>
  </si>
  <si>
    <t>Opravná položka k nedokončenému dlhodobému finančnému majetku</t>
  </si>
  <si>
    <t>Sonstige Finanzanlagen (067, 069, 06XA) -096A</t>
  </si>
  <si>
    <t>Ausleihungen mit der Restlaufzeit bis zu einem Jahr (066A, 067A, 06XA) - 096A</t>
  </si>
  <si>
    <t>Finanzanlagen im Prozess der Anschaffung (043) - 096A</t>
  </si>
  <si>
    <t>Geleistete Anzahlungen auf Finanzanlagen (053) -095A</t>
  </si>
  <si>
    <t>Vorräte (Z. 034 bis 040)</t>
  </si>
  <si>
    <t>193A1</t>
  </si>
  <si>
    <t>193A2</t>
  </si>
  <si>
    <t>192A1</t>
  </si>
  <si>
    <t>192A2</t>
  </si>
  <si>
    <t>Zmenky na inkaso - krátkodobé</t>
  </si>
  <si>
    <t>Pohľadávky od odberateľov - krátkodobé</t>
  </si>
  <si>
    <t>Pohľadávky od odberateľov - dlhodobé</t>
  </si>
  <si>
    <t>Tržby z predaja dlhodobého nehmotného a dlhodobého hmotného majetku</t>
  </si>
  <si>
    <t>Výnosy z ostatných dlhodobých cenných papierov a podielov</t>
  </si>
  <si>
    <t>Výnosy z ostatného dlhodobého finančného majetku</t>
  </si>
  <si>
    <t xml:space="preserve">Prevod finančných nákladov (-) (598)                         </t>
  </si>
  <si>
    <t>Neuhradená strata minulých rokov</t>
  </si>
  <si>
    <t>Záväzky zo sociálneho fondu</t>
  </si>
  <si>
    <t>Ostatné záväzky voči spoločníkom a členom</t>
  </si>
  <si>
    <t>Záväzky z upísaných nesplatených cenných papierov a vkladov</t>
  </si>
  <si>
    <t>379A1</t>
  </si>
  <si>
    <t>379A2</t>
  </si>
  <si>
    <t>481A1</t>
  </si>
  <si>
    <t>481A2</t>
  </si>
  <si>
    <t xml:space="preserve">Odložený daňový záväzok </t>
  </si>
  <si>
    <t>Ostatné mimoriadne výnosy</t>
  </si>
  <si>
    <t>69x</t>
  </si>
  <si>
    <t>Transfer accounts</t>
  </si>
  <si>
    <t>Prevodné účty</t>
  </si>
  <si>
    <t>Transfer of operating revenues</t>
  </si>
  <si>
    <t>Transfer of financial revenues</t>
  </si>
  <si>
    <t>Prevod finančných výnosov</t>
  </si>
  <si>
    <t>GRAND TOTAL (CHECK)</t>
  </si>
  <si>
    <t>Net value</t>
  </si>
  <si>
    <t>Prior year</t>
  </si>
  <si>
    <t>Sk '000</t>
  </si>
  <si>
    <t>A</t>
  </si>
  <si>
    <t>B</t>
  </si>
  <si>
    <t>Dlhodobé zmenky na úhradu (478A)</t>
  </si>
  <si>
    <t>045</t>
  </si>
  <si>
    <t>046</t>
  </si>
  <si>
    <t>047</t>
  </si>
  <si>
    <t>048</t>
  </si>
  <si>
    <t>049</t>
  </si>
  <si>
    <t>050</t>
  </si>
  <si>
    <t>053</t>
  </si>
  <si>
    <t>054</t>
  </si>
  <si>
    <t>055</t>
  </si>
  <si>
    <t>056</t>
  </si>
  <si>
    <t>057</t>
  </si>
  <si>
    <t>Repair and maintenance</t>
  </si>
  <si>
    <t>Opravy a udržiavanie</t>
  </si>
  <si>
    <t>Travel expenses</t>
  </si>
  <si>
    <t>Cestovné</t>
  </si>
  <si>
    <t>Representation expenses</t>
  </si>
  <si>
    <t>Prevod podielov na výsledku hospodárenia spoločníkom (+/-596)</t>
  </si>
  <si>
    <t>Ostatné pohľadávky voči spoločníkom a členom - dlhodobé</t>
  </si>
  <si>
    <t>Deferred tax receivable (481A)</t>
  </si>
  <si>
    <t>Trade receivables (311A, 312A, 313A, 314A, 315A, 31xA) -391A</t>
  </si>
  <si>
    <t>Cash in hand (211, 213, 21x)</t>
  </si>
  <si>
    <t>A.6.1.</t>
  </si>
  <si>
    <t>Zaplatená daň z príjmov právnických osôb z bežnej činnosti (vrátane zaplatených dodatočných vyrubení a vrátených preplatkov) vzťahujúca sa k základným podnikateľským činnostiam (-/+)</t>
  </si>
  <si>
    <t>A.6.2.</t>
  </si>
  <si>
    <t>Zaplatená daň z príjmov právnických osôb z mimoriadnej činnosti (vrátane zaplatených dodatočných vyrubení a vrátených preplatkov) (-/+)</t>
  </si>
  <si>
    <t>A.6.3.</t>
  </si>
  <si>
    <t>Príjmy mimoriadneho charakteru vzťahujúce sa k základným podnikateľským činnostiam (+)</t>
  </si>
  <si>
    <t>A.6.4.</t>
  </si>
  <si>
    <t>Oceňovacie rozdiely z precenenia majetku a záväzkov(+/-414)</t>
  </si>
  <si>
    <t>075</t>
  </si>
  <si>
    <t>076</t>
  </si>
  <si>
    <t>077</t>
  </si>
  <si>
    <t>080</t>
  </si>
  <si>
    <t>Zmluvné pokuty a penále a úroky z omeškania</t>
  </si>
  <si>
    <t>Ostatné pokuty a penále a úroky z omeškania</t>
  </si>
  <si>
    <t>Ostatné náklady na hospodársku činnosť</t>
  </si>
  <si>
    <t>Predané cenné papiere a podiely</t>
  </si>
  <si>
    <t>Náklady na precenenie cenných papierov</t>
  </si>
  <si>
    <t>Náklady na krátkodobý finančný majetok</t>
  </si>
  <si>
    <t>Náklady na derivátové operácie</t>
  </si>
  <si>
    <t>Manká a škody na finančnom majetku</t>
  </si>
  <si>
    <t>Škody</t>
  </si>
  <si>
    <t>Dane z príjmov a prevodové účty</t>
  </si>
  <si>
    <t>016</t>
  </si>
  <si>
    <t>017</t>
  </si>
  <si>
    <t>020</t>
  </si>
  <si>
    <t>B.III.1.</t>
  </si>
  <si>
    <t>027</t>
  </si>
  <si>
    <t>Nerozdelený zisk minulých rokov (428)</t>
  </si>
  <si>
    <t>Acquisition of short-term financial assets</t>
  </si>
  <si>
    <t>Receivables from customers - short-term</t>
  </si>
  <si>
    <t>Receivables from customers - long-term</t>
  </si>
  <si>
    <t>Bills of exchange to be collected - short-term</t>
  </si>
  <si>
    <t>Bills of exchange to be collected - long-term</t>
  </si>
  <si>
    <t>Receivables for discounted securities - short-term</t>
  </si>
  <si>
    <t>Receivables for discounted securities - long-term</t>
  </si>
  <si>
    <t>Other advance payments made - short-term</t>
  </si>
  <si>
    <t>Other advance payments made - long-term</t>
  </si>
  <si>
    <t>Other receivables short-term</t>
  </si>
  <si>
    <t>Other receivables long-term</t>
  </si>
  <si>
    <t>Receivables from employees - short-term</t>
  </si>
  <si>
    <t xml:space="preserve">Personalaufwand (521, 522)                                        </t>
  </si>
  <si>
    <t xml:space="preserve">Aufwendungen für Sozialversicherung (524, 525, 526)                  </t>
  </si>
  <si>
    <t xml:space="preserve">Sozialaufwendungen (527, 528)                                     </t>
  </si>
  <si>
    <t xml:space="preserve">Steuern und Gebühren (Kontengruppe 53)                                    </t>
  </si>
  <si>
    <t xml:space="preserve">Erlöse aus dem Verkauf des Anlagevermögens und Materials (641, 642)      </t>
  </si>
  <si>
    <t>Restbuchwert des veräußerten Anlagevermögens und Materials (541, 542)</t>
  </si>
  <si>
    <t>31x</t>
  </si>
  <si>
    <t>Receivables</t>
  </si>
  <si>
    <t>Pohľadávky</t>
  </si>
  <si>
    <t>Customers</t>
  </si>
  <si>
    <t>Odberatelia</t>
  </si>
  <si>
    <t>311A1</t>
  </si>
  <si>
    <t>2.</t>
  </si>
  <si>
    <t>3.</t>
  </si>
  <si>
    <t>Bonds, debentures and similar securities</t>
  </si>
  <si>
    <t>Own bonds issued</t>
  </si>
  <si>
    <t>Vlastné dlhopisy</t>
  </si>
  <si>
    <t>255A1</t>
  </si>
  <si>
    <t>PASSIVA
b</t>
  </si>
  <si>
    <t>Bezei-chnung
a</t>
  </si>
  <si>
    <t>Zeile
c</t>
  </si>
  <si>
    <t>Laufendes Jahr
4</t>
  </si>
  <si>
    <t>Vorjahr
5</t>
  </si>
  <si>
    <t>AKTIVA
b</t>
  </si>
  <si>
    <t>Brutto - Teil 1</t>
  </si>
  <si>
    <t>375A2</t>
  </si>
  <si>
    <t>377A1</t>
  </si>
  <si>
    <t>377A2</t>
  </si>
  <si>
    <t>Iné pohľadávky</t>
  </si>
  <si>
    <t>378A1</t>
  </si>
  <si>
    <t>378A2</t>
  </si>
  <si>
    <t>Other direct taxes - tax payable</t>
  </si>
  <si>
    <t>Korrektur - Teil 2</t>
  </si>
  <si>
    <t>Laufendes Jahr
1</t>
  </si>
  <si>
    <t>Vorjahr
2</t>
  </si>
  <si>
    <t>Opravná položka k ostatnému dlhodobému finančnému majetku</t>
  </si>
  <si>
    <t>096A7</t>
  </si>
  <si>
    <t>Opravná položka k poskytnutým preddavkom na dlhodobý finančný majetok</t>
  </si>
  <si>
    <t>096A8</t>
  </si>
  <si>
    <t>066A1</t>
  </si>
  <si>
    <t>066A2</t>
  </si>
  <si>
    <t>067A1</t>
  </si>
  <si>
    <t>067A2</t>
  </si>
  <si>
    <t>096A9</t>
  </si>
  <si>
    <t xml:space="preserve">Opravná položka k ostatným pôžičkám </t>
  </si>
  <si>
    <t>095A2</t>
  </si>
  <si>
    <t>Adjustments to advances for tangible fixed assets</t>
  </si>
  <si>
    <t>096</t>
  </si>
  <si>
    <t>Adjustments to financial investments</t>
  </si>
  <si>
    <t>096A1</t>
  </si>
  <si>
    <t>Adjustments to shares and ownership interests with controlling influence in enterprises</t>
  </si>
  <si>
    <t>096A2</t>
  </si>
  <si>
    <t>Material in store</t>
  </si>
  <si>
    <t>Materiál na sklade</t>
  </si>
  <si>
    <t>Material in transit</t>
  </si>
  <si>
    <t>Materiál na ceste</t>
  </si>
  <si>
    <t>12x</t>
  </si>
  <si>
    <t>Internally produced inventory</t>
  </si>
  <si>
    <t>Zásoby vlastnej výroby</t>
  </si>
  <si>
    <t>Work - in -progress</t>
  </si>
  <si>
    <t>Nedokončená výroba</t>
  </si>
  <si>
    <t>Semi-finished goods</t>
  </si>
  <si>
    <t>Finished goods</t>
  </si>
  <si>
    <t>Výrobky</t>
  </si>
  <si>
    <t>Animals</t>
  </si>
  <si>
    <t>Zvieratá</t>
  </si>
  <si>
    <t>13x</t>
  </si>
  <si>
    <t>Merchandise</t>
  </si>
  <si>
    <t>Tovar</t>
  </si>
  <si>
    <t>Acquisition of merchandise</t>
  </si>
  <si>
    <t>Merchandise in store and in retail shops</t>
  </si>
  <si>
    <t>Tovar na sklade a v predajniach</t>
  </si>
  <si>
    <t>Month</t>
  </si>
  <si>
    <t>092A4</t>
  </si>
  <si>
    <t>Adjustments to perennial crops</t>
  </si>
  <si>
    <t>Opravná položka k pestovateľským celkom trvalých porastov</t>
  </si>
  <si>
    <t>Income from revaluation of securities and income from operations with derivatives (664, 667)</t>
  </si>
  <si>
    <t>Revaluation costs of securities and costs of operations with derivatives (564, 567)</t>
  </si>
  <si>
    <t>Creation and release of provisions to financial assets              +/- 565</t>
  </si>
  <si>
    <t>Interest income (662)</t>
  </si>
  <si>
    <t>Interest expense (562)</t>
  </si>
  <si>
    <t>Foreign exchange gains (663)</t>
  </si>
  <si>
    <t>Foreign exchange losses (563)</t>
  </si>
  <si>
    <t>Other financial revenue (668)</t>
  </si>
  <si>
    <t>Other financial expenses (568, 569)</t>
  </si>
  <si>
    <t>Reclassification of financial revenues (-) (698)</t>
  </si>
  <si>
    <t xml:space="preserve">Verbrauch von Material, Energie und sonstigen nicht lagerfähigen Lieferungen (501, 502, 503, 505A)                       </t>
  </si>
  <si>
    <t xml:space="preserve">Abschreibungen auf langfristige immaterielle Vermögensgegenstände und Sachanlagen (551, 553)         </t>
  </si>
  <si>
    <t xml:space="preserve">Sonstige betriebliche Erträge (644, 645, 646, 648, 657)                    </t>
  </si>
  <si>
    <t xml:space="preserve">Sonstige betriebliche Aufwendungen (543, 544, 545, 546, 547, 548, 549, 557)                    </t>
  </si>
  <si>
    <t xml:space="preserve">Finanzergebnis  Z. 26-27+28+32-33+34-35+36-37-38  </t>
  </si>
  <si>
    <t xml:space="preserve">Einkommensteuer aus gewöhnlicher Geschäftstätigkeit Z. 47 + 48                          </t>
  </si>
  <si>
    <t xml:space="preserve">Ergebnis der gewöhnlichen Geschäftstätigkeit Z. 25+45-46              </t>
  </si>
  <si>
    <t xml:space="preserve">Einkommensteuer aus außerordentlicher Geschäftstätigkeit Z. 53 + 54                   </t>
  </si>
  <si>
    <t xml:space="preserve">Außerordentliches Ergebnis Z. 50-51-52                   </t>
  </si>
  <si>
    <t xml:space="preserve">Jahresüberschuß/Jahresfehlbetrag  +/- Z. 49+55-56           </t>
  </si>
  <si>
    <t>Balance sheet Úč POD 1 - 01</t>
  </si>
  <si>
    <t>(Sk thousands)</t>
  </si>
  <si>
    <t>*(marked with X)</t>
  </si>
  <si>
    <t>For the period</t>
  </si>
  <si>
    <t>from</t>
  </si>
  <si>
    <t>Year</t>
  </si>
  <si>
    <t>Residence of the entity</t>
  </si>
  <si>
    <t>Street</t>
  </si>
  <si>
    <t>Legal form of the entity</t>
  </si>
  <si>
    <t>Accounting entity name</t>
  </si>
  <si>
    <t>Number</t>
  </si>
  <si>
    <t xml:space="preserve">Aktivierte Eigenleistungen (Kontengruppe 62)                                          </t>
  </si>
  <si>
    <t xml:space="preserve">Materialaufwand Z. 09+10                                     </t>
  </si>
  <si>
    <t xml:space="preserve">Personalaufwand gesamt Z. 13 bis 16                             </t>
  </si>
  <si>
    <t>Income from revaluation of securities and income from operations with derivatives (664,667)</t>
  </si>
  <si>
    <t>Creation and release of provisions to financial assets +/- 565</t>
  </si>
  <si>
    <t>Gains or losses from revaluation of assets</t>
  </si>
  <si>
    <t>Gains or losses from investments</t>
  </si>
  <si>
    <t>42x</t>
  </si>
  <si>
    <t>Retained earnings and funds created from net profit</t>
  </si>
  <si>
    <t>Legal reserve fund</t>
  </si>
  <si>
    <t>Zákonný rezervný fond</t>
  </si>
  <si>
    <t>Indivisible fund</t>
  </si>
  <si>
    <t>Nedeliteľný fond</t>
  </si>
  <si>
    <t>Statutory funds</t>
  </si>
  <si>
    <t>Štatutárne fondy</t>
  </si>
  <si>
    <t>Other funds</t>
  </si>
  <si>
    <t>Ostatné fondy</t>
  </si>
  <si>
    <t>Zaplatená daň z príjmov právnických osôb z bežnej činnosti</t>
  </si>
  <si>
    <t>092A5</t>
  </si>
  <si>
    <t>Adjustments to breeding and draught animals</t>
  </si>
  <si>
    <t>Opravná položka k základnému stádu a ťažným zvieratám</t>
  </si>
  <si>
    <t>092A6</t>
  </si>
  <si>
    <t>Adjustments to other tangible fixed assets</t>
  </si>
  <si>
    <t>E</t>
  </si>
  <si>
    <t>III</t>
  </si>
  <si>
    <t>F</t>
  </si>
  <si>
    <t>IV</t>
  </si>
  <si>
    <t>G</t>
  </si>
  <si>
    <t>V</t>
  </si>
  <si>
    <t>H</t>
  </si>
  <si>
    <t>VI</t>
  </si>
  <si>
    <t>VII</t>
  </si>
  <si>
    <t>J</t>
  </si>
  <si>
    <t>*</t>
  </si>
  <si>
    <t>023</t>
  </si>
  <si>
    <t>IX.</t>
  </si>
  <si>
    <t>VIII.</t>
  </si>
  <si>
    <t>VII.</t>
  </si>
  <si>
    <t>Náklady na precenenie cenných papierov a nákladz na derivátové operácie (564,567)</t>
  </si>
  <si>
    <t>K.</t>
  </si>
  <si>
    <t>L.</t>
  </si>
  <si>
    <t>Tvorba a zúčtovanie opravných položiek k finančnému majetku +/- 565</t>
  </si>
  <si>
    <t>Tvorba a zúčtovanie opravných položiek k finančnému majetku</t>
  </si>
  <si>
    <t>Additions and accounting for adjustments to financial investments</t>
  </si>
  <si>
    <t>X.</t>
  </si>
  <si>
    <t>Výnosové úroky (662)</t>
  </si>
  <si>
    <t>N.</t>
  </si>
  <si>
    <t>XII.</t>
  </si>
  <si>
    <t>XIII.</t>
  </si>
  <si>
    <t>P.</t>
  </si>
  <si>
    <t>**</t>
  </si>
  <si>
    <t>S</t>
  </si>
  <si>
    <t>T</t>
  </si>
  <si>
    <t>U</t>
  </si>
  <si>
    <t>Current period</t>
  </si>
  <si>
    <t>Prior period</t>
  </si>
  <si>
    <t>Ostatné dlhodobé rezervy (459A, 45XA)</t>
  </si>
  <si>
    <t xml:space="preserve">XI </t>
  </si>
  <si>
    <t>Tržby z predaja cenných papierov a podielov</t>
  </si>
  <si>
    <t>Výnosy z precenenia cenných papierov</t>
  </si>
  <si>
    <t>Výnosy z dlhodobého finančného majetku</t>
  </si>
  <si>
    <t>Výnosy z derivátových operácií</t>
  </si>
  <si>
    <t>Náhrady škôd</t>
  </si>
  <si>
    <t>Prevod výnosov z hospodárskej činnosti</t>
  </si>
  <si>
    <t>A.</t>
  </si>
  <si>
    <t>B.</t>
  </si>
  <si>
    <t>D.</t>
  </si>
  <si>
    <t>1</t>
  </si>
  <si>
    <t>8</t>
  </si>
  <si>
    <t>2</t>
  </si>
  <si>
    <t>3</t>
  </si>
  <si>
    <t>6</t>
  </si>
  <si>
    <t>7</t>
  </si>
  <si>
    <t>9</t>
  </si>
  <si>
    <t>B.I.</t>
  </si>
  <si>
    <t>B.II.</t>
  </si>
  <si>
    <t>C.I.</t>
  </si>
  <si>
    <t>C.II.</t>
  </si>
  <si>
    <t>C.III.</t>
  </si>
  <si>
    <t>C.IV.</t>
  </si>
  <si>
    <t>A.I.</t>
  </si>
  <si>
    <t>A.II.</t>
  </si>
  <si>
    <t>Kontrola</t>
  </si>
  <si>
    <t>NIM</t>
  </si>
  <si>
    <t>HIM</t>
  </si>
  <si>
    <t>Rozlis.</t>
  </si>
  <si>
    <t>imanie</t>
  </si>
  <si>
    <t>fondy</t>
  </si>
  <si>
    <t>zo zisku</t>
  </si>
  <si>
    <t>min.r.</t>
  </si>
  <si>
    <t>Zavazky</t>
  </si>
  <si>
    <t>Uvery</t>
  </si>
  <si>
    <t>rozlis.</t>
  </si>
  <si>
    <t>z prijmov</t>
  </si>
  <si>
    <t>items</t>
  </si>
  <si>
    <t>311A2</t>
  </si>
  <si>
    <t>Bills of exchange to be collected</t>
  </si>
  <si>
    <t>Zmenky na inkaso</t>
  </si>
  <si>
    <t>312A1</t>
  </si>
  <si>
    <t>312A2</t>
  </si>
  <si>
    <t>Receivables for discounted securities</t>
  </si>
  <si>
    <t>313A1</t>
  </si>
  <si>
    <t>313A2</t>
  </si>
  <si>
    <t>Advance payments made</t>
  </si>
  <si>
    <t>314A1</t>
  </si>
  <si>
    <t>Advance payments on account of inventories</t>
  </si>
  <si>
    <t>Poskytnuté predavky na zásoby</t>
  </si>
  <si>
    <t>314A2</t>
  </si>
  <si>
    <t>Obstaranie dlhodobého majetku</t>
  </si>
  <si>
    <t>Obstaranie dlhodobého nehmotného majetku</t>
  </si>
  <si>
    <t>Änderung des Grund-/Stammkapitals +/- 419</t>
  </si>
  <si>
    <t>Sonstige Kapitalrücklagen (413)</t>
  </si>
  <si>
    <t>Gesetzliche Rücklage ("Unteilbarer Fonds") aus Kapitaleinlagen (417, 418)</t>
  </si>
  <si>
    <t>Bewertungsdifferenzen aus der Neubewertung von Vermögensgegenstände und Verbindlichkeiten  (+/-414)</t>
  </si>
  <si>
    <t>Bewertungsdifferenzen aus der Neubewertung von Kapitalbeteiligungen (+/-415)</t>
  </si>
  <si>
    <t>Bewertungsdifferenzen aus der Neubewertung bei Verschmelzungen und Spaltungen (+/- 416)</t>
  </si>
  <si>
    <t>Gewinnrücklagen (Z. 079 bis 081)</t>
  </si>
  <si>
    <t>Gewinnvortrag (428)</t>
  </si>
  <si>
    <t>Verlustvortrag (/-/429)</t>
  </si>
  <si>
    <t>Ergebnis der laufenden Buchungsperiode /+ -/ Z. 001 -(+ 067+ 071+ 078 + 082 + 086 + 116)</t>
  </si>
  <si>
    <t>Ostané záväzky v rámci konsolidovaného celku (361A,36XA,471A,47XA)</t>
  </si>
  <si>
    <t>106</t>
  </si>
  <si>
    <t>Záväzky voči zamestnancom (331,333,33X,479A)</t>
  </si>
  <si>
    <t>Daňové záväzky a dotácie  (341,342,343,345,346,347,34X)</t>
  </si>
  <si>
    <t>Ostatné záväzky (372A,373A,377A,379A,474A,479A,47X)</t>
  </si>
  <si>
    <t>111</t>
  </si>
  <si>
    <t>112</t>
  </si>
  <si>
    <t>Bankové úvery dlhodobé (461A,46XA)</t>
  </si>
  <si>
    <t>113</t>
  </si>
  <si>
    <t>Bežné bankové úvery (221A,231,232,23X,461A,46XA)</t>
  </si>
  <si>
    <t>114</t>
  </si>
  <si>
    <t>Krátkodobé finančné výpomoci (241,249,24X,473A,/-/255A)</t>
  </si>
  <si>
    <t>115</t>
  </si>
  <si>
    <t>116</t>
  </si>
  <si>
    <t>117</t>
  </si>
  <si>
    <t>118</t>
  </si>
  <si>
    <t xml:space="preserve">Obchodná  marža   r.01-r.02                          </t>
  </si>
  <si>
    <t xml:space="preserve">Výroba   r.05+r.06+r.07                                     </t>
  </si>
  <si>
    <t xml:space="preserve">Zmena stavu vnútroorganizačných zásob (+/- účtová skupina 61)           </t>
  </si>
  <si>
    <t xml:space="preserve">Aktivácia (účtová skupina 62)                                          </t>
  </si>
  <si>
    <t xml:space="preserve">Výrobná spotreba  r.09+r.10                                     </t>
  </si>
  <si>
    <t xml:space="preserve">Služby   (účtová skupina 51)                                           </t>
  </si>
  <si>
    <t>Bills of exchange to be paid to partners and participants in association - long-term</t>
  </si>
  <si>
    <t>Other long-term payables - short-term</t>
  </si>
  <si>
    <t>Tržby za vlastné výkony a tovar</t>
  </si>
  <si>
    <t>Revenues from own products</t>
  </si>
  <si>
    <t>Tržby za vlastné výrobky</t>
  </si>
  <si>
    <t>Ausleihungen mit der Restlaufzeit bis zu einem Jahr (066A, 067A, 06XA) / 096 A</t>
  </si>
  <si>
    <t>Forderungen gegen verbundene Unternehmen (351A) - 391 A</t>
  </si>
  <si>
    <t>Sonstige langfristige Verbindlichkeiten innerhalb des Konsolidierungskreises (471A)</t>
  </si>
  <si>
    <t>Share capital (411 alebo +/- 491)</t>
  </si>
  <si>
    <t>Own shares (/-/252)</t>
  </si>
  <si>
    <t>Staff costs  total (l. 13 až 16)</t>
  </si>
  <si>
    <t>Wages and salaries (521, 522)</t>
  </si>
  <si>
    <t>Deferred tax liability</t>
  </si>
  <si>
    <t>Deferred tax asset</t>
  </si>
  <si>
    <t>Equity of private person - enterpreneur</t>
  </si>
  <si>
    <t>Private person - enterpreneur</t>
  </si>
  <si>
    <t>Loss carried forward (/-/429)</t>
  </si>
  <si>
    <t>Langfristige Forderungen (Z. 42 bis 47)</t>
  </si>
  <si>
    <t>Kurzfristige Forderungen (Z. 49 bis 55)</t>
  </si>
  <si>
    <t>Langfristige Verbindlichkeiten (Z. 092 bis 101)</t>
  </si>
  <si>
    <t>Kurzfristige Verbindlichkeiten (Z. 103 bis 111)</t>
  </si>
  <si>
    <t>Bankkredite und sonstige Darlehen (Z.113 bis 115)</t>
  </si>
  <si>
    <t>Rechnungsabgrenzung (Z.117 bis 118)</t>
  </si>
  <si>
    <t>Adjustments to animals</t>
  </si>
  <si>
    <t>Raw material
(112, 119, 11X) - /191,19X/</t>
  </si>
  <si>
    <t>Výdavky na splácanie ostatných dlhodobých a krátkodobých záväzkov vyplývajúcich z finančných činností účtovnej jednotky</t>
  </si>
  <si>
    <t>D.1.7.</t>
  </si>
  <si>
    <t>024</t>
  </si>
  <si>
    <t>025</t>
  </si>
  <si>
    <t>Perennial crops</t>
  </si>
  <si>
    <t>Pestovateľské celky trvalých porastov</t>
  </si>
  <si>
    <t>026</t>
  </si>
  <si>
    <t>B.I.1.</t>
  </si>
  <si>
    <t xml:space="preserve">     2.        </t>
  </si>
  <si>
    <t>Aktivované náklady
na vývoj
(012) - /072, 091A/</t>
  </si>
  <si>
    <t>Softvér
(013) - /073, 091A/</t>
  </si>
  <si>
    <t>4.</t>
  </si>
  <si>
    <t>Oceniteľné práva
(014) - /074, 091A/</t>
  </si>
  <si>
    <t>5.</t>
  </si>
  <si>
    <t>Goodwill
(015) - /075, 091A/</t>
  </si>
  <si>
    <t>6.</t>
  </si>
  <si>
    <t>Ostatný dlhodobý
nehmotný majetok
(019, 01X) - /079,
07X, 091A/</t>
  </si>
  <si>
    <t>7.</t>
  </si>
  <si>
    <t>Obstarávaný
dlhodobý nehmotný
majetok
(041) - 093</t>
  </si>
  <si>
    <t>8.</t>
  </si>
  <si>
    <t>Poskytnuté
preddavky
na dlhodobý
nehmotný majetok
(051) - 095A</t>
  </si>
  <si>
    <t>B.II.1.</t>
  </si>
  <si>
    <t>Pozemky
(031 ) - 092A</t>
  </si>
  <si>
    <t>Stavby
(021) - /081,092A/</t>
  </si>
  <si>
    <t>Samostatné
hnuteľné veci a
súbory hnuteľných
vecí
(022) - /082, 092A/</t>
  </si>
  <si>
    <t>Work in progress and semifinished goods
(121, 122, 12X) -
/192, 193, 19X/</t>
  </si>
  <si>
    <t>Construction contracts with maturity over one year
12X - 192A</t>
  </si>
  <si>
    <t>Finished goods
(123) - 194</t>
  </si>
  <si>
    <t>Livestock
(124) - 195</t>
  </si>
  <si>
    <t>Merchandise
(132, 13X, 139)
- /196, 19X/</t>
  </si>
  <si>
    <t>Advances paid on account of inventories
(314A) - 391A</t>
  </si>
  <si>
    <t>Trade receivables
(311A, 312A, 313A,
314A, 315A, 31XA)
- 391A</t>
  </si>
  <si>
    <t>Receivables from subsidiary and controlling enterprise
(351A) - 391A</t>
  </si>
  <si>
    <t>Other receivables within consolidation group
(351A) - 391A</t>
  </si>
  <si>
    <t>Receivables from shareholders, associates and consortium members
(354A, 355A, 358A,
35XA) - 391A</t>
  </si>
  <si>
    <t>Other receivables
(335A, 33XA, 371A,
373A, 374A, 375A,
376A, 378A) - 391A</t>
  </si>
  <si>
    <t>Deferred tax receivable
(481A)</t>
  </si>
  <si>
    <t>Trade receivables
(311A, 312A, 313A,
314A, 315A, 31XA) -
391A</t>
  </si>
  <si>
    <t>Receivables from shareholders, associates and consortium members
(354A, 355A, 358A,
35XA, 398A) - 391A</t>
  </si>
  <si>
    <t>Social security
(336) - 391A</t>
  </si>
  <si>
    <t>Tax receivables
(341, 342, 343, 345,
346, 347) - 391A</t>
  </si>
  <si>
    <t>Financial assets (l. 057 to 061)</t>
  </si>
  <si>
    <t>Cash in hand
(211, 213, 21X)</t>
  </si>
  <si>
    <t>Bank accounts
(221A, 22X +/- 261)</t>
  </si>
  <si>
    <t>Bank accounts</t>
  </si>
  <si>
    <t>Bankové účty</t>
  </si>
  <si>
    <t>221A1</t>
  </si>
  <si>
    <t>221A2</t>
  </si>
  <si>
    <t>Bankové účty - pasívne</t>
  </si>
  <si>
    <t>23x</t>
  </si>
  <si>
    <t>058</t>
  </si>
  <si>
    <t>059</t>
  </si>
  <si>
    <t>060</t>
  </si>
  <si>
    <t>888</t>
  </si>
  <si>
    <t>5</t>
  </si>
  <si>
    <t>Zmena stavu polotovarov</t>
  </si>
  <si>
    <t>Aktivácia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</si>
  <si>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</si>
  <si>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</si>
  <si>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</si>
  <si>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</si>
  <si>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Iné výnosy z hospodárskej činnosti</t>
  </si>
  <si>
    <t>Ostatné výnosy z hospodárskej činnosti</t>
  </si>
  <si>
    <t>Zúčtovanie rezerv a opravných položiek výnosov z hospodárskej činnosti</t>
  </si>
  <si>
    <t>Receivables from participants in association</t>
  </si>
  <si>
    <t>Pohľadávky voči účastníkom združenia</t>
  </si>
  <si>
    <t>358A1</t>
  </si>
  <si>
    <t>ordinary</t>
  </si>
  <si>
    <t>ZIP</t>
  </si>
  <si>
    <t>Town</t>
  </si>
  <si>
    <t>Phone number</t>
  </si>
  <si>
    <t>19</t>
  </si>
  <si>
    <t>20</t>
  </si>
  <si>
    <t>21</t>
  </si>
  <si>
    <t>XII</t>
  </si>
  <si>
    <t>M</t>
  </si>
  <si>
    <t>XIII</t>
  </si>
  <si>
    <t>N</t>
  </si>
  <si>
    <t>O</t>
  </si>
  <si>
    <t>P</t>
  </si>
  <si>
    <t>R</t>
  </si>
  <si>
    <t xml:space="preserve">Sonstige Finanzerträge (668)                               </t>
  </si>
  <si>
    <t>Forderungen gegen Gesellschafter, Mitglieder und der Vereinigung (354A, 355A, 358A, 35XA, 398A) –391A</t>
  </si>
  <si>
    <t>Kurzfristige Verbindlichkeiten aus Lieferungen und Leistungen  (321, 322, 324, 325, 32X, 475A, 478A, 479A, 47XA)</t>
  </si>
  <si>
    <t>Bills of exchange to be paid - short-term</t>
  </si>
  <si>
    <t>Bills of exchange to be paid - long-term</t>
  </si>
  <si>
    <t>Provisions total (l. 088 to 090)</t>
  </si>
  <si>
    <t>Term deposits over one year 22XA</t>
  </si>
  <si>
    <t>Short term financial assets
(251, 253, 256, 257,
25X) - /291, 29X/</t>
  </si>
  <si>
    <t>Current financial assets in the course of acquisition
(259, 314A) - 291</t>
  </si>
  <si>
    <t>Accruals and prepayments  total
l. 063 and 064</t>
  </si>
  <si>
    <t>Prepaid expenses
(381, 382)</t>
  </si>
  <si>
    <t>Accrued income
(385)</t>
  </si>
  <si>
    <t>LIABILITIES AND EQUITY
b</t>
  </si>
  <si>
    <t>Current period
4</t>
  </si>
  <si>
    <t xml:space="preserve">Revenue from sale of fixed assets and raw material (641,642)      </t>
  </si>
  <si>
    <t>Carrying value of fixed assets and raw material sold (541,542)</t>
  </si>
  <si>
    <t xml:space="preserve">Reclassification of operating revenues   (-)(697)                         </t>
  </si>
  <si>
    <t xml:space="preserve">Reclassification of operating costs  (-)(597)                         </t>
  </si>
  <si>
    <t>Income from other long-term securities and ownership interest (665A)</t>
  </si>
  <si>
    <t xml:space="preserve">Revaluation costs of securities and costs of operations with derivatives (564,567)                       </t>
  </si>
  <si>
    <t>Pohľadávky z obchodného styku (311A,312A,313A,314A,315A,31XA) -391A</t>
  </si>
  <si>
    <t>Peniaze (211,213,21X)</t>
  </si>
  <si>
    <t>Účty v bankách (221A,22X,+/- 261)</t>
  </si>
  <si>
    <t>064</t>
  </si>
  <si>
    <t>Kontrolné číslo  súčet (r.001 až 064)</t>
  </si>
  <si>
    <t>065</t>
  </si>
  <si>
    <t xml:space="preserve">Predané cenné papiere a podiely (561)                             </t>
  </si>
  <si>
    <t>Sold options - long-term</t>
  </si>
  <si>
    <t>Other receivables - short-term</t>
  </si>
  <si>
    <t>Other receivables - long-term</t>
  </si>
  <si>
    <t>Other payables - short-term</t>
  </si>
  <si>
    <t xml:space="preserve">Ostatné náklady na finančnú činnosť (568, 569)                               </t>
  </si>
  <si>
    <t>Anschaffungskosten der verkauften Wertpapiere und Anteile (561)</t>
  </si>
  <si>
    <t>O.</t>
  </si>
  <si>
    <t xml:space="preserve">Kursgewinne (663)                                </t>
  </si>
  <si>
    <t>Kursverluste (563)</t>
  </si>
  <si>
    <t xml:space="preserve">Sonstige Finanzaufwendungen (568,569)                               </t>
  </si>
  <si>
    <t xml:space="preserve">- Latente Einkommensteuer (+/-594)                                                 </t>
  </si>
  <si>
    <t>Pohľadávky voči spoločníkom, členom a združeniu  (354A,355A,358A,35XA) - 391A</t>
  </si>
  <si>
    <t>Other equity investments (063, 065) -096A</t>
  </si>
  <si>
    <t>Social security (336) -391A</t>
  </si>
  <si>
    <t>Materiál (112,119,11x) - /191,19x/</t>
  </si>
  <si>
    <t>Nedokončená výroba a polotovary (121,122,12x) -/192,193,19x/</t>
  </si>
  <si>
    <t>C.I.1.</t>
  </si>
  <si>
    <t>Materiál
(112, 119, 11X)
-/191,19X/</t>
  </si>
  <si>
    <t xml:space="preserve">Kontrolné číslo  súčet (r.01 až 57)                                </t>
  </si>
  <si>
    <t xml:space="preserve">Control total ( l.0l to 57)                                </t>
  </si>
  <si>
    <t xml:space="preserve">Net profit/(loss) for the period  (+/-) l.49+l.55-l.56           </t>
  </si>
  <si>
    <t>Extraordinary profit/(loss)  l.50-l.51-l.52</t>
  </si>
  <si>
    <t xml:space="preserve">Net profit from ordinary activities l.25+l.45-l.46           </t>
  </si>
  <si>
    <t xml:space="preserve">Tax on income from extraordinary activities  l.53+54              </t>
  </si>
  <si>
    <t>Tax on income from extraordinary activities l. 53 + l. 54</t>
  </si>
  <si>
    <t>Tax on income from ordinary activities l. 47 + l. 48</t>
  </si>
  <si>
    <t>Check (to GL)</t>
  </si>
  <si>
    <t>Check (to IS-SK)</t>
  </si>
  <si>
    <t>351A2</t>
  </si>
  <si>
    <t>351A3</t>
  </si>
  <si>
    <t>351A4</t>
  </si>
  <si>
    <t xml:space="preserve">Receivables for subscriptions </t>
  </si>
  <si>
    <t>Pohľadávky za upísané vlastné imanie</t>
  </si>
  <si>
    <t>Receivables from partners to cover losses</t>
  </si>
  <si>
    <t>354A1</t>
  </si>
  <si>
    <t>354A2</t>
  </si>
  <si>
    <t>Other amounts due from partners</t>
  </si>
  <si>
    <t>355A1</t>
  </si>
  <si>
    <t>355A2</t>
  </si>
  <si>
    <t>Profit (loss) from financial activities  l.26 - 27 + 28 + 32 - 33 + 34 - 35 - 36 + 37 - 38 + 39 - 40 + 41 - 42 +(-43) -(-44)</t>
  </si>
  <si>
    <t xml:space="preserve">Tax on income from ordinary activities l.47+48                    </t>
  </si>
  <si>
    <t>Line
a</t>
  </si>
  <si>
    <t>ASSETS
b</t>
  </si>
  <si>
    <t>Á  Ä  B  Č  D  É  F  G  H  Í  J  K  L  M  N  O  P  Q  R  Š  T  Ú  V  X  Ý  Ž      0  1  2  3  4  5  6  7  8  9</t>
  </si>
  <si>
    <t>/</t>
  </si>
  <si>
    <t>Email</t>
  </si>
  <si>
    <t xml:space="preserve">Erlöse aus dem Verkauf von Wertpapieren und Anteilen (661)                 </t>
  </si>
  <si>
    <t>Príjmy vyplývajúce z future zmlúv, forward zmlúv, opčných zmlúv a swap zmlúv (ak nie sú vlastnené za účelom obchodovania s nimi) (+)</t>
  </si>
  <si>
    <t>B.6.6.</t>
  </si>
  <si>
    <t>Issued bonds receivable - short-term</t>
  </si>
  <si>
    <t>Issued bonds receivable - long-term</t>
  </si>
  <si>
    <t>Payables under leasing contracts</t>
  </si>
  <si>
    <t>474A1</t>
  </si>
  <si>
    <t>Purchased options</t>
  </si>
  <si>
    <t>Purchased options - short-term</t>
  </si>
  <si>
    <t>089</t>
  </si>
  <si>
    <t>Oceňovacie rozdiely z precenenia pri zlúčení, splynutí a rozdelení</t>
  </si>
  <si>
    <t>Záväzky z nájmu</t>
  </si>
  <si>
    <t>Záväzky z nájmu - krátkodobé</t>
  </si>
  <si>
    <t>Záväzky z nájmu - dlhodobé</t>
  </si>
  <si>
    <t>Tvorba a zúčtovanie opravných položiek k pohľadávkam (+/-547)</t>
  </si>
  <si>
    <t xml:space="preserve">Ostatné náklady na hospodársku činnosť (543, 544, 545, 546, 548, 549,555,557)                    </t>
  </si>
  <si>
    <t>Výsledok hospodárenia z hospodárskej činnosti r.11-r.12-r.17-r.18+r.19-r.20+r.21-r.22-r.23+(-r.24)-(-r.25)</t>
  </si>
  <si>
    <t>until</t>
  </si>
  <si>
    <t>Approved on:</t>
  </si>
  <si>
    <t>Prepared on:</t>
  </si>
  <si>
    <t>INO</t>
  </si>
  <si>
    <t>prepared</t>
  </si>
  <si>
    <t>approved</t>
  </si>
  <si>
    <t>Other non-current liabilities within consolidation group (471A)</t>
  </si>
  <si>
    <t>Liabilities to shareholders, associates and consortium members (364, 365, 366, 367, 368, 398A, 478A, 479A)</t>
  </si>
  <si>
    <t>Prijaté peňažné dary a dotácie do vlastného imania (+)</t>
  </si>
  <si>
    <t>D.2.4.</t>
  </si>
  <si>
    <t>Samostatné hnuteľné veci a súbory hnuteľných vecí</t>
  </si>
  <si>
    <t>Ostatný dlhodobý
hmotný majetok
(029, 02X, 032) -
/089, 08X, 092A/</t>
  </si>
  <si>
    <t>Obstarávaný
dlhodobý hmotný
majetok
(042) - 094</t>
  </si>
  <si>
    <t>Poskytnuté
preddavky na
dlhodobý hmotný
majetok
(052) - 095A</t>
  </si>
  <si>
    <t>9.</t>
  </si>
  <si>
    <t>Opravná položka
k nadobudnutému
majetku
(+/- 097) +/- 098</t>
  </si>
  <si>
    <t>Numbers should be justified to the right, other data is justified to the left. Lines not filled out are left blank.</t>
  </si>
  <si>
    <t>The information should be written in block letters (see this example), using a typewriter or printer with black or dark blue ink.</t>
  </si>
  <si>
    <t>Tax Office records</t>
  </si>
  <si>
    <t>Place for the reference number</t>
  </si>
  <si>
    <t>Stamp of the Tax Office</t>
  </si>
  <si>
    <t>Stempel des Finanzamts</t>
  </si>
  <si>
    <t>Platz für die Referenznummer</t>
  </si>
  <si>
    <t>Aufzeichnungen des Finanzamts</t>
  </si>
  <si>
    <t>0xx</t>
  </si>
  <si>
    <t>Fixed assets</t>
  </si>
  <si>
    <t>Poskytnuté preddavky na dlhodobý hmotný majetok</t>
  </si>
  <si>
    <t>Veräußerte Wertpapiere und Anteile (561)</t>
  </si>
  <si>
    <t xml:space="preserve">Erträge aus Wertpapieren und Anteilen an verbundenen Unternehmen (665A) </t>
  </si>
  <si>
    <t>Due to and from social security institutions</t>
  </si>
  <si>
    <t>336A1</t>
  </si>
  <si>
    <t>Due from social security institutions</t>
  </si>
  <si>
    <t>Pohľadávky voči inštitúciam sociálneho zabezpečenia</t>
  </si>
  <si>
    <t>336A2</t>
  </si>
  <si>
    <t>Due to social security institutions</t>
  </si>
  <si>
    <t>Príjmy z predaja finančných investícií, ktoré účtovná jednotka nepovažuje za peňažné ekvivalenty alebo ich nevlastní za účelom obchodovania s nimi (+)</t>
  </si>
  <si>
    <t>B.3.</t>
  </si>
  <si>
    <t>Peňažné toky z prenájmu súboru hnuteľných a nehnuteľných vecí prenajímaných ako celok (+)</t>
  </si>
  <si>
    <t>B.3.1.</t>
  </si>
  <si>
    <t>Príjmy z prenájmu súboru hnuteľných a nehnuteľných vecí prenajímaných ako celok (+)</t>
  </si>
  <si>
    <t>B.3.2.</t>
  </si>
  <si>
    <t>Výdavky spojené s prenájmom súboru hnuteľných a nehnuteľných vecí prenajímaných ako celok (-)</t>
  </si>
  <si>
    <t>B.4.</t>
  </si>
  <si>
    <t>Peňažné toky z úverov a pôžičiek poskytovaných spriazneným osobám (súčet B.4.1. a B.4.2.)</t>
  </si>
  <si>
    <t>B.4.1.</t>
  </si>
  <si>
    <t>Príjmy zo splácania úverov a pôžičiek poskytnutých spriazneným osobám (+)</t>
  </si>
  <si>
    <t>B.4.2.</t>
  </si>
  <si>
    <t>Výdavky na poskytnuté úvery a pôžičky spriazneným osobám (-)</t>
  </si>
  <si>
    <t>Cash in transit</t>
  </si>
  <si>
    <t>Peniaze na ceste</t>
  </si>
  <si>
    <t>29x</t>
  </si>
  <si>
    <t>Adjustments to short-term financial assets</t>
  </si>
  <si>
    <t>Opravné položky ku krátkodobému finančnému majetku</t>
  </si>
  <si>
    <t>Adjustments to shares and similar securities</t>
  </si>
  <si>
    <t>3xx</t>
  </si>
  <si>
    <t>Additions and accounting for adjustments to receivables</t>
  </si>
  <si>
    <t>Tvorba a zúčtovanie opravných položiek k dlhodobému majetku</t>
  </si>
  <si>
    <t>Odpisy a opravné položky k dlhodobému majetku</t>
  </si>
  <si>
    <t>Additions and accounting for adjustments to fixed assets</t>
  </si>
  <si>
    <t>Výdavky súvisiace s poskytnutím úverov a pôžičiek iným subjektom ako sú spriaznené osoby (-)</t>
  </si>
  <si>
    <t>A.6.9.1.</t>
  </si>
  <si>
    <t>A.6.10.</t>
  </si>
  <si>
    <t>Numerische Angaben werden nach rechts ausgerichtet, sonstige Angaben sind von links zu schreiben. Nicht ausgefüllte Zeilen sollen leer gelassen werden.</t>
  </si>
  <si>
    <t>Die Angaben sind mit Blockschrift  (nach diesem Muster), Schreibmaschine oder Drucker in schwarzer oder dunkelblauer Farbe auszufüllen.</t>
  </si>
  <si>
    <t xml:space="preserve">Bildung und Auflösung von Wertberichtigungen auf finanzielle Vermögenswerte +/- 565                                     </t>
  </si>
  <si>
    <t>Financial statements</t>
  </si>
  <si>
    <t>Jahresabshluss</t>
  </si>
  <si>
    <t>Jahresabschluss</t>
  </si>
  <si>
    <t>Remuneration of members of the board of companies and co-operatives (523)</t>
  </si>
  <si>
    <t>Social security costs (524, 525, 526)</t>
  </si>
  <si>
    <t>Employee welfare costs (527, 528)</t>
  </si>
  <si>
    <t>Indirect taxes and fees (acc. group 53)</t>
  </si>
  <si>
    <t>Depreciation of non-current tangible and intangible assets (551, 553)</t>
  </si>
  <si>
    <t>Revenue from sale of non-current assets and raw material (641, 642)</t>
  </si>
  <si>
    <t>Carrying value of non-current assets and raw material sold (541, 542)</t>
  </si>
  <si>
    <t>Bezprostredne predchádzajúce
účtovné obdobie v TSKK</t>
  </si>
  <si>
    <t>Bezprostredne predchádzajúce
účtovné obdobie v TSKK
5</t>
  </si>
  <si>
    <t>bezprostredne predchádzajúce
účtovné obdobie
v TSKK</t>
  </si>
  <si>
    <t>Bank loans - long-term</t>
  </si>
  <si>
    <t>Bankové úvery - dlhodobé</t>
  </si>
  <si>
    <t xml:space="preserve">Výnosy z ostatného dlhodobého finančného majetku (665A)                  </t>
  </si>
  <si>
    <t>461A2</t>
  </si>
  <si>
    <t>091A1</t>
  </si>
  <si>
    <t>Adjustments to incorporation expenses</t>
  </si>
  <si>
    <t>Opravná položka k zriaďovacím výdavkom</t>
  </si>
  <si>
    <t>091A2</t>
  </si>
  <si>
    <t>Adjustments to research and development</t>
  </si>
  <si>
    <t>091A3</t>
  </si>
  <si>
    <t>Adjustments to software</t>
  </si>
  <si>
    <t>091A4</t>
  </si>
  <si>
    <t>Adjustments to valuable rights</t>
  </si>
  <si>
    <t>Opravná položka k oceniteľným právam</t>
  </si>
  <si>
    <t>091A5</t>
  </si>
  <si>
    <t>Adjustments to other intangible fixed assets</t>
  </si>
  <si>
    <t>092</t>
  </si>
  <si>
    <t>Adjustments to tangible fixed assets</t>
  </si>
  <si>
    <t>092A1</t>
  </si>
  <si>
    <t>Adjustment to other financial investments</t>
  </si>
  <si>
    <t>Zásoby</t>
  </si>
  <si>
    <t>Construction type contracts - longer than one year</t>
  </si>
  <si>
    <t>Semi-finished goods - others</t>
  </si>
  <si>
    <t>Work-in-progress - others</t>
  </si>
  <si>
    <t>Adjustment to construction type contracts - longer than one year</t>
  </si>
  <si>
    <t>Adjustment to work-in-progress - others</t>
  </si>
  <si>
    <t>Adjustment to semi-finished goods - others</t>
  </si>
  <si>
    <t>Bank accounts-active - shorter than one year</t>
  </si>
  <si>
    <t xml:space="preserve">Bank accounts-passive </t>
  </si>
  <si>
    <t>Own bonds issued - short-term</t>
  </si>
  <si>
    <t>Own bonds issued - long-term</t>
  </si>
  <si>
    <t>Other realisable securities</t>
  </si>
  <si>
    <t>Dlhové cenné papiere držané do splatnosti</t>
  </si>
  <si>
    <t>Pôžičky účtovnej jednotke v konsolidovanom celku</t>
  </si>
  <si>
    <t>Ostatný dlhodobý finančný majetok</t>
  </si>
  <si>
    <t>Oprávky k aktivovaným nákladom na vývoj</t>
  </si>
  <si>
    <t>Accumulated depreciation of goodwill</t>
  </si>
  <si>
    <t>Oprávky ku goodwillu</t>
  </si>
  <si>
    <t>347A1</t>
  </si>
  <si>
    <t>347A2</t>
  </si>
  <si>
    <t>346A1</t>
  </si>
  <si>
    <t>346A2</t>
  </si>
  <si>
    <t>Pohľadávky voči
spoločníkom,
členom a združeniu
(354A, 355A, 358A,
35XA) - 391A</t>
  </si>
  <si>
    <t>Iné pohľadávky
(335A, 33XA, 371A,
373A, 374A, 375A,
376A, 378A) - 391A</t>
  </si>
  <si>
    <t>Odložená daňová
pohľadávka
(481A)</t>
  </si>
  <si>
    <t>C.III.1.</t>
  </si>
  <si>
    <t>Pohľadávky
z obchodného styku
(311A, 312A, 313A,
314A, 315A, 31XA) -
391A</t>
  </si>
  <si>
    <t>Pohľadávky voči
spoločníkom,
členom a združeniu
(354A, 355A, 358A,
35XA, 398A) - 391A</t>
  </si>
  <si>
    <t>Sociálne poistenie
(336) - 391A</t>
  </si>
  <si>
    <t>Daňové pohľadávky
(341, 342, 343, 345,
346, 347) - 391A</t>
  </si>
  <si>
    <t>C.IV.1.</t>
  </si>
  <si>
    <t>Peniaze
(211, 213, 21X)</t>
  </si>
  <si>
    <t>Účty v bankách
(221A, 22X +/- 261)</t>
  </si>
  <si>
    <t>Účty v bankách
s dobou viazanosti
dlhšou ako jeden rok
22XA</t>
  </si>
  <si>
    <t>Krátkodobý finančný
majetok
(251, 253, 256, 257,
25X) - /291, 29X/</t>
  </si>
  <si>
    <t>Obstarávaný
krátkodobý finančný
majetok
(259, 314A) - 291</t>
  </si>
  <si>
    <t>Výsledok hospodárenia z hospodárskej činnosti
r. 11 - r. 12 - r. 17- r. 18 + r. 19- r. 20 + r. 21 - r. 22-r.23 + (-r. 24) - (- r. 25)</t>
  </si>
  <si>
    <t>Výnosy z dlhodobého finančného majetku
r. 30 + r. 31 + r. 32</t>
  </si>
  <si>
    <t>Výsledok hospodárenia z finančnej činnosti
r. 27- r. 28 + r. 29 + r. 33 - r. 34 + r. 35 - r. 36 - r. 37 + r. 38 - r. 39+ r. 40 - r. 41 + r. 42 - r. 43 + (- r. 44) - (- r. 45)</t>
  </si>
  <si>
    <t>Daň z príjmov z bežnej činnosti r. 49 + r. 50</t>
  </si>
  <si>
    <t>Výsledok hospodárenia z bežnej činnosti po zdaneni   r. 47 - r. 48</t>
  </si>
  <si>
    <t>S.1.</t>
  </si>
  <si>
    <t>Výsledok hospodárenia z mimoriadnej činnosti po zdaneni   r. 52 - r. 53</t>
  </si>
  <si>
    <t>U.1.</t>
  </si>
  <si>
    <t>Daň z príjmov z mimoriadnej činnosti r. 56 + r. 57</t>
  </si>
  <si>
    <t>58</t>
  </si>
  <si>
    <t>59</t>
  </si>
  <si>
    <t>60</t>
  </si>
  <si>
    <t>Výsledok hospodárenia z mimoriadnej činnosti po zdaneni r. 54 - r. 55</t>
  </si>
  <si>
    <t>V.</t>
  </si>
  <si>
    <t>61</t>
  </si>
  <si>
    <t>Výsledok hospodárenia za účtovné obdobie po zdanení
(+/-)[r. 51 + r. 58 - r. 60]</t>
  </si>
  <si>
    <t>Finančné účty
súčet (r. 056 až
r. 060)</t>
  </si>
  <si>
    <t>Ostatné krátkodobé rezervy (323, 32X, 451A, 459A, 45XA)</t>
  </si>
  <si>
    <t>Dlhodobé záväzky voči dcérskej účtovnej jednotke a
materskej účtovnej jednotke (471A)</t>
  </si>
  <si>
    <t>Ostatné dlhodobé záväzky v rámci konsolidovaného celku (471A)</t>
  </si>
  <si>
    <t>Dlhodobé prijaté preddavky (475A)</t>
  </si>
  <si>
    <t>Rezervy súčet (r. 090 až 093)</t>
  </si>
  <si>
    <t>Dlhodobé záväzky súčet (r.095 až r. 104)</t>
  </si>
  <si>
    <t>Krátkodobé záväzky súčet (r.106 až r. 114)</t>
  </si>
  <si>
    <t>Bankové úvery a výpomoci súčet (r.117 až 118)</t>
  </si>
  <si>
    <t>Výdavky budúcich období dlhodobé (383)</t>
  </si>
  <si>
    <t>Výdavky budúcich období krátkodobé (383)</t>
  </si>
  <si>
    <t>Kontrolné číslo súčet (r. 066 až r.123)</t>
  </si>
  <si>
    <t>Obežný majetok r. 032+r. 040+r. 047+r. 055</t>
  </si>
  <si>
    <t>381A1</t>
  </si>
  <si>
    <t>381A2</t>
  </si>
  <si>
    <t>Náklady budúcich období- krátkodobé</t>
  </si>
  <si>
    <t>Náklady budúcich období- dlhodobé</t>
  </si>
  <si>
    <t>Komplexné náklady budúcich období- dlhodobé</t>
  </si>
  <si>
    <t>Komplexné náklady budúcich období- krátkodobé</t>
  </si>
  <si>
    <t>382A1</t>
  </si>
  <si>
    <t>382A2</t>
  </si>
  <si>
    <t>Príjmy budúcich období dlhodobé</t>
  </si>
  <si>
    <t>Príjmy budúcich období- krátkodobé</t>
  </si>
  <si>
    <t>385A1</t>
  </si>
  <si>
    <t>385A2</t>
  </si>
  <si>
    <t>Výdavky budúcich období- dlhodobé</t>
  </si>
  <si>
    <t>Receivables from partners to cover losses - long-term</t>
  </si>
  <si>
    <t>Other amounts due from partners - short-term</t>
  </si>
  <si>
    <t>Other amounts due from partners - long-term</t>
  </si>
  <si>
    <t>GRANDTOTAL CHECK</t>
  </si>
  <si>
    <t>Pohľadávky voči ovládanej osobe a ovládajúcej osobe - krátkodobé</t>
  </si>
  <si>
    <t>Ostané pohľadávky v rámci konsolidovaného celku - krátkodobé</t>
  </si>
  <si>
    <t>Pohľadávky voči ovládanej osobe a ovládajúcej osobe - dlhodobé</t>
  </si>
  <si>
    <t>Ostané pohľadávky v rámci konsolidovaného celku - dlhodobé</t>
  </si>
  <si>
    <t>Pohľadávky voči spoločníkom pri úhrade straty - krátkodobé</t>
  </si>
  <si>
    <t>Pohľadávky voči spoločníkom pri úhrade straty - dlhodobé</t>
  </si>
  <si>
    <t>Ostatné pohľadávky voči spoločníkom a členom - krátkodobé</t>
  </si>
  <si>
    <t>Strata z predaja stálych aktív (+)</t>
  </si>
  <si>
    <t>Kurzove rozdiely k úverom</t>
  </si>
  <si>
    <t>Výdavky na splácanie emitovaných dlhopisov (-)</t>
  </si>
  <si>
    <t>Recovery of written-off receivable</t>
  </si>
  <si>
    <t>Výnosy z odpísaných pohľadávok</t>
  </si>
  <si>
    <t>Other operating revenues</t>
  </si>
  <si>
    <t>65x</t>
  </si>
  <si>
    <t>Revenues from services</t>
  </si>
  <si>
    <t>Tržby z predaja služieb</t>
  </si>
  <si>
    <t>Revenues from merchandise</t>
  </si>
  <si>
    <t>Tržby za tovar</t>
  </si>
  <si>
    <t>61x</t>
  </si>
  <si>
    <t>Bankové úvery (r. 117 až r. 118)</t>
  </si>
  <si>
    <t>Spolu majetok r. 002+ r. 031 + r. 061</t>
  </si>
  <si>
    <t>Neobežný majetok r. 003+r. 012+r.022</t>
  </si>
  <si>
    <t>Dlhodobý hmotný majetok súčet (r.013 až 021)</t>
  </si>
  <si>
    <t>Dlhodobý finančný majetok súčet (r.023 až 030)</t>
  </si>
  <si>
    <t>Zásoby súčet (r. 033 až 039)</t>
  </si>
  <si>
    <t>Krátkodobé pohľadávky súčet (r. 048 až 054)</t>
  </si>
  <si>
    <t>Finančné účty súčet (r. 056 až r. 060)</t>
  </si>
  <si>
    <t>Časové rozlíšenie  r. 062 a r. 065</t>
  </si>
  <si>
    <t>Náklady budúcich období dlhodobé (381,382)</t>
  </si>
  <si>
    <t>Náklady budúcich období krátkodobé (381,382)</t>
  </si>
  <si>
    <t>Príjmy budúcich období dlhodobé  (385)</t>
  </si>
  <si>
    <t>Príjmy budúcich období krátkodobé  (385)</t>
  </si>
  <si>
    <t>Spolu vlastné imanie a záväzky r. 067 + r. 088 +  r. 119</t>
  </si>
  <si>
    <t>Vlastné imanie r. 068+r. 073+r. 080+r. 084 +r. 087</t>
  </si>
  <si>
    <t>Základné imanie súčet (r. 068 až 072)</t>
  </si>
  <si>
    <t>Pohľadávky za upísané vlastné imanie (/-/ 353)</t>
  </si>
  <si>
    <t>Fondy zo zisku súčet (r.081 až 083)</t>
  </si>
  <si>
    <t>Výsledok hospodárenia minulých rokov r. 085 a  r. 086</t>
  </si>
  <si>
    <t>Výsledok hospodárenia za účtovné obdobie   /+ -/ r. 001-(r.068+r.073+r.080+r.084+r.088+r.119)</t>
  </si>
  <si>
    <t>Záväzky r.089 + r.094 + r.105 + r.115+r.116</t>
  </si>
  <si>
    <t>Výdavky mimoriadneho charakteru vzťahujúce sa k základným podnikateľským činnostiam (-)</t>
  </si>
  <si>
    <t>A.6.5.</t>
  </si>
  <si>
    <t>Príjem prenajímateľa vzťahujúci sa na finančný prenájom (lízing) majetku (+)</t>
  </si>
  <si>
    <t>A.6.6.</t>
  </si>
  <si>
    <t>Krátkodobý finančný majetok (251,253,254, 256,257,25X) - /291,29X/</t>
  </si>
  <si>
    <t>Ostatné dlhodobé záväzky
(474A, 479A, 47XA, 372A, 373A, 377A)</t>
  </si>
  <si>
    <t>10.</t>
  </si>
  <si>
    <t>Net profit/(loss) from ordinary activities
l. 25 + l. 45 - l. 46</t>
  </si>
  <si>
    <t>Hospodársky výsledok z bežnej činnosti před zdanením daňou z príjmov právnických osôb upravený o vplyv nepeňažných operácií, zmien pracovného kapitálu a úrokov</t>
  </si>
  <si>
    <t>Verbindlichkeiten aus dem Sozialfonds (472)</t>
  </si>
  <si>
    <t>Sonstige langfristige Verbindlichkeiten (474A ,479A, 47XA, 372A, 373A, 377A)</t>
  </si>
  <si>
    <t>Latente Steuerverbindlichkeit (481A)</t>
  </si>
  <si>
    <t>Nicht in Rechnung gestellte Lieferungen (326, 476A)</t>
  </si>
  <si>
    <t>Nevyfakturované dodávky (326, 476A)</t>
  </si>
  <si>
    <t>Genehmigt am:</t>
  </si>
  <si>
    <t>Komplexné náklady budúcich období</t>
  </si>
  <si>
    <t>Accrued expenses</t>
  </si>
  <si>
    <t>Výdavky budúcich období</t>
  </si>
  <si>
    <t>Deferred revenues</t>
  </si>
  <si>
    <t>Výnosy budúcich období</t>
  </si>
  <si>
    <t>Accrued revenues</t>
  </si>
  <si>
    <t>Príjmy budúcich období</t>
  </si>
  <si>
    <t>Dlhodobý hmotný majetok - neodpisovaný</t>
  </si>
  <si>
    <t>Gross amount</t>
  </si>
  <si>
    <t>Adjusted amount</t>
  </si>
  <si>
    <t xml:space="preserve">Opravná položka k ostatným pôžičkám s dobou splatnosti najviac jeden rok </t>
  </si>
  <si>
    <t>Účty v bankách</t>
  </si>
  <si>
    <t>Vlastné dlhopisy - dlhodobé</t>
  </si>
  <si>
    <t>Vlastné dlhopisy - krátkodobé</t>
  </si>
  <si>
    <t>Pohľadávky z pevných termínových operácií - dlhodobé</t>
  </si>
  <si>
    <t>Receivables from fixed derivative operations - short-term</t>
  </si>
  <si>
    <t>Receivables from fixed derivative operations - long-term</t>
  </si>
  <si>
    <t>Other intercompany payables</t>
  </si>
  <si>
    <t>Receivables from sale of enterprise</t>
  </si>
  <si>
    <t>Receivables from sale of enterprise - short-term</t>
  </si>
  <si>
    <t>Receivables from sale of enterprise - long-term</t>
  </si>
  <si>
    <t>Náklady na reprezentáciu</t>
  </si>
  <si>
    <t>Other services</t>
  </si>
  <si>
    <t>Ostatné služby</t>
  </si>
  <si>
    <t>52x</t>
  </si>
  <si>
    <t>Personnel expenses</t>
  </si>
  <si>
    <t>Osobné náklady</t>
  </si>
  <si>
    <t>Wages and salaries</t>
  </si>
  <si>
    <t>Mzdové náklady</t>
  </si>
  <si>
    <t>Employment remuneration of partners and co-operative members</t>
  </si>
  <si>
    <t>Remuneration of board members</t>
  </si>
  <si>
    <t>Odmeny členom orgánov spoločností a družstva</t>
  </si>
  <si>
    <t>Legal social insurance</t>
  </si>
  <si>
    <t>051</t>
  </si>
  <si>
    <t>Advance payments for intangible fixed assets</t>
  </si>
  <si>
    <t>052</t>
  </si>
  <si>
    <t>Advance payments for tangible fixed assets</t>
  </si>
  <si>
    <t>474A2</t>
  </si>
  <si>
    <t>Long-term advances received</t>
  </si>
  <si>
    <t>Dlhodobé prijaté preddavky</t>
  </si>
  <si>
    <t>475A1</t>
  </si>
  <si>
    <t>475A2</t>
  </si>
  <si>
    <t>Long-term bills of exchange to be paid</t>
  </si>
  <si>
    <t>Dlhodobé zmenky na úhradu</t>
  </si>
  <si>
    <t>478A1</t>
  </si>
  <si>
    <t>478A2</t>
  </si>
  <si>
    <t>Opravná položka k ostaným pohľadávkam v rámci konsolidovaného celku - krátkodobým</t>
  </si>
  <si>
    <t>Záväzky voči zamestnancom (331, 333, 33X, 479A)</t>
  </si>
  <si>
    <t>Bankové úvery dlhodobé (461A, 46XA)</t>
  </si>
  <si>
    <t>Bežné bankové úvery (221A, 231, 232, 23X, 461A, 46XA)</t>
  </si>
  <si>
    <t>Advance payments on account of financial investments (053) -095A</t>
  </si>
  <si>
    <t>must be zero !!!</t>
  </si>
  <si>
    <t>Ergebnisvortrag  (Z. 083 und 084)</t>
  </si>
  <si>
    <t>Rückstellungen (Z.088 bis 090)</t>
  </si>
  <si>
    <t>Kontrolnummer (Z. 065 bis 118)</t>
  </si>
  <si>
    <t>Vorräte Summe (Z. 34 bis 40)</t>
  </si>
  <si>
    <t>Poskytnuté preddavky na dlhodobý nehmotný majetok</t>
  </si>
  <si>
    <t>Opravná položka k nadobudnutému majetku</t>
  </si>
  <si>
    <t>098</t>
  </si>
  <si>
    <t>Bank loans - short-term</t>
  </si>
  <si>
    <t>Bankové úvery - krátkodobé</t>
  </si>
  <si>
    <t>47x</t>
  </si>
  <si>
    <t>Long-term payables</t>
  </si>
  <si>
    <t>Dlhodobé záväzky</t>
  </si>
  <si>
    <t>Intercompany long-term payables</t>
  </si>
  <si>
    <t>471A1</t>
  </si>
  <si>
    <t>471A2</t>
  </si>
  <si>
    <t>471A3</t>
  </si>
  <si>
    <t>Control BS</t>
  </si>
  <si>
    <t>Control IS</t>
  </si>
  <si>
    <t>Value added tax - tax receivable</t>
  </si>
  <si>
    <t>Daň z pridanej hodnoty - daňová pohľadávka</t>
  </si>
  <si>
    <t>343A2</t>
  </si>
  <si>
    <t>Value added tax - tax payable</t>
  </si>
  <si>
    <t>Daň z pridanej hodnoty - daňový záväzok</t>
  </si>
  <si>
    <t>Other indirect taxes and fees</t>
  </si>
  <si>
    <t xml:space="preserve">Umsatzerlöse aus dem Verkauf eigener Erzeugnisse und Dienstleistungen (601,602)          </t>
  </si>
  <si>
    <t xml:space="preserve">Erhöhung oder Verminderung des Bestands an fertigen und unfertigen Erzeugnissen, (+/- Kontengruppe 61)           </t>
  </si>
  <si>
    <t xml:space="preserve">Andere aktivierte Eigenleistungen (Kontengruppe 62)                                          </t>
  </si>
  <si>
    <t xml:space="preserve">Materialaufwand  Z. 09+10                                     </t>
  </si>
  <si>
    <t>Actual result in</t>
  </si>
  <si>
    <t xml:space="preserve">- Fällige Einkommensteuer (593)                                                 </t>
  </si>
  <si>
    <t xml:space="preserve">- Latente Einkommensteuer (594)                                                 </t>
  </si>
  <si>
    <t>Sonstige Wertpapiere des Anlagevermögens (063, 065) -096A</t>
  </si>
  <si>
    <t>Výsledok hospodárenia z finačnej činnosti r.27 - r.28 + r.29 + r.33- r.34 + r. 35 - r. 36 - r.37 + r.38 - r. 39 + r.40 - r.41 + r.42 - r.43 +(-r.44) -(-r.45)</t>
  </si>
  <si>
    <t>Výsledok hospodárenia z bežnej činnosti pred zdanením r.26+r. 46</t>
  </si>
  <si>
    <t>Daň z príjmov z bežnej činnosti r.49+ r.50</t>
  </si>
  <si>
    <t>Merchandise (132, 13x, 139) –/196,19x/</t>
  </si>
  <si>
    <t>Advance payments on account of inventories (314A) -391A</t>
  </si>
  <si>
    <t>Non-current receivables total (l. 042 to 047)</t>
  </si>
  <si>
    <t>Opravná položka k pohľadávkam voči spoločníkom, členom a združeniu - dlhodobým</t>
  </si>
  <si>
    <t>Opravná položka k iným pohľadávkam - krátkodobým</t>
  </si>
  <si>
    <t>Opravná položka k iným pohľadávkam - dlhodobým</t>
  </si>
  <si>
    <t xml:space="preserve">Záväzky voči ovládanej osobe a ovládajúcej osobe </t>
  </si>
  <si>
    <t xml:space="preserve">Ostané záväzky v rámci konsolidovaného celku </t>
  </si>
  <si>
    <t>Záväzky voči ovládanej osobe a ovládajúcej osobe  - krátkodobé</t>
  </si>
  <si>
    <t>Receivables from rental - short-term</t>
  </si>
  <si>
    <t>Receivables from rental - long-term</t>
  </si>
  <si>
    <t>Accumulated depreciation of other tangible fixed assets</t>
  </si>
  <si>
    <t>09x</t>
  </si>
  <si>
    <t>Adjustments to fixed assets</t>
  </si>
  <si>
    <t>091</t>
  </si>
  <si>
    <t>Adjustments to intangible fixed assets</t>
  </si>
  <si>
    <t>040</t>
  </si>
  <si>
    <t>043</t>
  </si>
  <si>
    <t>044</t>
  </si>
  <si>
    <t>Bežné účtovné obdobie</t>
  </si>
  <si>
    <t>Zriaďovacie náklady (011) -/071, 091A/</t>
  </si>
  <si>
    <t xml:space="preserve">Kursverluste (563)                                </t>
  </si>
  <si>
    <t>Other liabilities (372A, 373A, 377A, 379A, 474A, 479A, 47x)</t>
  </si>
  <si>
    <t>Non-current bank loans (461A,46xA)</t>
  </si>
  <si>
    <t>Current bank loans (221A, 231, 232, 23x, 461A, 46xA)</t>
  </si>
  <si>
    <t xml:space="preserve">- Fällige Einkommensteuer (591,595)                                              </t>
  </si>
  <si>
    <t xml:space="preserve">- Latente Einkommensteuer (+/-592)                                                 </t>
  </si>
  <si>
    <t>ENGLISH STANDARD FORMAT - Balance sheet</t>
  </si>
  <si>
    <t>SLOVAK STANDARD FORMAT - Balance sheet</t>
  </si>
  <si>
    <t>GERMAN STANDARD FORMAT - Balance sheet</t>
  </si>
  <si>
    <t>SLOVAK STANDARD FORMAT - Income statement</t>
  </si>
  <si>
    <t>ENGLISH STANDARD FORMAT - Income statement</t>
  </si>
  <si>
    <t>GERMAN STANDARD FORMAT - Income statement</t>
  </si>
  <si>
    <r>
      <t xml:space="preserve">must be </t>
    </r>
    <r>
      <rPr>
        <b/>
        <i/>
        <sz val="8"/>
        <color indexed="10"/>
        <rFont val="Arial"/>
        <family val="2"/>
      </rPr>
      <t>zero</t>
    </r>
    <r>
      <rPr>
        <i/>
        <sz val="8"/>
        <color indexed="10"/>
        <rFont val="Arial"/>
        <family val="2"/>
      </rPr>
      <t xml:space="preserve"> in each columm !!!</t>
    </r>
  </si>
  <si>
    <t>Assets = Liabilities</t>
  </si>
  <si>
    <t>Check:</t>
  </si>
  <si>
    <t>Check (profit/loss to GL)</t>
  </si>
  <si>
    <t>Accounting for accumulated depreciation of adjustments to acquired assets</t>
  </si>
  <si>
    <t>Dlhodobé záväzky z obchodného styku (479A)</t>
  </si>
  <si>
    <t>010</t>
  </si>
  <si>
    <t>Other social insurance</t>
  </si>
  <si>
    <t>Sole proprietor's social security expenses</t>
  </si>
  <si>
    <t>Legal social security expenses</t>
  </si>
  <si>
    <t>Zákonné sociálne náklady</t>
  </si>
  <si>
    <t>Other social security expenses</t>
  </si>
  <si>
    <t>Ostatné sociálne náklady</t>
  </si>
  <si>
    <t>53x</t>
  </si>
  <si>
    <t>Taxes and fees</t>
  </si>
  <si>
    <t>Internal accounting</t>
  </si>
  <si>
    <t>Linking account for association</t>
  </si>
  <si>
    <t>Spojovací účet pri združení</t>
  </si>
  <si>
    <t>398A1</t>
  </si>
  <si>
    <t>Spojovací účet pri združení - pohľadávky</t>
  </si>
  <si>
    <t>398A2</t>
  </si>
  <si>
    <t>Spojovací účet pri združení - záväzky</t>
  </si>
  <si>
    <t>Acquired cash and cash equivalents (259,314A) - 291</t>
  </si>
  <si>
    <t>Poskytnuté preddavky na finanćné investície- dlhodobé</t>
  </si>
  <si>
    <t>Poskytnuté preddavky na finanćné investície- krátkodobé</t>
  </si>
  <si>
    <t>Sonstige langfristige Wertpapiere des Anlagevermögens (063, 065) -096A</t>
  </si>
  <si>
    <t>Capitalisation of materials and merchandise</t>
  </si>
  <si>
    <t>Korektur</t>
  </si>
  <si>
    <t>VorJahr</t>
  </si>
  <si>
    <t>Zeile</t>
  </si>
  <si>
    <t>Ausstehende Einlagen auf gezeichnetes Kapital (353)</t>
  </si>
  <si>
    <t>Výsledkové kurzové rozdiely vyčíslené na konci účtovného obdobia (k 31.12.)</t>
  </si>
  <si>
    <t>Zmena stavu peňažných prostriedkov a peňažných ekvivalentov (+/-)</t>
  </si>
  <si>
    <t>Stav peňažných prostriedkov a peňažných ekvivalentov na začiatku účtovného obdobia (k 1.1.)</t>
  </si>
  <si>
    <t>Zostatok peňažných prostriedkov a peňažných ekvivalentov na konci účtovného obdobia (k 31.12.)</t>
  </si>
  <si>
    <t>Current liabilities total (l. 103 to 111)</t>
  </si>
  <si>
    <t>Bank loans and borrowings  total  (l. 113 to 115)</t>
  </si>
  <si>
    <t>Accruals and deferred income total (l. 117+118)</t>
  </si>
  <si>
    <t>Control total  total (l. 065 to 118)</t>
  </si>
  <si>
    <t>Bonds and debentures issued (473A /-/255A)</t>
  </si>
  <si>
    <t>Income from damages</t>
  </si>
  <si>
    <t>Zúčtovanie komplexných nákladov budúcich období</t>
  </si>
  <si>
    <t>Langfristige Verbindlichkeiten aus Lieferungen und Leistungen  (479A)</t>
  </si>
  <si>
    <t>Nicht in Rechnung gestellte Lieferungen (476A)</t>
  </si>
  <si>
    <t>Langfristige Verbindlichkeiten gegenüber verbundene Unternehmen (471A)</t>
  </si>
  <si>
    <t>391A9</t>
  </si>
  <si>
    <t>Opravná položka k pohľadávkam zo sociálneho zabezpečenia</t>
  </si>
  <si>
    <t>Change in work-in-progress</t>
  </si>
  <si>
    <t>Zmena stavu nedokončenej výroby</t>
  </si>
  <si>
    <t>Change in semi-finished products inventory</t>
  </si>
  <si>
    <t>Ausleihungen an verbundene Unternehmen (066) -096A</t>
  </si>
  <si>
    <t>Adjustments to other receivable - short-term</t>
  </si>
  <si>
    <t>Adjustments to other receivable - long-term</t>
  </si>
  <si>
    <t xml:space="preserve">Adjustments to tax receivable </t>
  </si>
  <si>
    <t>Adjustments to receivable from social security institutions</t>
  </si>
  <si>
    <t>Linking account for association - receivables</t>
  </si>
  <si>
    <t>Výnosy z precenenia cenných papierov a výnosy z derivátových operácií (664,667)</t>
  </si>
  <si>
    <t>M.</t>
  </si>
  <si>
    <t xml:space="preserve">Nákladové úroky (562)                                            </t>
  </si>
  <si>
    <t>Kurzové zisky (663)</t>
  </si>
  <si>
    <t>Kurzové straty (563)</t>
  </si>
  <si>
    <t xml:space="preserve">Ostatné výnosy z finančnej činnosti (668)                               </t>
  </si>
  <si>
    <t>R.</t>
  </si>
  <si>
    <t xml:space="preserve">Prevod finančných výnosov (-) (698)                         </t>
  </si>
  <si>
    <t>52</t>
  </si>
  <si>
    <t>53</t>
  </si>
  <si>
    <t>55</t>
  </si>
  <si>
    <t>56</t>
  </si>
  <si>
    <t xml:space="preserve">Mimoriadne výnosy (účtová skupina 68)                                 </t>
  </si>
  <si>
    <t xml:space="preserve">Mimoriadne náklady (účtová skupina 58)                                </t>
  </si>
  <si>
    <t>Legal reserve (non-distributable) from capital deposits (417, 418)</t>
  </si>
  <si>
    <t>Legal reserve (421)</t>
  </si>
  <si>
    <t>Non-distributable reserve (422)</t>
  </si>
  <si>
    <t>Záväzky voči inštitúciam sociálneho zabezpečenia</t>
  </si>
  <si>
    <t>34x</t>
  </si>
  <si>
    <t>Taxes and subsidies receivable and payable</t>
  </si>
  <si>
    <t>Zúčtovanie daní a dotácií</t>
  </si>
  <si>
    <t>Income taxes</t>
  </si>
  <si>
    <t>Daň z príjmov</t>
  </si>
  <si>
    <t>341A1</t>
  </si>
  <si>
    <t>Income taxes - tax receivable</t>
  </si>
  <si>
    <t>Daň z príjmov - daňová pohľadávka</t>
  </si>
  <si>
    <t xml:space="preserve"> Written record of member of entity's statutory body or private person, which is legal entity:</t>
  </si>
  <si>
    <t>Written record of member of entity responsible for preparation of financial statement:</t>
  </si>
  <si>
    <t>Written record of member of entity responsible for accounting:</t>
  </si>
  <si>
    <t>Bilanz Úč POD 1 - 01</t>
  </si>
  <si>
    <t>Sundry receivables and payables</t>
  </si>
  <si>
    <t>371A1</t>
  </si>
  <si>
    <t>Auftragsfertigung mit der voraussichtlichen Laufzeit von über 1  Jahr 12X-192A</t>
  </si>
  <si>
    <t xml:space="preserve">Extraordinary revenues (acc. group 68)                                 </t>
  </si>
  <si>
    <t xml:space="preserve">Tržby z predaja cenných papierov a podielov (661)                 </t>
  </si>
  <si>
    <t>Dlhodobý nehmotný majetok</t>
  </si>
  <si>
    <t>Dlhodobý majetok</t>
  </si>
  <si>
    <t>Zriaďovacie náklady</t>
  </si>
  <si>
    <t>Goodwill</t>
  </si>
  <si>
    <t>Ostatný dlhodobý nehmotný majetok</t>
  </si>
  <si>
    <t>Dlhodobý hmotný majetok - odpisovaný</t>
  </si>
  <si>
    <t>Opravná položka k poskytnutým preddavkom na dlhodobý majetok</t>
  </si>
  <si>
    <t>Opravná položka k dlhodobému finančnému majetku</t>
  </si>
  <si>
    <t>Polotovary vlastnej výroby</t>
  </si>
  <si>
    <t>Opravná položka k polotovarom vlastnej výroby</t>
  </si>
  <si>
    <t>Vydané krátkodobé dlhopisy</t>
  </si>
  <si>
    <t>Majetkové cenné papiere na obchodovanie</t>
  </si>
  <si>
    <t>Vlastné akcie a vlastné obchodné podiely</t>
  </si>
  <si>
    <t>Dlhové cenné papiere na obchodovanie</t>
  </si>
  <si>
    <t>Dlhové cenné papiere so splatnosťou do jedného roka držané do splatnosti</t>
  </si>
  <si>
    <t>Ostatné realizovateľné cenné papiere</t>
  </si>
  <si>
    <t>Pohľadávky za eskontované cenné papiere</t>
  </si>
  <si>
    <t>Poskytnuté preddavky</t>
  </si>
  <si>
    <t>Short-term reserves</t>
  </si>
  <si>
    <t>Krátkodobé rezervy</t>
  </si>
  <si>
    <r>
      <t xml:space="preserve">Zmena stavu prechodných účtov </t>
    </r>
    <r>
      <rPr>
        <u/>
        <sz val="8"/>
        <rFont val="Arial"/>
        <family val="2"/>
      </rPr>
      <t>pasív</t>
    </r>
    <r>
      <rPr>
        <sz val="8"/>
        <rFont val="Arial"/>
        <family val="2"/>
      </rPr>
      <t xml:space="preserve"> (okrem prechodných položiek týkajúcich sa úrokov, kurzových rozdielov pasívnych pri pohľadávkach a záväzkoch z predaja a obstarania investičného majetku v cudzej mene a mimoriadnych nákladov a výnosov) (+/-)</t>
    </r>
  </si>
  <si>
    <t>Kurzove rozdiely (nerealizované) k prechodným učtom pasiv</t>
  </si>
  <si>
    <t>preliminary</t>
  </si>
  <si>
    <t>Sonstige langfristige Rückstellungen (459A, 45XA)</t>
  </si>
  <si>
    <t>Kurzfristige Rückstellungen (323, 32X, 451A, 459A, 45XA)</t>
  </si>
  <si>
    <t>Tovar na ceste</t>
  </si>
  <si>
    <t>19x</t>
  </si>
  <si>
    <t>Adjustments to inventory</t>
  </si>
  <si>
    <t>Opravné položky k zásobám</t>
  </si>
  <si>
    <t>Adjustments to materials</t>
  </si>
  <si>
    <t>Opravná položka k materiálu</t>
  </si>
  <si>
    <t>Adjustments to work-in-progress</t>
  </si>
  <si>
    <t>Opravná položka k nedokončenej výrobe</t>
  </si>
  <si>
    <t>Opravná položka k samostatným hnuteľným veciam  a súborom hnuteľných vecí</t>
  </si>
  <si>
    <t>314A3</t>
  </si>
  <si>
    <t>066</t>
  </si>
  <si>
    <t>Intercompany loans</t>
  </si>
  <si>
    <t>067</t>
  </si>
  <si>
    <t>Other loans</t>
  </si>
  <si>
    <t>Ostatné pôžičky</t>
  </si>
  <si>
    <t>069</t>
  </si>
  <si>
    <t>Other financial investments</t>
  </si>
  <si>
    <t>07x</t>
  </si>
  <si>
    <t>Accumulated depreciation of intangible fixed assets</t>
  </si>
  <si>
    <t>071</t>
  </si>
  <si>
    <t>Accumulated depreciation of incorporation expenses</t>
  </si>
  <si>
    <t>072</t>
  </si>
  <si>
    <t>Sonstiges langfristigeSachanlagevermögen (029, 02x, 032) -/089, 08x, 092A/</t>
  </si>
  <si>
    <t>Sachanlagen im Bau (042) -094</t>
  </si>
  <si>
    <t>Geleistete Anzahlungen auf Sachanlagevermögen (052) -095A</t>
  </si>
  <si>
    <t xml:space="preserve">Erträge aus sonstigen langfristigen Finanzanlagen (665A)                  </t>
  </si>
  <si>
    <t xml:space="preserve">Erträge aus kurzfristigem Finanzanlagevermögen (666)                   </t>
  </si>
  <si>
    <t xml:space="preserve">Finanzerträge aus der Auflösung von Rückstellungen (566)                       </t>
  </si>
  <si>
    <t xml:space="preserve">Finanzaufwendungen aus der Bildung von Rückstellungen (664,667)                          </t>
  </si>
  <si>
    <t>Počiatočný stav</t>
  </si>
  <si>
    <t>Konečný stav</t>
  </si>
  <si>
    <t>Rozdiel</t>
  </si>
  <si>
    <t>Z.</t>
  </si>
  <si>
    <t xml:space="preserve">S. </t>
  </si>
  <si>
    <t>Strata</t>
  </si>
  <si>
    <t>A.1.</t>
  </si>
  <si>
    <t>Merchandise in transit</t>
  </si>
  <si>
    <t>Other tangible fixed assets (029, 02x, 032) -/089, 08x, 092A/</t>
  </si>
  <si>
    <t>Capital work in progress (042) -094</t>
  </si>
  <si>
    <t>Advance payments on account of tangible fixed assets (052) -095A</t>
  </si>
  <si>
    <t>Provision for acquired assets (+/-097) +/-098</t>
  </si>
  <si>
    <t>Accumulated depreciation of research and development</t>
  </si>
  <si>
    <t>073</t>
  </si>
  <si>
    <t>Accumulated depreciation of software</t>
  </si>
  <si>
    <t>074</t>
  </si>
  <si>
    <t>Accumulated depreciation of valuable rights</t>
  </si>
  <si>
    <t>Oprávky k oceniteľným právam</t>
  </si>
  <si>
    <t>078</t>
  </si>
  <si>
    <t>079</t>
  </si>
  <si>
    <t>Accumulated depreciation of other intangible fixed assets</t>
  </si>
  <si>
    <t>08x</t>
  </si>
  <si>
    <t>Accumulated depreciation of tangible fixed assets</t>
  </si>
  <si>
    <t>081</t>
  </si>
  <si>
    <t>082</t>
  </si>
  <si>
    <t>083</t>
  </si>
  <si>
    <t>084</t>
  </si>
  <si>
    <t>085</t>
  </si>
  <si>
    <t>Accumulated depreciation of perennial crops</t>
  </si>
  <si>
    <t>Oprávky k pestovateľkým celkom trvalých porastov</t>
  </si>
  <si>
    <t>086</t>
  </si>
  <si>
    <t>Accumulated depreciation of breeding and draught animals</t>
  </si>
  <si>
    <t>088</t>
  </si>
  <si>
    <t>12</t>
  </si>
  <si>
    <t>13</t>
  </si>
  <si>
    <t>14</t>
  </si>
  <si>
    <t>15</t>
  </si>
  <si>
    <t>Loans with maturity up to one year
(066A, 067A, 06XA)
- 096A</t>
  </si>
  <si>
    <t>Non-current financial assets in the course of acquisition
(043) - 096A</t>
  </si>
  <si>
    <t>Advance payments on account of non-current financial investments
(053) - 095A</t>
  </si>
  <si>
    <t>Current assets
l. 033 + l. 041
+ l. 048 + l. 056</t>
  </si>
  <si>
    <t>Inventory total (l. 034 to 040)</t>
  </si>
  <si>
    <t>Other non-current liabilities (474A, 479A, 47xA, 372A, 373A,377A)</t>
  </si>
  <si>
    <t>A.III.</t>
  </si>
  <si>
    <t>A.IV.</t>
  </si>
  <si>
    <t>A.V.</t>
  </si>
  <si>
    <t>B.IV.</t>
  </si>
  <si>
    <t>Bežné úč. obd.</t>
  </si>
  <si>
    <t>Aktivované náklady na vývoj  (012) -/072,091A/</t>
  </si>
  <si>
    <t>year ended :</t>
  </si>
  <si>
    <t>XIV</t>
  </si>
  <si>
    <t>+</t>
  </si>
  <si>
    <t>***</t>
  </si>
  <si>
    <t>Gross value</t>
  </si>
  <si>
    <t>Adujstment</t>
  </si>
  <si>
    <t>Receivables for subscribed share capital (353)</t>
  </si>
  <si>
    <t>Non-current assets l. 004+013+023</t>
  </si>
  <si>
    <t>Opravná položka k aktivovaným nákladom na vývoj</t>
  </si>
  <si>
    <t>091A6</t>
  </si>
  <si>
    <t>Adjustments to goodwill</t>
  </si>
  <si>
    <t>Opravná položka ku goodwillu</t>
  </si>
  <si>
    <t>Current liabilities  total (l. 103 to 111)</t>
  </si>
  <si>
    <t>Trade liabilities
(321, 322, 324, 325, 32X, 475A, 478A, 479A, 47XA)</t>
  </si>
  <si>
    <t>Current liabilities to subsidiary and controlling enterprise (361A, 471A)</t>
  </si>
  <si>
    <t>Other liabilities within consolidation group
(361A, 36XA, 471A, 47XA)</t>
  </si>
  <si>
    <t>Liabilities to employees (331, 333, 33X, 479A)</t>
  </si>
  <si>
    <t>Social security insurance payable (336, 479A)</t>
  </si>
  <si>
    <t>Tax liabilities and subsidies payable
(341, 342, 343, 345, 346, 347, 34X)</t>
  </si>
  <si>
    <t>Other liabilities
(372A, 373A, 377A, 379A, 474A, 479A, 47X)</t>
  </si>
  <si>
    <t>Bank loans and borrowings total (l. 113 to 115)</t>
  </si>
  <si>
    <t>Livestock (124) –195</t>
  </si>
  <si>
    <t xml:space="preserve">Tržby z predaja dlhodobého majetku a materiálu (641,642)      </t>
  </si>
  <si>
    <t>Zostatková cena predaného dlhodobého majetku a predaného materiálu (541,542)</t>
  </si>
  <si>
    <t xml:space="preserve">Prevod výnosov z hospodárskej činnosti  (-) (697)                         </t>
  </si>
  <si>
    <t xml:space="preserve">Prevod nákladov na hospodársku činnosť  (-) (597)                         </t>
  </si>
  <si>
    <t>Výnosy z ostatných dlhodobých cenných papierov a podielov (665A)</t>
  </si>
  <si>
    <t>Adjustments to receivables</t>
  </si>
  <si>
    <t>Opravná položka k pohľadávkam</t>
  </si>
  <si>
    <t>391A1</t>
  </si>
  <si>
    <t>Adjustments to advances provided for inventory</t>
  </si>
  <si>
    <t>Opravná položka k poskytnutým preddavkom na zásoby</t>
  </si>
  <si>
    <t>391A2</t>
  </si>
  <si>
    <t>Legal reserve fund  (421)</t>
  </si>
  <si>
    <t>Non-distributable fund (422)</t>
  </si>
  <si>
    <t>Statutory and other funds (423, 427, 42x)</t>
  </si>
  <si>
    <t>Retained earnings l. 083+084</t>
  </si>
  <si>
    <t>Retained profits from previous years (428)</t>
  </si>
  <si>
    <t xml:space="preserve">Výnosy z cenných papierov a podielov v dcérskej účtovnej jednotke a v spoločnosti s podstatným vplyvom </t>
  </si>
  <si>
    <t>Výdavky nájomcu vzťahujúce sa na finančný prenájom (lízing) majetku (-)</t>
  </si>
  <si>
    <t>D.2.</t>
  </si>
  <si>
    <t>Peňažné toky v oblasti vlastného imania</t>
  </si>
  <si>
    <t>D.2.1.</t>
  </si>
  <si>
    <t>Príjmy s upísaných cenných papierov a vkladov (+)</t>
  </si>
  <si>
    <t>D.2.2.</t>
  </si>
  <si>
    <t>Príjmy z rôznych ďalších vkladov do vlastného imania od majiteľov účtovnej jednotky (+)</t>
  </si>
  <si>
    <t>D.2.3.</t>
  </si>
  <si>
    <t>030</t>
  </si>
  <si>
    <t>Výrobky (123) –194</t>
  </si>
  <si>
    <t>Zvieratá (124) –195</t>
  </si>
  <si>
    <t>033</t>
  </si>
  <si>
    <t>034</t>
  </si>
  <si>
    <t>Poskytnuté preddavky na zásoby (314A) -391A</t>
  </si>
  <si>
    <t>035</t>
  </si>
  <si>
    <t>036</t>
  </si>
  <si>
    <t>037</t>
  </si>
  <si>
    <t>038</t>
  </si>
  <si>
    <t>039</t>
  </si>
  <si>
    <t>358A2</t>
  </si>
  <si>
    <t>36x</t>
  </si>
  <si>
    <t>Payables to partners and participants in association</t>
  </si>
  <si>
    <t>Záväzky voči spoločníkom a združeniu</t>
  </si>
  <si>
    <t>Intercompany payables</t>
  </si>
  <si>
    <t>361A1</t>
  </si>
  <si>
    <t xml:space="preserve">Sales of own products and services (601,602)          </t>
  </si>
  <si>
    <t xml:space="preserve">Change in inventory of finished goods and work in progress  (+/- acc. group 61)           </t>
  </si>
  <si>
    <t xml:space="preserve">Own work capitalised (acc. group 62)                                          </t>
  </si>
  <si>
    <t xml:space="preserve">Production costs  l.09+10                                     </t>
  </si>
  <si>
    <t>Linking account for association - payables</t>
  </si>
  <si>
    <t>Gains or losses from revaluation by merger or separation</t>
  </si>
  <si>
    <t>Legal reserve fund from capital funds</t>
  </si>
  <si>
    <t>Indivisible fund from capital funds</t>
  </si>
  <si>
    <t>Changes in registered capital</t>
  </si>
  <si>
    <t>Revenues from derivative operations</t>
  </si>
  <si>
    <t>Revenues from revaluation of securities</t>
  </si>
  <si>
    <t>Shortages and damages on financial investments</t>
  </si>
  <si>
    <t>Shortages and damages</t>
  </si>
  <si>
    <t>Expenses for revaluation of securities</t>
  </si>
  <si>
    <t>Expenses for short-term financial expenses</t>
  </si>
  <si>
    <t>Expenses for derivative operations</t>
  </si>
  <si>
    <t>Pohľadávky z predaja podniku</t>
  </si>
  <si>
    <t>Záväzky z kúpy podniku</t>
  </si>
  <si>
    <t>Prior period
5</t>
  </si>
  <si>
    <t>TOTAL LIABILITIES AND EQUITY
l. 066 + 086 + 116</t>
  </si>
  <si>
    <t>Equity l. 067+ 071+ 078 + 082+ 085</t>
  </si>
  <si>
    <t>Share capital total (l. 068 to 070)</t>
  </si>
  <si>
    <t>Ostatné výnosy z hospodárskej činnosti (644,645,646,648,655,657)</t>
  </si>
  <si>
    <t>Loans for discounted securities</t>
  </si>
  <si>
    <t>Eskontné úvery</t>
  </si>
  <si>
    <t>24x</t>
  </si>
  <si>
    <t>Sundry short-term financial assistance</t>
  </si>
  <si>
    <t>Iné krátkodobé finančné výpomoci</t>
  </si>
  <si>
    <t>Issued short-term bonds</t>
  </si>
  <si>
    <t>Other short-term financial assistance</t>
  </si>
  <si>
    <t>665A2</t>
  </si>
  <si>
    <t>Revenues from other investments (shares, participant interests)</t>
  </si>
  <si>
    <t>665A3</t>
  </si>
  <si>
    <t>Revenues from other financial investments</t>
  </si>
  <si>
    <t>Revenues from short-term financial assets</t>
  </si>
  <si>
    <t>Výnosy z krátkodobého finančného majetku</t>
  </si>
  <si>
    <t>Other financial revenues</t>
  </si>
  <si>
    <t>Ostatné finančné výnosy</t>
  </si>
  <si>
    <t>68x</t>
  </si>
  <si>
    <t>Intercompany payables to companies with controlling influence - short-term</t>
  </si>
  <si>
    <t>Intercompany  payables to companies with substantial influence - long-term</t>
  </si>
  <si>
    <t>B.6.4.</t>
  </si>
  <si>
    <t>B.6.5.</t>
  </si>
  <si>
    <t>Oprávky k dlhodobému nehmotnému majetku</t>
  </si>
  <si>
    <t>Oprávky k zriaďovacím nákladom</t>
  </si>
  <si>
    <t>Oprávky k softvéru</t>
  </si>
  <si>
    <t>Softvér</t>
  </si>
  <si>
    <t>Oprávky k dlhodobému hmotnému majetku</t>
  </si>
  <si>
    <t>Opravné položky k dlhodobému majetku</t>
  </si>
  <si>
    <t>Opravná položka k softvéru</t>
  </si>
  <si>
    <t>Opravná položka k poskytnutým preddavkom na dlhodobý nehmotný majetok</t>
  </si>
  <si>
    <t>Opravná položka k poskytnutým preddavkom na dlhodobý hmotný majetok</t>
  </si>
  <si>
    <t>Opravná položka k podielovým cenným papierom a vkladom v ovládanej osobe</t>
  </si>
  <si>
    <t>B.IV.1.</t>
  </si>
  <si>
    <t>Krátkodobé finančné výpomoci
(241, 249, 24X, 473A,/-/255A)</t>
  </si>
  <si>
    <t>C.1.</t>
  </si>
  <si>
    <t>Skutočnosť</t>
  </si>
  <si>
    <t>Text
b</t>
  </si>
  <si>
    <t>bežné účtovné obdobie
1</t>
  </si>
  <si>
    <t>bezprostredne predchádzajúce
účtovné obdobie
2</t>
  </si>
  <si>
    <t xml:space="preserve">     I.</t>
  </si>
  <si>
    <t>A .</t>
  </si>
  <si>
    <t>Obchodná marža r. 01 - r. 02</t>
  </si>
  <si>
    <t xml:space="preserve">     II.</t>
  </si>
  <si>
    <t>Výroba r. 05 + r. 06 + r. 07</t>
  </si>
  <si>
    <t>II.1.</t>
  </si>
  <si>
    <t>Forderungen gegen verbundene Unternehmen (351A) -391A</t>
  </si>
  <si>
    <t>Sonstige Forderungen innerhalb des Konsolidierungskreises (351A) -391A</t>
  </si>
  <si>
    <t>Forderungen gegen Gesellschafter, Mitglieder und der Vereinigung (354A, 355A, 358A, 35XA) –391A</t>
  </si>
  <si>
    <t>Sonstige Forderungen (335A, 33XA, 371A, 373A, 374A, 375A, 376A, 378A) -391A</t>
  </si>
  <si>
    <t>Kurzfristige Forderungen (Z. 049 bis 055)</t>
  </si>
  <si>
    <t>Forderungen aus Lieferungen und Leistungen (311A, 312A, 313A, 314A, 315A, 31XA) -391A</t>
  </si>
  <si>
    <t>H.</t>
  </si>
  <si>
    <t>Kontrolný riadok</t>
  </si>
  <si>
    <t>Dlhodobé pohľadávky</t>
  </si>
  <si>
    <t>Krátkodobé pohľadávky</t>
  </si>
  <si>
    <t>Peňažné prostriedky</t>
  </si>
  <si>
    <t>Kapitálové fondy</t>
  </si>
  <si>
    <t>Fondy zo zisku</t>
  </si>
  <si>
    <t>HV minulých období</t>
  </si>
  <si>
    <t>HV bežného obdobia</t>
  </si>
  <si>
    <t>Krátkodobé záväzky</t>
  </si>
  <si>
    <t>Úvery</t>
  </si>
  <si>
    <t>041, 051</t>
  </si>
  <si>
    <t>042, 052</t>
  </si>
  <si>
    <t>043, 055</t>
  </si>
  <si>
    <t>Časové rozlíšenie úrokov</t>
  </si>
  <si>
    <t>Časové rozlíšenie spolu</t>
  </si>
  <si>
    <t>Daň z príjmov - záväzok</t>
  </si>
  <si>
    <t>Daň z príjmov - pohľadávka</t>
  </si>
  <si>
    <t>HV z mimoriadnej činnosti</t>
  </si>
  <si>
    <t>Zisk z bežnej činnosti pred zdanenim</t>
  </si>
  <si>
    <t>Status</t>
  </si>
  <si>
    <t>CASH FLOW</t>
  </si>
  <si>
    <t>Obstarávaný dlhodobý hmotný  majetok (042) - 094</t>
  </si>
  <si>
    <t>Zmeny stavu vnútroorganizačných zásob
(+/- účtová skupina 61)</t>
  </si>
  <si>
    <t>Aktivácia (účtovná skupina 62)</t>
  </si>
  <si>
    <t>Výrobná spotreba r. 09 + r. 10</t>
  </si>
  <si>
    <t>Spotreba materiálu, energie a ostatných
neskladovateľných dodávok (501, 502, 503, 505A)</t>
  </si>
  <si>
    <t xml:space="preserve">   2.</t>
  </si>
  <si>
    <t>Služby (účtová skupina 51)</t>
  </si>
  <si>
    <t>Pridaná hodnota r. 03 + r. 04 - r. 08</t>
  </si>
  <si>
    <t>Osobné náklady súčet (r. 13 až 16)</t>
  </si>
  <si>
    <t>Mzdové náklady (521, 522)</t>
  </si>
  <si>
    <t>Odmeny členom orgánov spoločnosti a družstva (523)</t>
  </si>
  <si>
    <t xml:space="preserve">   3.</t>
  </si>
  <si>
    <t>Štatutárne a ostatné fondy (423,427,42X)</t>
  </si>
  <si>
    <t>087</t>
  </si>
  <si>
    <t>Emmitierte Schuldverschreibungen (473A, /-/255A)</t>
  </si>
  <si>
    <t>Langfristige Wechsel zur Einlösung (478A)</t>
  </si>
  <si>
    <t>Verbindlichkeiten aus Sozialfonds (472)</t>
  </si>
  <si>
    <t>Sonstige langfristige Verbindlichkeiten (474A,479A,47XA,372A,373A,377A)</t>
  </si>
  <si>
    <t xml:space="preserve"> Latente Steuerverbindlichkeit (481A)</t>
  </si>
  <si>
    <t>Verbindlichkeiten gegenüber Gesellschaftern, Mitgliedern und der Vereinigung (364, 365, 366, 367, 368, 398A, 478A, 479A)</t>
  </si>
  <si>
    <t>Intercompany payables to companies with controlling influence - long-term</t>
  </si>
  <si>
    <t>Poskytnuté prevádzkové preddavky - dlhodobé</t>
  </si>
  <si>
    <t>Ostatné pohľadávky - krátkodobé</t>
  </si>
  <si>
    <t>Ostatné pohľadávky - dlhodobé</t>
  </si>
  <si>
    <t>Construction type contracts with maturity over one year 12x-192A</t>
  </si>
  <si>
    <t>Non-current uninvoiced supplies (476A)</t>
  </si>
  <si>
    <t>Current uninvoiced supplies (326, 476A)</t>
  </si>
  <si>
    <t>Term deposits over one year 22xA</t>
  </si>
  <si>
    <t>Short term financial assets (251, 253, 256, 257, 25x) -/291, 29x/</t>
  </si>
  <si>
    <t>Prepaid expenses (381, 382)</t>
  </si>
  <si>
    <t>Accrued income  (385)</t>
  </si>
  <si>
    <t>Control  total - l. 001 to 064</t>
  </si>
  <si>
    <t>Total assets l. 02+03+32+62</t>
  </si>
  <si>
    <t>Equity -  l. 067+071+078+082+085</t>
  </si>
  <si>
    <t>Base capital  (411 or +/-491)</t>
  </si>
  <si>
    <t>Treasury shares (/-/252)</t>
  </si>
  <si>
    <t xml:space="preserve">Erträge aus Finanzanlagen Z. 33+34+35                    </t>
  </si>
  <si>
    <t xml:space="preserve">Erträge aus Wertpapieren und Einlagen in verbundenen Unternehmen (665A) </t>
  </si>
  <si>
    <t>Erträge aus sonstigen langfristigen Anlagewertpapieren und Einlagen (665A)</t>
  </si>
  <si>
    <t>Other receivables within consolidation group (351A) - 391A</t>
  </si>
  <si>
    <t>Intangible fixed assets  total (l. 005 to 012)</t>
  </si>
  <si>
    <t>Tangible fixed assets  total (l.014 to 022)</t>
  </si>
  <si>
    <t>Financial investments  total (l.024 to 031)</t>
  </si>
  <si>
    <t>Current receivables  total (l. 049 to 055)</t>
  </si>
  <si>
    <t>Cash and cash equivalents - total (l. 057 to 061)</t>
  </si>
  <si>
    <t>Accruals and prepayments -  total (l. 063 to 064)</t>
  </si>
  <si>
    <t>Share capital total  (l. 068+070)</t>
  </si>
  <si>
    <t>Capital funds total (l. 072 to 077)</t>
  </si>
  <si>
    <t>Funds from profit total  (l. 079 to 081)</t>
  </si>
  <si>
    <t>Non-current liabilities total (l. 092 to 101)</t>
  </si>
  <si>
    <t>Liabilities to subsidiaries and controlling enterprises (471A)</t>
  </si>
  <si>
    <t>Non-current liabilities to subsidiaries and controlling enterprises (361, 471A)</t>
  </si>
  <si>
    <t>Non-current tangible assets under construction
(042) - 094</t>
  </si>
  <si>
    <t>Advance payments on account of non-current tangible assets
(052) - 095A</t>
  </si>
  <si>
    <t>Provision for acquired assets
(+/- 097) +/- 098</t>
  </si>
  <si>
    <t>Non-current financial assets (investments)  total (l. 024 to 031)</t>
  </si>
  <si>
    <t>Shares and ownership interest in subsidiaries
(061) - 096A</t>
  </si>
  <si>
    <t>Shares and ownership interest in associates
(062) - 096A</t>
  </si>
  <si>
    <t>Other non-curernt securities and ownership interests
(063, 065) - 096A</t>
  </si>
  <si>
    <t>Temporary accounts of assets and liabilities</t>
  </si>
  <si>
    <t>Deferred expenses</t>
  </si>
  <si>
    <t>Náklady budúcich období</t>
  </si>
  <si>
    <t>Complex deferred expenses</t>
  </si>
  <si>
    <t>361A2</t>
  </si>
  <si>
    <t>Profit share payable to partners</t>
  </si>
  <si>
    <t>Other amounts payable to partners</t>
  </si>
  <si>
    <t>Payables to partners and co-operative members for their dependent activities</t>
  </si>
  <si>
    <t>Payables for unpaid subscribed shares and participations</t>
  </si>
  <si>
    <t>Payables to participants in an association</t>
  </si>
  <si>
    <t>Záväzky voči účastníkom združenia</t>
  </si>
  <si>
    <t>37x</t>
  </si>
  <si>
    <t>Prevod nákladov na hospodársku činnosť</t>
  </si>
  <si>
    <t>Change of base capital +/-419</t>
  </si>
  <si>
    <t>Share premium (412)</t>
  </si>
  <si>
    <t>Other capital funds (413)</t>
  </si>
  <si>
    <t>Legal reserve fund (non-distributable fund) from capital deposits (417, 418)</t>
  </si>
  <si>
    <t>Revaluation reserve for assets and liabilities(+/-414)</t>
  </si>
  <si>
    <t>Revaluation reserve for equity investments  (+/-415)</t>
  </si>
  <si>
    <t>Revaluation reserve for merger and split (+/-416)</t>
  </si>
  <si>
    <t>Adjustments to realisable securities and shares</t>
  </si>
  <si>
    <t>Adjustments to debt securities held to maturity</t>
  </si>
  <si>
    <t>Obežný majetok
r. 032+r. 040
+ r. 047 + r. 055</t>
  </si>
  <si>
    <t>Zásoby
súčet (r. 033 až
039)</t>
  </si>
  <si>
    <t>Dlhodobé
pohľadávky
súčet (r. 041 až
046)</t>
  </si>
  <si>
    <t>Krátkodobé
pohľadávky
súčet (r. 048 až
054)</t>
  </si>
  <si>
    <t>Náklady budúcich
období dlhodobé
(381, 382)</t>
  </si>
  <si>
    <t>Náklady budúcich
období krátkodobé
(381, 382)</t>
  </si>
  <si>
    <t>Príjmy budúcich
období dlhodobé
(385)</t>
  </si>
  <si>
    <t>Príjmy budúcich
období krátkodobé
(385)</t>
  </si>
  <si>
    <t>Časové rozlíšenie
r. 062 a r. 065</t>
  </si>
  <si>
    <t>Pohľadávky za upísané vlastné imanie (/-/353)</t>
  </si>
  <si>
    <t>SPOLU VLASTNÉ IMANIE A ZÁVÄZKY
r. 067 + r. 088 + r. 119</t>
  </si>
  <si>
    <t>Vlastné imanie r. 068+r. 073+r. 080+r. 084+r. 087</t>
  </si>
  <si>
    <t>Základné imanie súčet (r. 069 až 072)</t>
  </si>
  <si>
    <t>Kapitálové fondy súčet (r. 074 až 079)</t>
  </si>
  <si>
    <t>Fondy zo zisku súčet (r. 081 až r. 083)</t>
  </si>
  <si>
    <t>Výsledok hospodárenia minulých rokov r. 085 + r. 086</t>
  </si>
  <si>
    <t>Ostatné výnosy z hospodárskej činnosti
(644, 645, 646, 648, 657)</t>
  </si>
  <si>
    <t xml:space="preserve">    V.</t>
  </si>
  <si>
    <t>Prevod výnosov z hospodárskej činnosti (-)(697)</t>
  </si>
  <si>
    <t>Oprávky k ostatnému dlhodobému hmotnému majetku</t>
  </si>
  <si>
    <t>Opravná položka k dlhodobému nehmotnému majetku</t>
  </si>
  <si>
    <t>Opravná položka k dlhodobému hmotnému majetku</t>
  </si>
  <si>
    <t>Opravná položka k nedokončenému dlhodobému nehmotnému majetku</t>
  </si>
  <si>
    <t>Opravná položka k nedokončenému dlhodobému hmotnému majetku</t>
  </si>
  <si>
    <t>Year ended :</t>
  </si>
  <si>
    <t>Podielové cenné
papiere a podiely
v spoločnosti s
podstatným vplyvom
(062) - 096A</t>
  </si>
  <si>
    <t>Ostatné dlhodobé
cenné papiere a
podiely
(063, 065) - 096A</t>
  </si>
  <si>
    <t>Pôžičky účtovnej
jednotke
v konsolidovanom
celku
(066A) - 096A</t>
  </si>
  <si>
    <t>Ostatný dlhodobý
finančný majetok
(067A, 069, 06XA)
- 096A</t>
  </si>
  <si>
    <t>Pôžičky s dobou
splatnosti najviac
jeden rok
(066A, 067A, 06XA)
- 096A</t>
  </si>
  <si>
    <t>Obstarávaný
dlhodobý finančný
majetok
(043) - 096A</t>
  </si>
  <si>
    <t>Poskytnuté
preddavky
na dlhodobý
finančný majetok
(053) - 095A</t>
  </si>
  <si>
    <t>Výdavky na vyplatenie podielu na vlastnom imaní (spoločníkov, akcionárov, členov družstva) (-)</t>
  </si>
  <si>
    <t>D.2.6.</t>
  </si>
  <si>
    <t>Výdavky spojené so znížením fondov, ktoré sú súčasťou vlastného imania (-)</t>
  </si>
  <si>
    <t>D.3.</t>
  </si>
  <si>
    <t>D.3.1.</t>
  </si>
  <si>
    <t>Vyplatenie vlastného imania spoločníkom</t>
  </si>
  <si>
    <t>D.4</t>
  </si>
  <si>
    <t>Alternatívne vykazované položky (súčet D.4.1. až. D.4.6.)</t>
  </si>
  <si>
    <t>D.4.1.</t>
  </si>
  <si>
    <t>D.4.2.</t>
  </si>
  <si>
    <t>Zaplatené úroky (okrem kapitalizovaných) (-)</t>
  </si>
  <si>
    <t>TOTAL ASSETS
l. 002 + l. 003
+ l. 032 + l. 062</t>
  </si>
  <si>
    <t>Receivables for subscribed share capital
(353)</t>
  </si>
  <si>
    <t>Non-current assets
l. 004 + l. 013
+ l. 023</t>
  </si>
  <si>
    <t>Non-current intangible assets  total (l. 005 to
012)</t>
  </si>
  <si>
    <t>Startup (Incorporation) expenses
(011) - /071, 091A/</t>
  </si>
  <si>
    <t>Research and development capitalised
(012) - /072, 091A/</t>
  </si>
  <si>
    <t>Software
(013) - /073, 091A/</t>
  </si>
  <si>
    <t>Valuable rights
(014) - /074, 091A/</t>
  </si>
  <si>
    <t>Opravná položka k podielovým cenným papierom a vkladom s podstatným vplyvom</t>
  </si>
  <si>
    <t>096A3</t>
  </si>
  <si>
    <t>at</t>
  </si>
  <si>
    <t>year</t>
  </si>
  <si>
    <t>Depreciation expense of intangible and tangible fixed assets</t>
  </si>
  <si>
    <t>Accounting for deferred expenses</t>
  </si>
  <si>
    <t>Ostatné dlhodobé rezervy (459A,45XA)</t>
  </si>
  <si>
    <t>090</t>
  </si>
  <si>
    <t>Realisable securities and shares</t>
  </si>
  <si>
    <t>Debt securities held to maturity</t>
  </si>
  <si>
    <t>Obstaranie krátkodobého finančného majetku</t>
  </si>
  <si>
    <t>Iné záväzky</t>
  </si>
  <si>
    <t>38x</t>
  </si>
  <si>
    <t>Prevod nákladov na hospodársku činnosť (-)(597)</t>
  </si>
  <si>
    <t xml:space="preserve">    VI.</t>
  </si>
  <si>
    <t>Tržby z predaja cenných papierov a podielov (661)</t>
  </si>
  <si>
    <t>I.</t>
  </si>
  <si>
    <t>Predané cenné papiere a podiely (561)</t>
  </si>
  <si>
    <t xml:space="preserve"> VII.</t>
  </si>
  <si>
    <t xml:space="preserve"> VII.1.</t>
  </si>
  <si>
    <t>Výnosy z cenných papierov a podielov v dcérskej účtovnej
jednotke a v spoločnosti s podstatným vplyvom (665A)</t>
  </si>
  <si>
    <t xml:space="preserve">      2.</t>
  </si>
  <si>
    <t>Výnosy z ostatných dlhodobých cenných papierov a
podielov (665A)</t>
  </si>
  <si>
    <t>30</t>
  </si>
  <si>
    <t xml:space="preserve">      3.</t>
  </si>
  <si>
    <t>Výnosy z ostatného dlhodobého finančného majetku (665A)</t>
  </si>
  <si>
    <t>31</t>
  </si>
  <si>
    <t xml:space="preserve"> VIII.</t>
  </si>
  <si>
    <t>Výnosy z krátkodobého finančného majetku (666)</t>
  </si>
  <si>
    <t>32</t>
  </si>
  <si>
    <t>J.</t>
  </si>
  <si>
    <t>Náklady na krátkodobý finančný majetok (566)</t>
  </si>
  <si>
    <t>33</t>
  </si>
  <si>
    <t xml:space="preserve">  IX .</t>
  </si>
  <si>
    <t>Ostatný dlhodobý hmotný majetok</t>
  </si>
  <si>
    <t>VIII</t>
  </si>
  <si>
    <t>K</t>
  </si>
  <si>
    <t>IX</t>
  </si>
  <si>
    <t>Payables from fixed derivative operations - short-term</t>
  </si>
  <si>
    <t>Payables from fixed derivative operations - long-term</t>
  </si>
  <si>
    <t>Receivables from rental</t>
  </si>
  <si>
    <t xml:space="preserve">Výnosy z dlhodobého finančného majetku r.30+r.31+r.312                   </t>
  </si>
  <si>
    <t>Zmenky na inkaso - dlhodobé</t>
  </si>
  <si>
    <t>Licences, know-how, copyright and other valuable rights (014) -/074, 091A/</t>
  </si>
  <si>
    <t>Goodwill (015) -/075, 091A/</t>
  </si>
  <si>
    <t>Other intangible assets (019, 01x) -/079, 07x, 091A/</t>
  </si>
  <si>
    <t>Intangible fixed assets not yet in use (041) –093</t>
  </si>
  <si>
    <t>Advance payments on account of intangible fixed assets (051) -095A</t>
  </si>
  <si>
    <t>Land (031) -092A</t>
  </si>
  <si>
    <t>Structures (021) -/081, 092A/</t>
  </si>
  <si>
    <t xml:space="preserve">Herstellung  Z. 05+06+07                                     </t>
  </si>
  <si>
    <t>Časové rozlíšenie nákladov a výnosov</t>
  </si>
  <si>
    <t>Ostatné kapitálové fondy</t>
  </si>
  <si>
    <t>Oceňovacie rozdiely z precenenia majetku a záväzkov</t>
  </si>
  <si>
    <t>Oceňovacie rozdiely z kapitálových účastín</t>
  </si>
  <si>
    <t>Zákonný rezervný fond z kapitálových vkladov</t>
  </si>
  <si>
    <t>Nedeliteľný fond z kapitálových vkladov</t>
  </si>
  <si>
    <t>Zmeny základného imania</t>
  </si>
  <si>
    <t xml:space="preserve">Ostatné pôžičky - s dobou splatnosti najviac jeden rok </t>
  </si>
  <si>
    <t>Ostatné pôžičky - ostatné</t>
  </si>
  <si>
    <t>Other loans - due into one year</t>
  </si>
  <si>
    <t>Intercompany loans - due into one year</t>
  </si>
  <si>
    <t>Other loans - others</t>
  </si>
  <si>
    <t>Accumulated depreciation of buildings</t>
  </si>
  <si>
    <t>Accumulated depreciation of individual tangible fixed assets  and complexes of tangible fixed assets</t>
  </si>
  <si>
    <t>Adjustment to individual tangible fixed assets  and complexes of tangible fixed assets</t>
  </si>
  <si>
    <t>Adjustments to buildings</t>
  </si>
  <si>
    <t>Adjustments to advances for financial investments</t>
  </si>
  <si>
    <t>391A3</t>
  </si>
  <si>
    <t>391A4</t>
  </si>
  <si>
    <t>391A5</t>
  </si>
  <si>
    <t>Verbindlichkeiten aus der Sozialversicherung (336, 479A)</t>
  </si>
  <si>
    <t>Non nicht berechnete kurzfristige Lieferungen (326, 476A)</t>
  </si>
  <si>
    <t>durchlaufende</t>
  </si>
  <si>
    <t>Sold options</t>
  </si>
  <si>
    <t>Sold options - short-term</t>
  </si>
  <si>
    <t>Sonstige Rücklagen (413)</t>
  </si>
  <si>
    <t>Bewertungsdifferenzen aus Vermögensumbewertung und Verbindlichkeit  (+/-414)</t>
  </si>
  <si>
    <t>Bewertungsdifferenzen aus Kapitalbeteiligungen (+/-415)</t>
  </si>
  <si>
    <t>Gesetzliche Rücklage (421)</t>
  </si>
  <si>
    <t>Unteilbarer Fonds (422)</t>
  </si>
  <si>
    <t>Satzungsmässige und sonstige Rücklagen (423, 427,42X)</t>
  </si>
  <si>
    <t>Gewinnvortrag aus Vorjahren (428)</t>
  </si>
  <si>
    <t>Verlustvortrag aus Vorjahren  (/-/429)</t>
  </si>
  <si>
    <t>Verbindlichkeiten Z. 087+091+102+112</t>
  </si>
  <si>
    <t>Gesetzliche Rückstellungen  (451A)</t>
  </si>
  <si>
    <t>Previous period</t>
  </si>
  <si>
    <t>096A10</t>
  </si>
  <si>
    <t>Fondy tvorené zo zisku a prevedené výsledky hospodárenia</t>
  </si>
  <si>
    <t>Výsledok hospodárenia</t>
  </si>
  <si>
    <t>Výsledok hospodárenia v schvaľovaní</t>
  </si>
  <si>
    <t>Dlhodobé záväzky v rámci konsolidovaného celku</t>
  </si>
  <si>
    <t>Vydané dlhopisy</t>
  </si>
  <si>
    <t>Dlhodobé nevyfakturované dodávky</t>
  </si>
  <si>
    <t>48x</t>
  </si>
  <si>
    <t>Odložený daňový záväzok a odložená daňová pohľadávka</t>
  </si>
  <si>
    <t>49x</t>
  </si>
  <si>
    <t>Fyzická osoba - podnikateľ</t>
  </si>
  <si>
    <t>Vlastné imanie fyzickej osoby - podnikateľa</t>
  </si>
  <si>
    <t>Príjmy spoločníkov a členov zo závislej činnosti</t>
  </si>
  <si>
    <t>Zákonné sociálne zabezpečenie</t>
  </si>
  <si>
    <t>391A6</t>
  </si>
  <si>
    <t>391A7</t>
  </si>
  <si>
    <t>391A8</t>
  </si>
  <si>
    <t xml:space="preserve">Wages and salaries (521,522)                                        </t>
  </si>
  <si>
    <t>Geleistete Anzahlungen auf langfristige Finanzanlagen (053) -095A</t>
  </si>
  <si>
    <t>Umlaufvermögen  Z. 033+041+048+056</t>
  </si>
  <si>
    <t>Roh-, Hilfs- und Betriebsstoffe (112,119,11x) -/191,19x/</t>
  </si>
  <si>
    <t>Unfertige Erzeugnisse, unfertige Leistungen (121,122,12x) -/192, 193, 19x/</t>
  </si>
  <si>
    <t>Fertige Erzeugnisse (123) –194</t>
  </si>
  <si>
    <t>I</t>
  </si>
  <si>
    <t>II</t>
  </si>
  <si>
    <t>391A13</t>
  </si>
  <si>
    <t>Aktiva gesamt Z. 002+003+032+062</t>
  </si>
  <si>
    <t xml:space="preserve">Výsledok hospodárenia z bežnej činnosti po zdanení r.47-r.48              </t>
  </si>
  <si>
    <t>S.1</t>
  </si>
  <si>
    <t>U.1</t>
  </si>
  <si>
    <t xml:space="preserve">Daň z príjmov z mimoriadnej činnosti r. 56+r.57                 </t>
  </si>
  <si>
    <t>Výsledok hospodárenia z mimoriadnej činnosti pred zdaneím r.52-r.53</t>
  </si>
  <si>
    <t>Výsledok hospodárenia z mimoriadnej činnosti po zdanení r.54-r.55</t>
  </si>
  <si>
    <t>Výsledok hospodárenia za účtovné obdobie pred zdanením (+/-) (r.47+r54)</t>
  </si>
  <si>
    <t xml:space="preserve">Hospodársky výsledok za účtovné obdobie po zdanení  (+/-)  [r.51+r.58-r.60]           </t>
  </si>
  <si>
    <t xml:space="preserve">Výsledok hospodárenia z bežnej činnosti pred zdanenim r. 26-r.46
</t>
  </si>
  <si>
    <t>Capitalisation of internal services</t>
  </si>
  <si>
    <t>Capitalisation of intangible fixed assets</t>
  </si>
  <si>
    <t>Capitalisation of tangible fixed assets</t>
  </si>
  <si>
    <t>64x</t>
  </si>
  <si>
    <t>Sundry operating revenues</t>
  </si>
  <si>
    <t>Revenues from sales of intangible and tangible fixed assets</t>
  </si>
  <si>
    <t>Revenues form sales of materials</t>
  </si>
  <si>
    <t>Tržby z predaja materiálu</t>
  </si>
  <si>
    <t>Accounting for receivables and liabilities</t>
  </si>
  <si>
    <t>Zúčtovacie vzťahy</t>
  </si>
  <si>
    <t>Podielové cenné
papiere a podiely v
dcérskej účtovnej
jednotke
(061) - 096A</t>
  </si>
  <si>
    <t>Liabilities to employees  (331, 333, 33x, 479A)</t>
  </si>
  <si>
    <t>Social security insurance payable (336A, 479A)</t>
  </si>
  <si>
    <t>Príjmy z úhrady straty spoločníkmi (+)</t>
  </si>
  <si>
    <t>D.2.5.</t>
  </si>
  <si>
    <t>Stavby</t>
  </si>
  <si>
    <t>Základné stádo a ťažné zvieratá</t>
  </si>
  <si>
    <t>Acquisition of financial investments</t>
  </si>
  <si>
    <t>Obstaranie dlhodobeho finančného majetku</t>
  </si>
  <si>
    <t>Advance payments on for financial investments</t>
  </si>
  <si>
    <t>Poskytnuté preddavky na dlhodobý finančný majetok</t>
  </si>
  <si>
    <t>Podielové cenné papiere a podiely v ovládanej osobe</t>
  </si>
  <si>
    <t>378A3</t>
  </si>
  <si>
    <t>Poskytnuté úvery-krátkodobé</t>
  </si>
  <si>
    <t>378A4</t>
  </si>
  <si>
    <t>Poskytnuté úvery-dlhodobé</t>
  </si>
  <si>
    <t>BILANZ</t>
  </si>
  <si>
    <t>*(gezeichnet mit X)</t>
  </si>
  <si>
    <t>von</t>
  </si>
  <si>
    <t>Telephon nummer</t>
  </si>
  <si>
    <t>Strasse</t>
  </si>
  <si>
    <t>Nummer</t>
  </si>
  <si>
    <t>Sitz der Buchungspflichtigen</t>
  </si>
  <si>
    <t>Rechtsform des Buchungspflichtigen</t>
  </si>
  <si>
    <t>Name des Buchungspflichtigen</t>
  </si>
  <si>
    <t>Vertreter des statutarischen Organs oder der buchungspflichtigen natürlichen Person</t>
  </si>
  <si>
    <t>Verantwortlich für die Buchführung (Name und Unterschrift):</t>
  </si>
  <si>
    <t>Verantwortlich für den Jahresabshluss (Name und Unterschrift):</t>
  </si>
  <si>
    <t>Podielové cenné papiere a podiely v spoločnosti s podstatným vplyvom</t>
  </si>
  <si>
    <t>Realizovateľné cenné papiere a podiely</t>
  </si>
  <si>
    <t>Income taxes on ordinary income - due</t>
  </si>
  <si>
    <t>Daň z príjmov z bežnej činnosti - splatná</t>
  </si>
  <si>
    <t>Income taxes on ordinary income - deferred</t>
  </si>
  <si>
    <t>01</t>
  </si>
  <si>
    <t>02</t>
  </si>
  <si>
    <t>03</t>
  </si>
  <si>
    <t>04</t>
  </si>
  <si>
    <t xml:space="preserve">Osobné náklady  súčet (r.13 až 16)                             </t>
  </si>
  <si>
    <t>Verbindlichkeiten gegenüber verbundenen Unternehmen (361, 471A)</t>
  </si>
  <si>
    <t>Sonstige Verbindlichkeiten innerhalb des Konsolidierungskreises (361A, 36XA, 471A, 47XA)</t>
  </si>
  <si>
    <t>Steuerverbindlichkeiten und Zuwendungen (341, 342, 343, 345, 346, 347, 34X)</t>
  </si>
  <si>
    <t>Sonstige Verbindlichkeiten (372A, 373A, 377A, 379A, 474A, 479A, 47X)</t>
  </si>
  <si>
    <t>Bankdarlehen und Ausleihungen gesamt (Z.113 bis 115)</t>
  </si>
  <si>
    <t>Langfristige Bankdarlehen (461A, 46XA)</t>
  </si>
  <si>
    <t>Kurzfristige Bankdarlehen (221A, 231, 232, 23X, 461A, 46XA)</t>
  </si>
  <si>
    <t>Kurzfristige Ausleihungen (241, 249, 24X,473A, /-/255A)</t>
  </si>
  <si>
    <t>Ausgaben künftiger Perioden (383)</t>
  </si>
  <si>
    <t xml:space="preserve">Herstellung Z. 05+06+07                                     </t>
  </si>
  <si>
    <t>Nepeňažné operácie ovplyvňujúce hospodársky výsledok
z bežnej činnosti</t>
  </si>
  <si>
    <t>A.1.1</t>
  </si>
  <si>
    <t>Odpisy stálych aktív</t>
  </si>
  <si>
    <t>A.1.2.</t>
  </si>
  <si>
    <t>A.1.3.</t>
  </si>
  <si>
    <t>A.1.4.</t>
  </si>
  <si>
    <t>A.1.5.</t>
  </si>
  <si>
    <t>Zmena stavu rezerv (+/-)</t>
  </si>
  <si>
    <t>A.1.6.</t>
  </si>
  <si>
    <t>A.1.6.1.</t>
  </si>
  <si>
    <t>A.1.7.</t>
  </si>
  <si>
    <t>A.1.7.1.</t>
  </si>
  <si>
    <t>A.1.8.</t>
  </si>
  <si>
    <t>Zmena stavu opravných položiek k stálym aktívam (+/-)</t>
  </si>
  <si>
    <t>A.1.9.</t>
  </si>
  <si>
    <t>Zmena stavu oceňovacích rozdielov z kapitálových účastín (+/-)</t>
  </si>
  <si>
    <t>A.1.10.</t>
  </si>
  <si>
    <t>Nárok na dividendy a iné podiely na zisku (-)</t>
  </si>
  <si>
    <t>A.1.11.</t>
  </si>
  <si>
    <t>A.2.</t>
  </si>
  <si>
    <t>Zmeny stavu pracovného kapitálu</t>
  </si>
  <si>
    <t>A.2.1.</t>
  </si>
  <si>
    <t>Zmena stavu pohľadávok zo základných podnikateľských činností (-/+)</t>
  </si>
  <si>
    <t>A.2.1.1.</t>
  </si>
  <si>
    <t>A.2.2.</t>
  </si>
  <si>
    <t>Zmena stavu krátkodobých záväzkov zo základných podnikateľských činností (+/-)</t>
  </si>
  <si>
    <t>A.2.2.1.</t>
  </si>
  <si>
    <t>A.2.3.</t>
  </si>
  <si>
    <t>Zmena stavu zásob (-/+)</t>
  </si>
  <si>
    <t>Change in share capital +/- 419</t>
  </si>
  <si>
    <t>Revaluation reserve for assets and liabilities
(+/- 414)</t>
  </si>
  <si>
    <t>Revaluation reserve for equity investments (+/- 415)</t>
  </si>
  <si>
    <t>Profit reserves total (l. 079 to 081)</t>
  </si>
  <si>
    <t>Statutory and other reserves (423, 427, 42X)</t>
  </si>
  <si>
    <t>Retained earnings l. 083 + 084</t>
  </si>
  <si>
    <t>Profit (loss) for the current year /+-/
l. 001 - (067 + 071 + 078 + 082 + 086 + 116)</t>
  </si>
  <si>
    <t>Liabilities l. 87 + 91 + 102 + 112</t>
  </si>
  <si>
    <t>Legal provisions (451A)</t>
  </si>
  <si>
    <t>Other long-term provisions (459A, 45XA)</t>
  </si>
  <si>
    <t>Short term provisions (323, 32X, 451A, 459A, 45XA)</t>
  </si>
  <si>
    <t>Liabilities to subsidiary and controling enterprise (471A)</t>
  </si>
  <si>
    <t>Bonds and debentures issued (473A/-/255A)</t>
  </si>
  <si>
    <t>Other non-current liabilities
(474A, 479A, 47XA, 372A, 373A, 377A)</t>
  </si>
  <si>
    <t>úroky účtované do výnosov</t>
  </si>
  <si>
    <t>A*</t>
  </si>
  <si>
    <t>A.5.</t>
  </si>
  <si>
    <t>Položky vylúčené zo základných podnikateľských činností preto, že patria do investičnej alebo finančnej činnosti</t>
  </si>
  <si>
    <t>A.5.1.</t>
  </si>
  <si>
    <t>Zisk z predaja stálych aktív (-)</t>
  </si>
  <si>
    <t>A.5.2.</t>
  </si>
  <si>
    <t>A.5.3.</t>
  </si>
  <si>
    <t>Ostatné položky vylúčené zo základných podnikateľských činností (+/-)</t>
  </si>
  <si>
    <t>A.6.</t>
  </si>
  <si>
    <t>Špecifické položky</t>
  </si>
  <si>
    <t>Stand</t>
  </si>
  <si>
    <t>Tiere (124) –195</t>
  </si>
  <si>
    <t>Waren (132,13x,139) –/196,19x/</t>
  </si>
  <si>
    <t>Geleistete Anzahlungen auf Vorräte (314A) -391A</t>
  </si>
  <si>
    <t xml:space="preserve">Production    l.05+06+07                                     </t>
  </si>
  <si>
    <t>Net profit/(loss) for the period
(+/-)[l. 49 + 55 - 56]</t>
  </si>
  <si>
    <r>
      <t xml:space="preserve">Gross value - </t>
    </r>
    <r>
      <rPr>
        <sz val="7.5"/>
        <rFont val="Arial"/>
        <family val="2"/>
        <charset val="238"/>
      </rPr>
      <t>part 1</t>
    </r>
  </si>
  <si>
    <r>
      <t xml:space="preserve">Adjustment - </t>
    </r>
    <r>
      <rPr>
        <sz val="7.5"/>
        <rFont val="Arial"/>
        <family val="2"/>
        <charset val="238"/>
      </rPr>
      <t>part 2</t>
    </r>
  </si>
  <si>
    <t>Opravná položka k ostatným pôžičkám účtovnej jednotke v konsolidovanom celku</t>
  </si>
  <si>
    <t>Opravná položka k pôžičkám s dobou splatnosti najviac jeden rok účtovnej jednotke v konsolidovanom celku</t>
  </si>
  <si>
    <t>121A1</t>
  </si>
  <si>
    <t>121A2</t>
  </si>
  <si>
    <t>122A1</t>
  </si>
  <si>
    <t>122A2</t>
  </si>
  <si>
    <t>Zákazková výroba s predpokladanou dobou ukončenia dlhšou ako jeden rok</t>
  </si>
  <si>
    <t>Ostatná nedokončená výroba</t>
  </si>
  <si>
    <t>Ostatné polotovary vlastnej výroby</t>
  </si>
  <si>
    <t>Opravná položka k zákazkovej výrobe s predpokladanou dobou ukončenia dlhšou ako jeden rok</t>
  </si>
  <si>
    <t>Opravná položka k ostatnej nedokončenej výrobe</t>
  </si>
  <si>
    <t>Opravná položka k ostatným polotovarom vlastnej výroby</t>
  </si>
  <si>
    <t>Extraordinary revenues</t>
  </si>
  <si>
    <t>Mimoriadne výnosy</t>
  </si>
  <si>
    <t>Other extraordinary revenues</t>
  </si>
  <si>
    <t xml:space="preserve">- splatná  (593)                                                 </t>
  </si>
  <si>
    <t xml:space="preserve">- odložená (+/-594)                                                 </t>
  </si>
  <si>
    <t xml:space="preserve">Prevod podielov na výsledku hospodárenia spoločníkom (+/-596)        </t>
  </si>
  <si>
    <t>Line</t>
  </si>
  <si>
    <t xml:space="preserve">Umsatzerlöse aus dem Warenverkauf (604)                                       </t>
  </si>
  <si>
    <t xml:space="preserve">Wareneinsatz (504)                       </t>
  </si>
  <si>
    <t xml:space="preserve">Handelsmarge Z. 01-02                          </t>
  </si>
  <si>
    <t>Pohľadávky na eskontované cenné papiere - krátkodobé</t>
  </si>
  <si>
    <t>Pohľadávky na eskontované cenné papiere - dlhodobé</t>
  </si>
  <si>
    <t>Iné poskytnuté prevádzkové preddavky - krátkodobé</t>
  </si>
  <si>
    <t>Ostatné záväzky voči spoločníkom, členom a združeniu - krátkodobé</t>
  </si>
  <si>
    <t>Ostatné záväzky - krátkodobé</t>
  </si>
  <si>
    <t>Sociálne náklady fyzickej osoby - podnikateľa</t>
  </si>
  <si>
    <t>Zostatková cena predaného dlhodobého nehmotného a dlhodobého hmotného majetku</t>
  </si>
  <si>
    <t>Buildings</t>
  </si>
  <si>
    <t>Individual tangible fixed assets  and complexes of tangible fixed assets</t>
  </si>
  <si>
    <t>Startup (Incorporation) expenses (011) -/071, 091A/</t>
  </si>
  <si>
    <t>Research and development  (012) -/072, 091A/</t>
  </si>
  <si>
    <t>Software (013) -/073, 091A/</t>
  </si>
  <si>
    <t xml:space="preserve">Social security costs (524,525,526)                  </t>
  </si>
  <si>
    <t xml:space="preserve">Employee welfare costs  (527,528)                                     </t>
  </si>
  <si>
    <t xml:space="preserve">Indirect taxes and fees  (acc. group 53)                                    </t>
  </si>
  <si>
    <t>Poskytnuté preddavky na dlhodobý hmotný majetok (052) -095A</t>
  </si>
  <si>
    <t>Opravná položka k nadobudnutiu majetku (+/-097) +/-098</t>
  </si>
  <si>
    <t>Ostatné dlhodobé cenné papiere a podiely (063,065) -096A</t>
  </si>
  <si>
    <t>Pôžičky účtovnej jednotke v konsolidovanom celku (066A) -096A</t>
  </si>
  <si>
    <t>Ostatný dlhodobobý finančný majetok  (067A,069,06XA) - 096A</t>
  </si>
  <si>
    <t>Pôžičky s dobou splatnosti najviac jeden rok (066A, 067A, 06XA) -096A</t>
  </si>
  <si>
    <t>Obstarávaný dlhodobý finančný majetok (043) - 096A</t>
  </si>
  <si>
    <t>Poskytnuté preddavky na dlhodobý finančný majetok (053) -095A</t>
  </si>
  <si>
    <t>Pohľadávky a záväzky z pevných termínových operácií</t>
  </si>
  <si>
    <t>Pohľadávky z vydaných dlhopisov</t>
  </si>
  <si>
    <t>Nakúpené opcie</t>
  </si>
  <si>
    <t>Predané opcie</t>
  </si>
  <si>
    <t>39x</t>
  </si>
  <si>
    <t>Adjustments to receivables and payables and internal transactions</t>
  </si>
  <si>
    <t>Ostatné krátkodobé finančné výpomoci</t>
  </si>
  <si>
    <t>25x</t>
  </si>
  <si>
    <t>Short term financial assets</t>
  </si>
  <si>
    <t>50x</t>
  </si>
  <si>
    <t>Consumed purchases</t>
  </si>
  <si>
    <t xml:space="preserve">Odmeny členom orgánov spoločnosti a družstva (523)              </t>
  </si>
  <si>
    <t xml:space="preserve">Náklady na sociálne zabezpečenie (524,525,526)                  </t>
  </si>
  <si>
    <t xml:space="preserve">Sociálne náklady  (527,528)                                     </t>
  </si>
  <si>
    <t xml:space="preserve">Wertschöpfung  Z. 03+04-08                   </t>
  </si>
  <si>
    <t xml:space="preserve">Löhne und Gehälter (521,522)                                        </t>
  </si>
  <si>
    <t xml:space="preserve">Tantiemen an die Mitglieder der Gesellschafts- und Genossenschaftsorgane (523)              </t>
  </si>
  <si>
    <t xml:space="preserve">Aufwendungen für Sozialversicherung (524,525,526)                  </t>
  </si>
  <si>
    <t xml:space="preserve">Aufwendungen für soziale Fürsorge (527,528)                                     </t>
  </si>
  <si>
    <t xml:space="preserve">Costs of merchandise sold (504,505A)                       </t>
  </si>
  <si>
    <t xml:space="preserve">Raw material and energy used in production (501 to 503, 505A)                       </t>
  </si>
  <si>
    <t>Other advance payments for financial investments - short term</t>
  </si>
  <si>
    <t>Other advance payments for financial investments - long term</t>
  </si>
  <si>
    <t>473A2</t>
  </si>
  <si>
    <t>Forderungen aus Lieferungen und Leistungen  (311A, 312A, 313A, 314A, 315A,31XA) –391A</t>
  </si>
  <si>
    <t>Forderungen aus Lieferungen und Leistungen (311A, 312A, 313A, 314A, 315A,31XA) -391A</t>
  </si>
  <si>
    <t>Forderungen gegen Gesellschafter und der Vereinigung (354A, 355A, 358A, 398A) -391A</t>
  </si>
  <si>
    <t>Sozialversicherung (336A) -391A</t>
  </si>
  <si>
    <t>Kasse (211, 213, 21X)</t>
  </si>
  <si>
    <t>Bankguthaben (221A,22X,+/-261)</t>
  </si>
  <si>
    <t>Aufwendungen künftiger Perioden (381, 382)</t>
  </si>
  <si>
    <t>Einnahmen künftiger Perioden (385)</t>
  </si>
  <si>
    <t>Anlagenvermögen Insgesamt  Z. 002+003+032+062</t>
  </si>
  <si>
    <t>Eigenkapital  -  Z. 067+071+078+082+085</t>
  </si>
  <si>
    <t>Grund-/Stammkapital (411 bzw. +/-491)</t>
  </si>
  <si>
    <t>Eigene Aktien (/-/252)</t>
  </si>
  <si>
    <t>Emmissionsagio (412)</t>
  </si>
  <si>
    <t>Dlhodobé nevyfakturované dodávky (476A)</t>
  </si>
  <si>
    <t>Nevyfakturované dodávky (326,476A)</t>
  </si>
  <si>
    <t>Záväzky voči spoločníkom a združeniu  (364,365,366,367,368,398A,478A,479A)</t>
  </si>
  <si>
    <t>Časové rozlíšenie  súčet (r.117 a r.118)</t>
  </si>
  <si>
    <t>Opravná položka k inému hmotnému investičnému majetku</t>
  </si>
  <si>
    <t>093</t>
  </si>
  <si>
    <t>Adjustments to intangible fixed assets not yet in use</t>
  </si>
  <si>
    <t>094</t>
  </si>
  <si>
    <t>Adjustments to tangible fixed assets not yet in use</t>
  </si>
  <si>
    <t>095</t>
  </si>
  <si>
    <t>Adjustments to advances</t>
  </si>
  <si>
    <t>095A1</t>
  </si>
  <si>
    <t>Základné imanie (411 alebo +/-491)</t>
  </si>
  <si>
    <t>Erträge aus sonstigen Wertpapieren des Anlagevermögens und Anteilen (665A)</t>
  </si>
  <si>
    <t xml:space="preserve">Erträge aus sonstigen Finanzanlagen (665A)                  </t>
  </si>
  <si>
    <t xml:space="preserve">Erträge aus dem Finanzumlaufvermögen (666)                   </t>
  </si>
  <si>
    <t xml:space="preserve">Aufwendungen für das Finanzumlaufvermögen (566)                       </t>
  </si>
  <si>
    <t xml:space="preserve">Erträge aus der Neubewertung von Wertpapieren und Erträge aus Transaktionen mit derivativen Finanzinstrumenten (664, 667)                          </t>
  </si>
  <si>
    <t>Accumulated losses from previous years</t>
  </si>
  <si>
    <t>43x</t>
  </si>
  <si>
    <t>Net profit or loss</t>
  </si>
  <si>
    <t>Profit or loss to be approved</t>
  </si>
  <si>
    <t>45x</t>
  </si>
  <si>
    <t>Reserves</t>
  </si>
  <si>
    <t>Rezervy</t>
  </si>
  <si>
    <t>Legal reserves</t>
  </si>
  <si>
    <t>Rezervy zákonné</t>
  </si>
  <si>
    <t>Other reserves</t>
  </si>
  <si>
    <t>Ostatné rezervy</t>
  </si>
  <si>
    <t>46x</t>
  </si>
  <si>
    <t>Bank loans</t>
  </si>
  <si>
    <t>Bankové úvery</t>
  </si>
  <si>
    <t>461A1</t>
  </si>
  <si>
    <t>Ostatné pohľadávky</t>
  </si>
  <si>
    <t>315A1</t>
  </si>
  <si>
    <t>315A2</t>
  </si>
  <si>
    <t>32x</t>
  </si>
  <si>
    <t>Payables</t>
  </si>
  <si>
    <t>Záväzky</t>
  </si>
  <si>
    <t>Suppliers</t>
  </si>
  <si>
    <t>Dodávatelia</t>
  </si>
  <si>
    <t>102</t>
  </si>
  <si>
    <t>103</t>
  </si>
  <si>
    <t>104</t>
  </si>
  <si>
    <t>107</t>
  </si>
  <si>
    <t>108</t>
  </si>
  <si>
    <t>109</t>
  </si>
  <si>
    <t>110</t>
  </si>
  <si>
    <t>Accounting for complex deferred expenses</t>
  </si>
  <si>
    <t>Zúčtovanie oprávky k opravnej položke k nadobudnutému majetku</t>
  </si>
  <si>
    <t>66x</t>
  </si>
  <si>
    <t>Financial revenues</t>
  </si>
  <si>
    <t>Finančné výnosy</t>
  </si>
  <si>
    <t>Revenues from sales of shares and ownership</t>
  </si>
  <si>
    <t>Interests earned</t>
  </si>
  <si>
    <t>Exchange rate gains</t>
  </si>
  <si>
    <t>Kurzové zisky</t>
  </si>
  <si>
    <t>Revenues from financial investments</t>
  </si>
  <si>
    <t>665A1</t>
  </si>
  <si>
    <t>Revenues from investments in companies in a group</t>
  </si>
  <si>
    <t>Line no.
c</t>
  </si>
  <si>
    <t>Net value
2</t>
  </si>
  <si>
    <t>Net value 3</t>
  </si>
  <si>
    <t xml:space="preserve">Zinsaufwendungen (562)                                            </t>
  </si>
  <si>
    <t xml:space="preserve">Kursgewinne (663)                                            </t>
  </si>
  <si>
    <t xml:space="preserve">Sonstige Finanzaufwendungen (568, 569)                               </t>
  </si>
  <si>
    <t>Receivables from employees - long-term</t>
  </si>
  <si>
    <t>Intercompany receivables from companies with substantial influence - short-term</t>
  </si>
  <si>
    <t>Intercompany receivables from companies with controlling influence - short-term</t>
  </si>
  <si>
    <t>Ostatné priame dane - daňový záväzok</t>
  </si>
  <si>
    <t>Daň z príjmov z bežnej činnosti - odložená</t>
  </si>
  <si>
    <t>Vydané dlhopisy(473A/-/255A)</t>
  </si>
  <si>
    <t>Výsledok hospodárenia za účtovné obdobie /+-/
r. 001 - (r. 068 + r. 073 + r. 080 + r. 084 + r. 088 + r. 119)</t>
  </si>
  <si>
    <t>Záväzky r. 89 + r. 94 + r. 105 + r. 115+ r.116</t>
  </si>
  <si>
    <t>Rezervy súčet (r. 090 až r. 093)</t>
  </si>
  <si>
    <t>Dlhodobé záväzky súčet (r. 095 až r.104)</t>
  </si>
  <si>
    <t>Rezervy zákonné dlhodobé (451A)</t>
  </si>
  <si>
    <t>Rezervy zákonné krátkodobé (323A, 451A)</t>
  </si>
  <si>
    <t>119</t>
  </si>
  <si>
    <t>120</t>
  </si>
  <si>
    <t>121</t>
  </si>
  <si>
    <t>B.V.</t>
  </si>
  <si>
    <t>Výdavky budúcich období dlhodobé  (383)</t>
  </si>
  <si>
    <t>Výdavky budúcich období krátkodobé  (383)</t>
  </si>
  <si>
    <t>Výnosy budúcich období dlhodobé (384)</t>
  </si>
  <si>
    <t>Výnosy budúcich období krátkodobé (384)</t>
  </si>
  <si>
    <t>122</t>
  </si>
  <si>
    <t>123</t>
  </si>
  <si>
    <t>Tvorba a zúčtovanie opravných položiek k pohľadávkam (+/- 547)</t>
  </si>
  <si>
    <t>Ostatné náklady na hospodársku činnosť
(543, 544, 545, 546, 548, 549, 557)</t>
  </si>
  <si>
    <t>.I</t>
  </si>
  <si>
    <t>Pôžičky účtovnej jednotke v konsolidovanom celku - ostatné</t>
  </si>
  <si>
    <t>Debt securities held to maturity - short-term into one year</t>
  </si>
  <si>
    <t>Adjustments to short-term shares and similar securities</t>
  </si>
  <si>
    <t>Adjustments to short-term shares and similar securities - not yet in use</t>
  </si>
  <si>
    <t xml:space="preserve">Opravné položky ku krátkodobému obstarávanému ostatnému finančnému majetku </t>
  </si>
  <si>
    <t xml:space="preserve"> 999 </t>
  </si>
  <si>
    <t>068</t>
  </si>
  <si>
    <t>Vlastné akcie a vlastné obchodné podiely (/-/252)</t>
  </si>
  <si>
    <t>Zmena základného imania +/- 419</t>
  </si>
  <si>
    <t>070</t>
  </si>
  <si>
    <t>Zákonný rezervný fond (Nedeliteľný fond) z kapitálových vkladov (417,418)</t>
  </si>
  <si>
    <t>Income taxes on extraordinary income -due</t>
  </si>
  <si>
    <t>Forderungen aus der Sozialversicherung (336A) -391A</t>
  </si>
  <si>
    <t>Steuerforderung (341,342,343,345) -391A</t>
  </si>
  <si>
    <t>Finanzkonten (Z. 057 bis 061)</t>
  </si>
  <si>
    <t>Kassenbestand (211, 213, 21X)</t>
  </si>
  <si>
    <t>Bankguthaben (221A, 22X,+/-261)</t>
  </si>
  <si>
    <t>Bankguthaben mit einer Bindungsfrist von mehr als einem Jahr (22XA)</t>
  </si>
  <si>
    <t>Finanzumlaufvermögen (251, 253,256,257,25X) -/291, 29X/</t>
  </si>
  <si>
    <t>Finanzumlaufvermögen im Prozess der Anschaffung (259) - 291</t>
  </si>
  <si>
    <t>Passiva gesamt Z. 062 + 079 + 0105</t>
  </si>
  <si>
    <t>Eigenkapital Z. 067+ 071+ 078 + 082 + 085</t>
  </si>
  <si>
    <t>Grund-/Stammkapital (Z. 068 bis 070)</t>
  </si>
  <si>
    <t>Eigene Aktien sowie eigene Geschäftsanteile (/-/252)</t>
  </si>
  <si>
    <t>Spotrebované nákupy</t>
  </si>
  <si>
    <t>Consumed material</t>
  </si>
  <si>
    <t>Spotreba materiálu</t>
  </si>
  <si>
    <t>Energy consumption</t>
  </si>
  <si>
    <t>Spotreba energie</t>
  </si>
  <si>
    <t>Consumption of other non-inventory items</t>
  </si>
  <si>
    <t>Spotreba ostatných neskladovateľných dodávok</t>
  </si>
  <si>
    <t>Merchandise sold</t>
  </si>
  <si>
    <t>Predaný tovar</t>
  </si>
  <si>
    <t>51x</t>
  </si>
  <si>
    <t>Services</t>
  </si>
  <si>
    <t>Služby</t>
  </si>
  <si>
    <t>Ostatné dane a poplatky</t>
  </si>
  <si>
    <t>345A1</t>
  </si>
  <si>
    <t>Ostané záväzky v rámci konsolidovaného celku - krátkodobé</t>
  </si>
  <si>
    <t>Záväzky voči ovládanej osobe a ovládajúcej osobe - dlhodobé</t>
  </si>
  <si>
    <t>Ostané záväzky v rámci konsolidovaného celku - dlhodobé</t>
  </si>
  <si>
    <t>373A3</t>
  </si>
  <si>
    <t>373A4</t>
  </si>
  <si>
    <t>Pohľadávky  z pevných termínových operácií - krátkodobé</t>
  </si>
  <si>
    <t>Záväzky z pevných termínových operácií - krátkodobé</t>
  </si>
  <si>
    <t>Záväzky z pevných termínových operácií - dlhodobé</t>
  </si>
  <si>
    <t>Obstaranie tovaru</t>
  </si>
  <si>
    <t>Other operating expenses</t>
  </si>
  <si>
    <t>55x</t>
  </si>
  <si>
    <t>Oprávky k opravnej položke k nadobudnutému majetku</t>
  </si>
  <si>
    <t>1xx</t>
  </si>
  <si>
    <t>Inventory</t>
  </si>
  <si>
    <t>11x</t>
  </si>
  <si>
    <t>Material</t>
  </si>
  <si>
    <t>Materiál</t>
  </si>
  <si>
    <t>Acquisition of material</t>
  </si>
  <si>
    <t>Obstaranie materiálu</t>
  </si>
  <si>
    <t xml:space="preserve">Interest income (662)                                             </t>
  </si>
  <si>
    <t xml:space="preserve">Interest expense (562)                                            </t>
  </si>
  <si>
    <t xml:space="preserve">Exchange rate gains (663)                               </t>
  </si>
  <si>
    <t xml:space="preserve">Exchange rate losses (563)                               </t>
  </si>
  <si>
    <t xml:space="preserve">Other financial revenue (668)                                </t>
  </si>
  <si>
    <t xml:space="preserve">Other financial expenses (568,569)                               </t>
  </si>
  <si>
    <t>Adjustments to receivables from shareholders, partners and consortium members - long-term</t>
  </si>
  <si>
    <t>Prevod podielov na výsledku hospodárenia spoločníkom</t>
  </si>
  <si>
    <t>Opravná položka k realizovateľným cenným papierom a podielom</t>
  </si>
  <si>
    <t>Opravná položka k dlhovým cenným papierom držaným do splatnosti</t>
  </si>
  <si>
    <t>Reclassification of financial expenses (-) (598)</t>
  </si>
  <si>
    <t>Profit/(loss) from financial activities
l. 26 - 27 + 28 + 32 - 33 + 34 - 35 - 36 + 37 - 38
+ 39 - 40 + 41 - 42 + (-43) - (-44)</t>
  </si>
  <si>
    <t xml:space="preserve"> - payable (591, 595)</t>
  </si>
  <si>
    <t xml:space="preserve"> - deferred (+/- 592)</t>
  </si>
  <si>
    <t>Ostatné položky, ktoré ovplyvňujú peňažné toky zo základných podnikateľských činností a nebola pe ne náplň v predchádzajúcich riadkoch</t>
  </si>
  <si>
    <t>A.6</t>
  </si>
  <si>
    <t>Sonstige Verbindlichkeiten aus verbundene Unternehmen (361A, 36xA, 471A, 47xA)</t>
  </si>
  <si>
    <t>Langfristige Verbindlichkeiten aus verbundene Unternehmen (471A)</t>
  </si>
  <si>
    <t xml:space="preserve">Wareneinsatz (504,505A)                       </t>
  </si>
  <si>
    <t xml:space="preserve">Material- und Energieverbrauch (501 to 503, 505A)                       </t>
  </si>
  <si>
    <t xml:space="preserve">Kontrolnummer - Insgesamt Z. .0l bis 57                              </t>
  </si>
  <si>
    <t xml:space="preserve">Jahresüberschuß/Jahresfehlbetrag Z. (+/-) 49+55-56           </t>
  </si>
  <si>
    <t>Außerordentliches Ergebnis Z. 50-51-52</t>
  </si>
  <si>
    <t xml:space="preserve">Einkommensteuer aus außerodentlicher Geschäftstätigkeit Z. 53+54              </t>
  </si>
  <si>
    <t xml:space="preserve">Ergebnis der gewöhnlichen Geschäftstätigkeit Z. 25+45-46           </t>
  </si>
  <si>
    <t xml:space="preserve">Einkommensteuer aus gewöhnlicher Geschäftstätigkeit  Z. 47+48                    </t>
  </si>
  <si>
    <t>Finanzergebnis  Z. 26 - 27 + 28 + 32 - 33 + 34 - 35 - 36 + 37 - 38 + 39 - 40 + 41 - 42 +(-43) -(-44)</t>
  </si>
  <si>
    <t xml:space="preserve">Erträge aus Finanzanlagen Z. 29+30+31                    </t>
  </si>
  <si>
    <t>Betriebsergebnis Z. 11-12-17-18+19-20+21-22+(-23)-(-24)</t>
  </si>
  <si>
    <t xml:space="preserve">Personalaufwand Z. 13 to 16                             </t>
  </si>
  <si>
    <t>4xx</t>
  </si>
  <si>
    <t>Capital accounts and long term liabilities</t>
  </si>
  <si>
    <t>Kapitálové účty a dlhodobé záväzky</t>
  </si>
  <si>
    <t>41x</t>
  </si>
  <si>
    <t>Registered capital and capital funds</t>
  </si>
  <si>
    <t>Základné imanie a kapitálové fondy</t>
  </si>
  <si>
    <t>Registered capital</t>
  </si>
  <si>
    <t>Základné imanie</t>
  </si>
  <si>
    <t>Share premium</t>
  </si>
  <si>
    <t>Emisné ážio</t>
  </si>
  <si>
    <t>Other capital funds</t>
  </si>
  <si>
    <t xml:space="preserve">Aufwendungen für bezogene Leistungen (Kontengruppe 51)                                           </t>
  </si>
  <si>
    <t>Investments in associates (062) –096A</t>
  </si>
  <si>
    <t>Other financial investments (067A, 069, 06xA) -096A</t>
  </si>
  <si>
    <t>Loans with maturity up to one year (066A, 067A, 06xA)-096A</t>
  </si>
  <si>
    <t>Financial investments not yet in use (043) –096A</t>
  </si>
  <si>
    <t>Current assets  l. 033+041+048+056</t>
  </si>
  <si>
    <t>Inventory total ( l. 034 to 040)</t>
  </si>
  <si>
    <t>Raw material (112,119,11x) -/191,19x/</t>
  </si>
  <si>
    <t>Work in progress and semifinished goods (121,122,12x) -/192,193,19x/</t>
  </si>
  <si>
    <t>Income taxes on extraordinary income - deferred</t>
  </si>
  <si>
    <t>Supplementary income tax</t>
  </si>
  <si>
    <t>Dodatočné odvody dane z príjmov</t>
  </si>
  <si>
    <t>Transfer of profit or loss to partners</t>
  </si>
  <si>
    <t>Transfer of operating expenses</t>
  </si>
  <si>
    <t>Transfer of financial expenses</t>
  </si>
  <si>
    <t>Prevod finančných nákladov</t>
  </si>
  <si>
    <t>6xx</t>
  </si>
  <si>
    <t>Revenues</t>
  </si>
  <si>
    <t>60x</t>
  </si>
  <si>
    <t>Revenues from own outputs and merchandise</t>
  </si>
  <si>
    <t>Sonstige betriebliche Aufwendungen (543 to 549, 555, 557)</t>
  </si>
  <si>
    <t>Auflösung und Bildung  von Rückstellungen zu Finanzanlagevermögen (+/- 565)</t>
  </si>
  <si>
    <t>Material sold</t>
  </si>
  <si>
    <t>Predaný materiál</t>
  </si>
  <si>
    <t>Gifts</t>
  </si>
  <si>
    <t>Dary</t>
  </si>
  <si>
    <t>Contractual fines and penalties</t>
  </si>
  <si>
    <t>Other fines and penalties</t>
  </si>
  <si>
    <t>Write-off of bad debt</t>
  </si>
  <si>
    <t>Odpis pohľadávky</t>
  </si>
  <si>
    <t>Non nicht berechnete langsfristige Lieferungen (476A)</t>
  </si>
  <si>
    <t>Kurzfristige Verbindlichkeiten aus Lieferungen und Leistungen  (321,322, 324,325, 32X, 475A, 478A, 479A, 47XA)</t>
  </si>
  <si>
    <t>Ostatné položky, ktoré ovplyvňujú peňažné toky z investičných činností a nebola pre ne náplň v predchádzajúcich riadkoch</t>
  </si>
  <si>
    <t>B***</t>
  </si>
  <si>
    <t>Čistý peňažný tok z investičnej činnosti</t>
  </si>
  <si>
    <t>Čistý peňažný tok po financovaní investícií</t>
  </si>
  <si>
    <t>D.1.</t>
  </si>
  <si>
    <t>Zmena stavu dlhodobých (prípadne krátkodobých) záväzkov</t>
  </si>
  <si>
    <t>D.1.1.</t>
  </si>
  <si>
    <t>Príjmy z prijatých úverov a pôžičiek od finančných inštitúcií (bánk) (+)</t>
  </si>
  <si>
    <t>D.1.2.</t>
  </si>
  <si>
    <t>Výdavky na splácanie úverov a pôžičiek prijatých od finančných inštitúcií (bánk) (-)</t>
  </si>
  <si>
    <t>D.1.3.</t>
  </si>
  <si>
    <t>Príjmy z emitovaných dlhopisov (+)</t>
  </si>
  <si>
    <t>D.1.4.</t>
  </si>
  <si>
    <t>D.1.5.</t>
  </si>
  <si>
    <t>Príjmy z ostatných dlhodobých a krátkodobých záväzkov vyplývajúcich z finančných činností účtovnej jednotky (-)</t>
  </si>
  <si>
    <t>D.1.6.</t>
  </si>
  <si>
    <t>Pestovateľské celky
trvalých porastov
(025) - /085, 092A/</t>
  </si>
  <si>
    <t>Základné stádo a
ťažné zvieratá
(026) - /086, 092A/</t>
  </si>
  <si>
    <t>372A1</t>
  </si>
  <si>
    <t>372A2</t>
  </si>
  <si>
    <t>Ostatné priame dane</t>
  </si>
  <si>
    <t>342A1</t>
  </si>
  <si>
    <t>Other direct taxes - tax receivable</t>
  </si>
  <si>
    <t>Purchased options - long-term</t>
  </si>
  <si>
    <t>Ostatné záväzky v rámci konsolidovaného celku
(361A, 36XA, 471A, 47XA)</t>
  </si>
  <si>
    <t>Záväzky voči spoločníkom a združeniu
(364, 365, 366, 367, 368, 398A, 478A, 479A)</t>
  </si>
  <si>
    <t>Záväzky zo sociálneho poistenia (336, 479A)</t>
  </si>
  <si>
    <t>Daňové záväzky a dotácie
(341, 342, 343, 345, 346, 347, 34X)</t>
  </si>
  <si>
    <t>Ostatné záväzky
(372A, 373A, 377A, 379A, 474A, 479A, 47X)</t>
  </si>
  <si>
    <t>Payables from social fund</t>
  </si>
  <si>
    <t xml:space="preserve">Long-term uninvoiced supplies </t>
  </si>
  <si>
    <t>56x</t>
  </si>
  <si>
    <t>Financial expenses</t>
  </si>
  <si>
    <t>Finančné náklady</t>
  </si>
  <si>
    <t>Shares and ownership interests sold</t>
  </si>
  <si>
    <t>Interest expense</t>
  </si>
  <si>
    <t>Úroky</t>
  </si>
  <si>
    <t>Exchange rate losses</t>
  </si>
  <si>
    <t>Kurzové straty</t>
  </si>
  <si>
    <t>Other financial expenses</t>
  </si>
  <si>
    <t>Ostatné finančné náklady</t>
  </si>
  <si>
    <t>Breeding and draught animals</t>
  </si>
  <si>
    <t>028</t>
  </si>
  <si>
    <t xml:space="preserve">Pridaná   hodnota   r.03+r.04-r.08                   </t>
  </si>
  <si>
    <t>VII 1</t>
  </si>
  <si>
    <t>Opravná položka k zvieratám</t>
  </si>
  <si>
    <t>Adjustments to merchandise</t>
  </si>
  <si>
    <t>Opravná položka k tovaru</t>
  </si>
  <si>
    <t>2xx</t>
  </si>
  <si>
    <t>Financial accounts</t>
  </si>
  <si>
    <t>Finančné účty</t>
  </si>
  <si>
    <t>21x</t>
  </si>
  <si>
    <t>Cash</t>
  </si>
  <si>
    <t>Peniaze</t>
  </si>
  <si>
    <t>Cash on hand (petty cash)</t>
  </si>
  <si>
    <t>Pokladnica</t>
  </si>
  <si>
    <t>Stamps and vouchers</t>
  </si>
  <si>
    <t>Ceniny</t>
  </si>
  <si>
    <t>22x</t>
  </si>
  <si>
    <t>Immaterielle, langfristige Vermögensgegenstände  (Z. 005 bis 012)</t>
  </si>
  <si>
    <t>Langfristige Sachanlagevermögen  (Z. 014 bis 022)</t>
  </si>
  <si>
    <t>Langfristige Finanzanlagen (Z. 24 bis 31)</t>
  </si>
  <si>
    <t>Finanzanlagevermögen (Z. 57 bis 061)</t>
  </si>
  <si>
    <t>Rechnungsabgrenzung  (Z. 063 und 064)</t>
  </si>
  <si>
    <t>Kontrolnummer (Z. 001 bis 064)</t>
  </si>
  <si>
    <t>Grund-/Stammkapital  (Z. 068 bis 070)</t>
  </si>
  <si>
    <t>Kapitalrücklagen (Z. 072 bis 077)</t>
  </si>
  <si>
    <t>Gewinnrücklagen  (Z. 079 bis 081)</t>
  </si>
  <si>
    <t>A***</t>
  </si>
  <si>
    <t>Čistý peňažný tok zo základných podnikateľských činností</t>
  </si>
  <si>
    <t>B.1.</t>
  </si>
  <si>
    <t>Výdavky spojené s obstaraním stálych aktív</t>
  </si>
  <si>
    <t>B.1.1.</t>
  </si>
  <si>
    <t>Výdavky na obstaranie HIM</t>
  </si>
  <si>
    <t>B.1.2.</t>
  </si>
  <si>
    <t>Výdavky na obstaranie NIM</t>
  </si>
  <si>
    <t>B.2.</t>
  </si>
  <si>
    <t>Príjmy z predaja stálych aktív</t>
  </si>
  <si>
    <t>B.2.1.</t>
  </si>
  <si>
    <t>Príjmy z predaja NIM</t>
  </si>
  <si>
    <t>B.2.2.</t>
  </si>
  <si>
    <t>391A10</t>
  </si>
  <si>
    <t>Trade receivables  (311A, 312A, 313A, 314A, 315A, 31xA) –391A</t>
  </si>
  <si>
    <t>Receivables from enterprises with controlling interest (351A) -391A</t>
  </si>
  <si>
    <t>Receivables from enterprises in consolidating group (351A) -391A</t>
  </si>
  <si>
    <t>Other receivables (335A,33xA,371A,373A,374A,375A,376A,378A) -391A</t>
  </si>
  <si>
    <t>Nedokončená
výroba a polotovary
(121, 122, 12X) -
/192, 193, 19X/</t>
  </si>
  <si>
    <t>Výrobky
(123) - 194</t>
  </si>
  <si>
    <t>Zvieratá
(124) - 195</t>
  </si>
  <si>
    <t>Poskytnuté
preddavky
na zásoby
(314A) - 391A</t>
  </si>
  <si>
    <t>Príjmy a výdavky vznikajúce z kúpy a predaja cenných papierov určených na predaj alebo obchodovanie s nimi (ak účtovná jednotka využije možnosť kompenzácie príjmov a výdavkov, uvedie to v prílohe) (+/-)</t>
  </si>
  <si>
    <t>A.6.8.</t>
  </si>
  <si>
    <t>Pohľadávky z nájmu</t>
  </si>
  <si>
    <t>Pohľadávky z nájmu - krátkodobé</t>
  </si>
  <si>
    <t>Pohľadávky z nájmu - dlhodobé</t>
  </si>
  <si>
    <t>Vnútorné zúčtovanie</t>
  </si>
  <si>
    <t>.</t>
  </si>
  <si>
    <t>Tvorba a zúčtovanie opravných položiek k zásobám</t>
  </si>
  <si>
    <t>Additions and accounting for adjustments to inventory</t>
  </si>
  <si>
    <t>Daň z motorových vozidiel</t>
  </si>
  <si>
    <t>Tvorba a zúčtovanie opravných položiek k pohľadávkam</t>
  </si>
  <si>
    <t>Wertberichtigung auf erworbenes Vermögen +/-097 +/-098</t>
  </si>
  <si>
    <t>Anteile an verbundenen Unternehmen (061) –096A</t>
  </si>
  <si>
    <t>Adjustments to acquired assets</t>
  </si>
  <si>
    <t>01x</t>
  </si>
  <si>
    <t>Intangible fixed assets</t>
  </si>
  <si>
    <t>011</t>
  </si>
  <si>
    <t>Incorporation expenses</t>
  </si>
  <si>
    <t>012</t>
  </si>
  <si>
    <t>Research and development</t>
  </si>
  <si>
    <t>Aktivované náklady na vývoj</t>
  </si>
  <si>
    <t>BALANCE SHEET</t>
  </si>
  <si>
    <t>INCOME STATEMENT</t>
  </si>
  <si>
    <t>Other indirect taxes and fees - tax receivable</t>
  </si>
  <si>
    <t>Ostatné dane a poplatky - daňová pohľadávka</t>
  </si>
  <si>
    <t>345A2</t>
  </si>
  <si>
    <t>Other indirect taxes and fees - tax payable</t>
  </si>
  <si>
    <t>Ostatné dane a poplatky - daňový záväzok</t>
  </si>
  <si>
    <t>Subsidies from state</t>
  </si>
  <si>
    <t>255A2</t>
  </si>
  <si>
    <t>26x</t>
  </si>
  <si>
    <t>Transfers between financial accounts</t>
  </si>
  <si>
    <t>Prevody medzi finančnými účtami</t>
  </si>
  <si>
    <t>General ledger input check</t>
  </si>
  <si>
    <t>Total</t>
  </si>
  <si>
    <t>Financial statements consistency check</t>
  </si>
  <si>
    <t>Difference</t>
  </si>
  <si>
    <t>Acc.</t>
  </si>
  <si>
    <t>Description</t>
  </si>
  <si>
    <t>#</t>
  </si>
  <si>
    <t>English</t>
  </si>
  <si>
    <t>Slovak</t>
  </si>
  <si>
    <t>Ostatné špecifické položky ovplyvňujúce peňažné toky zo základných podnikateľských činností (+/-)</t>
  </si>
  <si>
    <t>A**</t>
  </si>
  <si>
    <t>Peňažné toky pred alternatívne vykazovanými a ostatnými položkami patriacimi do základných podnikateľských činností (súčet A* + A.5. + A.6.)</t>
  </si>
  <si>
    <t>A.7.</t>
  </si>
  <si>
    <t>Alternatívne vykazované položky</t>
  </si>
  <si>
    <t>A.7.1.</t>
  </si>
  <si>
    <t>Prijaté úroky (+)</t>
  </si>
  <si>
    <t>A.7.2.</t>
  </si>
  <si>
    <t>Zaplatené úroky (okrem kapitalizovaných ) (-)</t>
  </si>
  <si>
    <t>A.7.3.</t>
  </si>
  <si>
    <t>A.7.4.</t>
  </si>
  <si>
    <t>Vyplatené dividendy a iné podiely na zisku (-)</t>
  </si>
  <si>
    <t>A.8.</t>
  </si>
  <si>
    <t>Výdavky spojené so znížením sociálneho fondu v prípade, ak bol tvorený zo zisku (+)</t>
  </si>
  <si>
    <t>A.6.7.</t>
  </si>
  <si>
    <t>Adjustments to intercompany loans - due into one year</t>
  </si>
  <si>
    <t>Adjutment to intercompany loans - others</t>
  </si>
  <si>
    <t>Adjustment to other loans - due into one year</t>
  </si>
  <si>
    <t>Adjustment to other loans - others</t>
  </si>
  <si>
    <t>Obstaranie dlhodobého hmotného majetku</t>
  </si>
  <si>
    <t>Poskytnuté preddavky na dlhodobý majetok</t>
  </si>
  <si>
    <t>Softvér (013) -/073,091A/</t>
  </si>
  <si>
    <t>Oceniteľné práva (014) -/074,091A/</t>
  </si>
  <si>
    <t>Goodwill (015) -/075,091A/</t>
  </si>
  <si>
    <t>Ostatný dlhodobý nehmotný  majetok (019,01x) -/079,07x,091A/</t>
  </si>
  <si>
    <t>Obstarávaný dlhodobý nehmotný  majetok (041) - 093</t>
  </si>
  <si>
    <t>Poskytnuté preddavky na dlhodobý nehmotný majetok (051) -095A</t>
  </si>
  <si>
    <t>Stavby (021) -/081,092A/</t>
  </si>
  <si>
    <t>Ostatné priame dane - daňová pohľadávka</t>
  </si>
  <si>
    <t>342A2</t>
  </si>
  <si>
    <t>Emitované dlhopisy - dlhodobé</t>
  </si>
  <si>
    <t>Emitované dlhopisy - krátkodobé</t>
  </si>
  <si>
    <t>095A3</t>
  </si>
  <si>
    <t>Prijaté preddavky - dlhodobé</t>
  </si>
  <si>
    <t>Prijaté preddavky - krátkodobé</t>
  </si>
  <si>
    <t>Zmenky na úhradu - dlhodobé</t>
  </si>
  <si>
    <t>Zmenky na úhradu voči spoločníkom, členom a združeniu  - dlhodobé</t>
  </si>
  <si>
    <t>Zmenky z obchodného styku na úhradu - krátkodobé</t>
  </si>
  <si>
    <t>Ostatné záväzky - dlhodobé</t>
  </si>
  <si>
    <t>Ostatné záväzky z obchodného styku - krátkodobé</t>
  </si>
  <si>
    <t>STRANA PASÍV
b</t>
  </si>
  <si>
    <t>Bežné účtovné obdobie
4</t>
  </si>
  <si>
    <t>Bezprostredne predchádzajúce
účtovné obdobie
5</t>
  </si>
  <si>
    <t>Software</t>
  </si>
  <si>
    <t>014</t>
  </si>
  <si>
    <t>Valuable rights</t>
  </si>
  <si>
    <t>Oceniteľné práva</t>
  </si>
  <si>
    <t>018</t>
  </si>
  <si>
    <t>019</t>
  </si>
  <si>
    <t>Other intangible fixed assets</t>
  </si>
  <si>
    <t>02x</t>
  </si>
  <si>
    <t>Depreciable tangible fixed assets</t>
  </si>
  <si>
    <t>021</t>
  </si>
  <si>
    <t>022</t>
  </si>
  <si>
    <t xml:space="preserve">Profit (loss) share transferred to owners' account  (+/-596)        </t>
  </si>
  <si>
    <t>Manuálne úpravy cash flowu.</t>
  </si>
  <si>
    <t xml:space="preserve">Výnosy z krátkodobého finančného majetku (666)                   </t>
  </si>
  <si>
    <t xml:space="preserve">Náklady na krátkodobý finančný majetok (566)                     </t>
  </si>
  <si>
    <t>XI.</t>
  </si>
  <si>
    <t>Dary dlhodobého nehmotného majetku</t>
  </si>
  <si>
    <t>Dary dlhodobého hmotného majetku</t>
  </si>
  <si>
    <t>V cash flow v riadku:</t>
  </si>
  <si>
    <r>
      <t xml:space="preserve">  </t>
    </r>
    <r>
      <rPr>
        <b/>
        <sz val="8"/>
        <rFont val="Arial CE"/>
        <family val="2"/>
        <charset val="238"/>
      </rPr>
      <t>D</t>
    </r>
  </si>
  <si>
    <t>Odpis opravnej položky k nadobudnutemu majetku</t>
  </si>
  <si>
    <t>A.1.3. Odpis opravnej položky k nadobudnutému majetku (+/-)</t>
  </si>
  <si>
    <t>A 1.3</t>
  </si>
  <si>
    <t>Odpis pohľadávok</t>
  </si>
  <si>
    <t>Open</t>
  </si>
  <si>
    <t>Close</t>
  </si>
  <si>
    <t>Zákonné rezervy</t>
  </si>
  <si>
    <t>Ostatné dlhodobé rezervy</t>
  </si>
  <si>
    <t>Ostatné dlhodobé rezervy - bežná činnosť (riadok č.89 Súvahy)</t>
  </si>
  <si>
    <r>
      <t xml:space="preserve">Zmena stavu prechodných účtov </t>
    </r>
    <r>
      <rPr>
        <u/>
        <sz val="8"/>
        <rFont val="Arial"/>
        <family val="2"/>
      </rPr>
      <t>aktív</t>
    </r>
    <r>
      <rPr>
        <sz val="8"/>
        <rFont val="Arial"/>
        <family val="2"/>
      </rPr>
      <t xml:space="preserve"> (okrem prechodných položiek týkajúcich sa úrokov, kurzových rozdielov aktívnych pri pohľadávkach a záväzkoch z predaja a obstarania investičného majetku v cudzej mene a mimoriadnych nákladov a výnosov) (+/-)</t>
    </r>
  </si>
  <si>
    <t>Loans to enterprises in consolidated group
(066A) - 096A</t>
  </si>
  <si>
    <t>Other financial investments
(067A, 069, 06XA)
- 096A</t>
  </si>
  <si>
    <t>Pohľadávky voči účastníkom združenia - krátkodobé</t>
  </si>
  <si>
    <t>Pohľadávky voči účastníkom združenia - dlhodobé</t>
  </si>
  <si>
    <t>Pohľadávky z predaja podniku - krátkodobé</t>
  </si>
  <si>
    <t>Pohľadávky z predaja podniku - dlhodobé</t>
  </si>
  <si>
    <t>373A1</t>
  </si>
  <si>
    <t>373A2</t>
  </si>
  <si>
    <t>374A1</t>
  </si>
  <si>
    <t>374A2</t>
  </si>
  <si>
    <t>Pohľadávky z emitovaných dlhopisov - krátkodobé</t>
  </si>
  <si>
    <t>Pohľadávky z emitovaných dlhopisov - dlhodobé</t>
  </si>
  <si>
    <t>Nakúpené opcie - krátkodobé</t>
  </si>
  <si>
    <t>A.I.1.</t>
  </si>
  <si>
    <t>Základné imanie (411 alebo +/- 491)</t>
  </si>
  <si>
    <t>A.II.1.</t>
  </si>
  <si>
    <t>Zákonný rezervný fond (Nedeliteľný fond) z kapitálových
vkladov (417, 418)</t>
  </si>
  <si>
    <t>Oceňovacie rozdiely z precenenia majetku a záväzkov
(+/- 414)</t>
  </si>
  <si>
    <t>Oceňovacie rozdiely z kapitálových účastín (+/- 415)</t>
  </si>
  <si>
    <t>Štatutárne fondy a ostatné fondy (423, 427, 42X)</t>
  </si>
  <si>
    <t>A.IV.1.</t>
  </si>
  <si>
    <t>Immovable assets for sale</t>
  </si>
  <si>
    <t>Nehnuteľnosť na predaj</t>
  </si>
  <si>
    <t>Construction contracts</t>
  </si>
  <si>
    <t>Čistá hodnota zákazky</t>
  </si>
  <si>
    <t>316A1</t>
  </si>
  <si>
    <t>316A2</t>
  </si>
  <si>
    <t>Cost of immovable assets for sale</t>
  </si>
  <si>
    <t>Predaná nehnuteľnosť</t>
  </si>
  <si>
    <t>Sales of immovable assets for sale</t>
  </si>
  <si>
    <t>Výnosy z nehnuteľnosti na predaj</t>
  </si>
  <si>
    <t>Revenues from construction contracts</t>
  </si>
  <si>
    <t>Výnosy zo zákazky</t>
  </si>
  <si>
    <t>Tovar (132,133,13X,139) – /196,19X/</t>
  </si>
  <si>
    <t xml:space="preserve">Tržby z predaja  tovaru (604, 607)                                       </t>
  </si>
  <si>
    <t xml:space="preserve">Náklady vynaložené na obstaranie predaného tovaru (504,505A,507)                       </t>
  </si>
  <si>
    <t xml:space="preserve">Tržby z predaja vlastných výrobkov a služieb (601,602,606)          </t>
  </si>
  <si>
    <t>Čistá hodnota zákazky (316A)</t>
  </si>
  <si>
    <t>Náklady vynaložené na obstaranie predaného tovaru
(504, 505A, 507)</t>
  </si>
  <si>
    <t>Tržby z predaja tovaru (604, 607)</t>
  </si>
  <si>
    <t>Tržby z predaja vlastných výrobkov a služieb (601, 602, 606)</t>
  </si>
  <si>
    <t>EUR</t>
  </si>
  <si>
    <t>Change in materials inventory</t>
  </si>
  <si>
    <t>Príjmy z predaja hmotného investičného majetku (+)</t>
  </si>
  <si>
    <t>B.2.3.</t>
  </si>
  <si>
    <t>Bank accounts-active- longer than one year</t>
  </si>
  <si>
    <t>Client :</t>
  </si>
  <si>
    <t>Check total of class in GL</t>
  </si>
  <si>
    <t>0</t>
  </si>
  <si>
    <t>Výdavky budúcich období krátkodobé</t>
  </si>
  <si>
    <t>383A1</t>
  </si>
  <si>
    <t>383A2</t>
  </si>
  <si>
    <t>Výnosy budúcich období- dlhodobé</t>
  </si>
  <si>
    <t>Výnosy budúcich období- krátkodobé</t>
  </si>
  <si>
    <t>384A1</t>
  </si>
  <si>
    <t>384A2</t>
  </si>
  <si>
    <t>Ostatné krátkodobé rezervy (323,32X,459A,45XA)</t>
  </si>
  <si>
    <t>Rezervy zákonné- dlhodobé</t>
  </si>
  <si>
    <t>Rezervy zákonné- krátkodobé</t>
  </si>
  <si>
    <t>451A1</t>
  </si>
  <si>
    <t>451A2</t>
  </si>
  <si>
    <t>323A1</t>
  </si>
  <si>
    <t>323A2</t>
  </si>
  <si>
    <t>Ostatné krátkodobé rezervy</t>
  </si>
  <si>
    <t>Rezervy zákonné krátkodobé (323, 451A)</t>
  </si>
  <si>
    <t>C.II.1.</t>
  </si>
  <si>
    <t>Pohľadávky z
obchodného styku
(311A, 312A, 313A,
314A, 315A, 31XA)
- 391A</t>
  </si>
  <si>
    <t>Pohľadávky voči
dcérskej účtovnej
jednotke a materskej
účtovnej jednotke
(351A) - 391A</t>
  </si>
  <si>
    <t>Ostatné pohľadávky
v rámci
konsolidovaného
celku
(351A) - 391A</t>
  </si>
  <si>
    <t>Opravná položka k zúčtovacím vzťahom a vnútorné zúčtovanie</t>
  </si>
  <si>
    <t>Permanent crop stands (025) -/085, 092A/</t>
  </si>
  <si>
    <t>Livestock and draught animals  (026) -/086, 092A/</t>
  </si>
  <si>
    <t>CoCd</t>
  </si>
  <si>
    <t>G/L acct</t>
  </si>
  <si>
    <t>Short Text</t>
  </si>
  <si>
    <t>Crcy</t>
  </si>
  <si>
    <t xml:space="preserve">   Balance Carryforward</t>
  </si>
  <si>
    <t xml:space="preserve">   Balance,prev.periods</t>
  </si>
  <si>
    <t xml:space="preserve">      Debit rept.period</t>
  </si>
  <si>
    <t xml:space="preserve">     Credit report per.</t>
  </si>
  <si>
    <t xml:space="preserve">    Accumulated balance</t>
  </si>
  <si>
    <t>SK01</t>
  </si>
  <si>
    <t>DD nehm maj OC&lt;2400</t>
  </si>
  <si>
    <t>TZ budovy</t>
  </si>
  <si>
    <t>IT vybavenie</t>
  </si>
  <si>
    <t>Inventár</t>
  </si>
  <si>
    <t>Ost DD hmotný majet</t>
  </si>
  <si>
    <t>Stroje-zariadena-nár</t>
  </si>
  <si>
    <t>Obst DD hm majetku</t>
  </si>
  <si>
    <t>Oprávky k ost DNM</t>
  </si>
  <si>
    <t>Oprávky k TZ budovy</t>
  </si>
  <si>
    <t>Oprávky-IT vybavenie</t>
  </si>
  <si>
    <t>Oprávky k inventár</t>
  </si>
  <si>
    <t>Oprávky k ost DHM</t>
  </si>
  <si>
    <t>Oprávky stro-zar-nár</t>
  </si>
  <si>
    <t>Materiál IG</t>
  </si>
  <si>
    <t>Materiál komp SM6 OG</t>
  </si>
  <si>
    <t>Nedok výroba ZoD</t>
  </si>
  <si>
    <t>NV - servisné zásahy</t>
  </si>
  <si>
    <t>Výrobky - SM6, CR</t>
  </si>
  <si>
    <t>Obst tovaru aut zú?t</t>
  </si>
  <si>
    <t>OP IG tovar málo+NRV</t>
  </si>
  <si>
    <t>Pokladnica CZK</t>
  </si>
  <si>
    <t>Pokladnica HUF</t>
  </si>
  <si>
    <t>Pokladnica EURO</t>
  </si>
  <si>
    <t>Gastrolístky</t>
  </si>
  <si>
    <t>Odberatelia OG</t>
  </si>
  <si>
    <t>Dodávatelia OG</t>
  </si>
  <si>
    <t>KD rezervy OG</t>
  </si>
  <si>
    <t>KD rez-nevyč dovolen</t>
  </si>
  <si>
    <t>KD rez-nev bonusy za</t>
  </si>
  <si>
    <t>KD rez-so ná k ne do</t>
  </si>
  <si>
    <t>KD rez-soc nák k bon</t>
  </si>
  <si>
    <t>Poh?adávky s KZ</t>
  </si>
  <si>
    <t>Nevyfakt dod-zásoby</t>
  </si>
  <si>
    <t>Záv vo?i zam-ces náh</t>
  </si>
  <si>
    <t>Stále zálohy zamestn</t>
  </si>
  <si>
    <t>Sociálna pois?ov?a</t>
  </si>
  <si>
    <t>Zdravotné pois?ovne</t>
  </si>
  <si>
    <t>DzP PO - preddavok</t>
  </si>
  <si>
    <t>DPH-vz?ah k ŠR (DÚ)</t>
  </si>
  <si>
    <t>DPH vstup</t>
  </si>
  <si>
    <t>DPH EU-platenie dane</t>
  </si>
  <si>
    <t>DPH EU-odpo?ít dane</t>
  </si>
  <si>
    <t>DPH VÝSTUP (10%-19%)</t>
  </si>
  <si>
    <t>DPH-preddavky-VÝSTUP</t>
  </si>
  <si>
    <t>DPH DOVOZ (nevyspor)</t>
  </si>
  <si>
    <t>Iné poh?adávky</t>
  </si>
  <si>
    <t>Iné záv - colné dlhy</t>
  </si>
  <si>
    <t>Zrážky z miezd</t>
  </si>
  <si>
    <t>NBO - ostatné</t>
  </si>
  <si>
    <t>NBO - nájom</t>
  </si>
  <si>
    <t>Výnosy BO % dokon?</t>
  </si>
  <si>
    <t>PBO období % dokon?</t>
  </si>
  <si>
    <t>PBO-ostatne</t>
  </si>
  <si>
    <t>OP k OG poh?adávkam</t>
  </si>
  <si>
    <t>Zaokr clea EURO konv</t>
  </si>
  <si>
    <t>Zákonný rezerv fond</t>
  </si>
  <si>
    <t>Nerozdelený zisk</t>
  </si>
  <si>
    <t>Výsl hosp v schva?</t>
  </si>
  <si>
    <t>Rezerva na gar.oprav</t>
  </si>
  <si>
    <t>Rezerva na odchodné</t>
  </si>
  <si>
    <t>Záväzky zo SF</t>
  </si>
  <si>
    <t>Odložená da?ová poh?</t>
  </si>
  <si>
    <t>Kancelárske potreby</t>
  </si>
  <si>
    <t>Odb publikácie-tla?</t>
  </si>
  <si>
    <t>Spotr elektr.energie</t>
  </si>
  <si>
    <t>Spotreba plynu</t>
  </si>
  <si>
    <t>Spotr energie-ostatn</t>
  </si>
  <si>
    <t>Vodné- sto?né</t>
  </si>
  <si>
    <t>Predaný tovar OG</t>
  </si>
  <si>
    <t>Doprava</t>
  </si>
  <si>
    <t>Tvorba OP k zásobám</t>
  </si>
  <si>
    <t>Údržba vozidiel</t>
  </si>
  <si>
    <t>Opravy strojo-zariad</t>
  </si>
  <si>
    <t>Cestovné - parkovné</t>
  </si>
  <si>
    <t>Cest-ubyt a ost nákl</t>
  </si>
  <si>
    <t>Cest-dopr nákl a let</t>
  </si>
  <si>
    <t>Cestovné-diéty</t>
  </si>
  <si>
    <t>Cestovné-neda?ové</t>
  </si>
  <si>
    <t>Nákl na repre-tuzems</t>
  </si>
  <si>
    <t>Poštovné služby</t>
  </si>
  <si>
    <t>Audítorské služby</t>
  </si>
  <si>
    <t>Právnické služby</t>
  </si>
  <si>
    <t>Doprava- prepravné</t>
  </si>
  <si>
    <t>Marketing event</t>
  </si>
  <si>
    <t>Reklama a rekl akcie</t>
  </si>
  <si>
    <t>Nájom</t>
  </si>
  <si>
    <t>Mobilné telefóny</t>
  </si>
  <si>
    <t>Internet</t>
  </si>
  <si>
    <t>Ost služby-NEDA?OVÉ</t>
  </si>
  <si>
    <t>Hrubé mzdy</t>
  </si>
  <si>
    <t>Zák soc zabezpe?enie</t>
  </si>
  <si>
    <t>Zákonné soc náklady</t>
  </si>
  <si>
    <t>Pracovné odevy</t>
  </si>
  <si>
    <t>Ost sociálne náklady</t>
  </si>
  <si>
    <t>Ost dane a poplatky</t>
  </si>
  <si>
    <t>Dialni?né poplatky</t>
  </si>
  <si>
    <t>Ost po-pe-úr z omešk</t>
  </si>
  <si>
    <t>Tvorba OP k poh?ad</t>
  </si>
  <si>
    <t>Ppríspevky združenia</t>
  </si>
  <si>
    <t>REZERVA NA STR Z PRO</t>
  </si>
  <si>
    <t>Manká a ško-IG tovar</t>
  </si>
  <si>
    <t>Odpisy SW</t>
  </si>
  <si>
    <t>Odpisy IT HW</t>
  </si>
  <si>
    <t>Odpisy nábytok</t>
  </si>
  <si>
    <t>Odpisy ostatný DHM</t>
  </si>
  <si>
    <t>Odpisy stroje a zari</t>
  </si>
  <si>
    <t>Ban pop-DPH leasing</t>
  </si>
  <si>
    <t>Poistenie zod ško OG</t>
  </si>
  <si>
    <t>Tržby ZoD-OG</t>
  </si>
  <si>
    <t>Refakturácia dopravy</t>
  </si>
  <si>
    <t>Tržby za servis zása</t>
  </si>
  <si>
    <t>Tržby za tovar OG</t>
  </si>
  <si>
    <t>Tržby predaný tovar</t>
  </si>
  <si>
    <t>Zmena NV (servisy)</t>
  </si>
  <si>
    <t>ZSV - príjem SM6</t>
  </si>
  <si>
    <t>Cenový rozdiel SM6</t>
  </si>
  <si>
    <t>Ostatné výnosy z H?</t>
  </si>
  <si>
    <t>Halierové vyrovnanie</t>
  </si>
  <si>
    <t>Úroky OG</t>
  </si>
  <si>
    <r>
      <t xml:space="preserve">Brutto - </t>
    </r>
    <r>
      <rPr>
        <sz val="9"/>
        <rFont val="Arial"/>
        <family val="2"/>
        <charset val="238"/>
      </rPr>
      <t>časť 1</t>
    </r>
  </si>
  <si>
    <r>
      <t xml:space="preserve">Korekcia - </t>
    </r>
    <r>
      <rPr>
        <sz val="9"/>
        <rFont val="Arial"/>
        <family val="2"/>
        <charset val="238"/>
      </rPr>
      <t>časť 2</t>
    </r>
  </si>
  <si>
    <t>NOTES</t>
  </si>
  <si>
    <t>účet (vzorec)</t>
  </si>
  <si>
    <t>účet (hodnota)</t>
  </si>
  <si>
    <t>Subtotal 1 0000013</t>
  </si>
  <si>
    <t>Subtotal 1 0000019</t>
  </si>
  <si>
    <t>Subtotal 1 0000021</t>
  </si>
  <si>
    <t>Subtotal 1 0000022</t>
  </si>
  <si>
    <t>Subtotal 1 0000042</t>
  </si>
  <si>
    <t>Subtotal 1 0000073</t>
  </si>
  <si>
    <t>Subtotal 1 0000079</t>
  </si>
  <si>
    <t>Subtotal 1 0000081</t>
  </si>
  <si>
    <t>Subtotal 1 0000082</t>
  </si>
  <si>
    <t>Subtotal 1 0000112</t>
  </si>
  <si>
    <t>Subtotal 1 0000119</t>
  </si>
  <si>
    <t>Subtotal 1 0000121</t>
  </si>
  <si>
    <t>Subtotal 1 0000123</t>
  </si>
  <si>
    <t>Subtotal 1 0000131</t>
  </si>
  <si>
    <t>Subtotal 1 0000132</t>
  </si>
  <si>
    <t>Subtotal 1 0000139</t>
  </si>
  <si>
    <t>Subtotal 1 0000196</t>
  </si>
  <si>
    <t>Subtotal 1 0000211</t>
  </si>
  <si>
    <t>Subtotal 1 0000213</t>
  </si>
  <si>
    <t>Subtotal 1 0000221</t>
  </si>
  <si>
    <t>Subtotal 1 0000261</t>
  </si>
  <si>
    <t>Subtotal 1 0000311</t>
  </si>
  <si>
    <t>Subtotal 1 0000315</t>
  </si>
  <si>
    <t>Subtotal 1 0000321</t>
  </si>
  <si>
    <t>Subtotal 1 0000323</t>
  </si>
  <si>
    <t>Subtotal 1 0000324</t>
  </si>
  <si>
    <t>Subtotal 1 0000325</t>
  </si>
  <si>
    <t>Subtotal 1 0000326</t>
  </si>
  <si>
    <t>Subtotal 1 0000331</t>
  </si>
  <si>
    <t>Subtotal 1 0000333</t>
  </si>
  <si>
    <t>Subtotal 1 0000335</t>
  </si>
  <si>
    <t>Subtotal 1 0000336</t>
  </si>
  <si>
    <t>Subtotal 1 0000341</t>
  </si>
  <si>
    <t>Subtotal 1 0000342</t>
  </si>
  <si>
    <t>Subtotal 1 0000343</t>
  </si>
  <si>
    <t>Záv v rámci kons cel</t>
  </si>
  <si>
    <t>Subtotal 1 0000361</t>
  </si>
  <si>
    <t>Subtotal 1 0000378</t>
  </si>
  <si>
    <t>Subtotal 1 0000379</t>
  </si>
  <si>
    <t>Subtotal 1 0000381</t>
  </si>
  <si>
    <t>Subtotal 1 0000384</t>
  </si>
  <si>
    <t>Subtotal 1 0000385</t>
  </si>
  <si>
    <t>Subtotal 1 0000391</t>
  </si>
  <si>
    <t>Subtotal 1 0000395</t>
  </si>
  <si>
    <t>Subtotal 1 0000411</t>
  </si>
  <si>
    <t>Subtotal 1 0000421</t>
  </si>
  <si>
    <t>Subtotal 1 0000428</t>
  </si>
  <si>
    <t>Subtotal 1 0000431</t>
  </si>
  <si>
    <t>Subtotal 1 0000459</t>
  </si>
  <si>
    <t>Subtotal 1 0000472</t>
  </si>
  <si>
    <t>Subtotal 1 0000481</t>
  </si>
  <si>
    <t>Subtotal 1 0000501</t>
  </si>
  <si>
    <t>Subtotal 1 0000502</t>
  </si>
  <si>
    <t>Subtotal 1 0000503</t>
  </si>
  <si>
    <t>Subtotal 1 0000504</t>
  </si>
  <si>
    <t>Subtotal 1 0000505</t>
  </si>
  <si>
    <t>Subtotal 1 0000511</t>
  </si>
  <si>
    <t>Subtotal 1 0000512</t>
  </si>
  <si>
    <t>Subtotal 1 0000513</t>
  </si>
  <si>
    <t>Subtotal 1 0000518</t>
  </si>
  <si>
    <t>Subtotal 1 0000521</t>
  </si>
  <si>
    <t>Subtotal 1 0000524</t>
  </si>
  <si>
    <t>Subtotal 1 0000527</t>
  </si>
  <si>
    <t>Subtotal 1 0000528</t>
  </si>
  <si>
    <t>Subtotal 1 0000538</t>
  </si>
  <si>
    <t>Subtotal 1 0000548</t>
  </si>
  <si>
    <t>Subtotal 1 0000549</t>
  </si>
  <si>
    <t>Subtotal 1 0000551</t>
  </si>
  <si>
    <t>Subtotal 1 0000562</t>
  </si>
  <si>
    <t>Subtotal 1 0000563</t>
  </si>
  <si>
    <t>Subtotal 1 0000568</t>
  </si>
  <si>
    <t>Subtotal 1 0000601</t>
  </si>
  <si>
    <t>Subtotal 1 0000602</t>
  </si>
  <si>
    <t>Subtotal 1 0000604</t>
  </si>
  <si>
    <t>Subtotal 1 0000611</t>
  </si>
  <si>
    <t>Subtotal 1 0000613</t>
  </si>
  <si>
    <t>Subtotal 1 0000648</t>
  </si>
  <si>
    <t>Subtotal 1 0000662</t>
  </si>
  <si>
    <t>Subtotal 1 0000663</t>
  </si>
  <si>
    <t>Odpisy TZ prenaj maj</t>
  </si>
  <si>
    <t>Zálohy z miezd</t>
  </si>
  <si>
    <t>Splatná DzP z B?</t>
  </si>
  <si>
    <t>K01</t>
  </si>
  <si>
    <t>Subtotal 1 0000591</t>
  </si>
  <si>
    <t>Adjustments / Corrections</t>
  </si>
  <si>
    <t>...</t>
  </si>
  <si>
    <t>DPH EU VSTUP KOREKCI</t>
  </si>
  <si>
    <t>Obst DD nehm majetku</t>
  </si>
  <si>
    <t>Subtotal 1 0000041</t>
  </si>
  <si>
    <t>Odpisy ostatného NM</t>
  </si>
  <si>
    <t>544xxx</t>
  </si>
  <si>
    <t>Subtotal 1 0000544</t>
  </si>
  <si>
    <t>Neuhradena strata</t>
  </si>
  <si>
    <t>Subtotal 1 0000429</t>
  </si>
  <si>
    <t>potrebujem od Johnyho:</t>
  </si>
  <si>
    <t xml:space="preserve">3. </t>
  </si>
  <si>
    <t>Subtotal 1 0000546</t>
  </si>
  <si>
    <t>nemozem urobit:</t>
  </si>
  <si>
    <t xml:space="preserve"> - odpis starych pohladavok - lebo by aktiva nezodpovedali zakladnemu imaniu!</t>
  </si>
  <si>
    <t>504/132</t>
  </si>
  <si>
    <t xml:space="preserve"> a) trzby</t>
  </si>
  <si>
    <t xml:space="preserve"> b) DPH (vystup)</t>
  </si>
  <si>
    <t xml:space="preserve"> c) total (pokladna)</t>
  </si>
  <si>
    <t xml:space="preserve"> / 604</t>
  </si>
  <si>
    <t xml:space="preserve"> / 343</t>
  </si>
  <si>
    <t xml:space="preserve"> a) naklady</t>
  </si>
  <si>
    <t xml:space="preserve"> b) DPH (vstup)</t>
  </si>
  <si>
    <t>i</t>
  </si>
  <si>
    <t>ii</t>
  </si>
  <si>
    <t xml:space="preserve"> 504 / </t>
  </si>
  <si>
    <t xml:space="preserve"> 343 / </t>
  </si>
  <si>
    <t xml:space="preserve"> / 211</t>
  </si>
  <si>
    <t>inventura presun tovarov na sklad</t>
  </si>
  <si>
    <t>iii</t>
  </si>
  <si>
    <t xml:space="preserve"> a) naklady telefonne</t>
  </si>
  <si>
    <t xml:space="preserve"> b) ostatne polozky - pokuty</t>
  </si>
  <si>
    <t xml:space="preserve"> c) ostatne polozky</t>
  </si>
  <si>
    <t xml:space="preserve"> 518 / </t>
  </si>
  <si>
    <t xml:space="preserve"> 545 /</t>
  </si>
  <si>
    <t>Ost náklady</t>
  </si>
  <si>
    <t>518/381</t>
  </si>
  <si>
    <t xml:space="preserve"> - kontrola uhrad DPH v roku 2014 (1Q/14 = DPH -1,59 eur, 2Q/14 = -121,71 eur, 3Q/14 = 61,05 eur, 4Q/14 = -18,35 eur)</t>
  </si>
  <si>
    <t>danova licencia!!!</t>
  </si>
  <si>
    <t>UCTOVANIE (fyzicke doklady):</t>
  </si>
  <si>
    <t>591/341</t>
  </si>
  <si>
    <t>TOVAR</t>
  </si>
  <si>
    <t>Banka</t>
  </si>
  <si>
    <t>Nevys odb faktúry</t>
  </si>
  <si>
    <t xml:space="preserve"> 343/211</t>
  </si>
  <si>
    <t xml:space="preserve"> 132/504</t>
  </si>
  <si>
    <t>321/211</t>
  </si>
  <si>
    <t>429/342</t>
  </si>
  <si>
    <t xml:space="preserve"> 311 / </t>
  </si>
  <si>
    <t xml:space="preserve"> 211-311</t>
  </si>
  <si>
    <t>oductovat NBO (mobily)  .... v 2015/2016 nie su ziadne</t>
  </si>
  <si>
    <t>preuctovat tovar zo skladu do spotreby ??? Je zostatok z predch.inventur</t>
  </si>
  <si>
    <t xml:space="preserve"> - inventuru 2015/2016 - kvoli presunu tovaru z 504 na 132</t>
  </si>
  <si>
    <t xml:space="preserve"> - vyska danoveho dlhu k 31.12.2016 (total= pokuta + odpocty/povinnosti voci DPH + danove licencie) = </t>
  </si>
  <si>
    <t>oductovat zavazky (uhrada v hotovosti) ....82,14 eur za 12/2016 bolo zaplatenych az v 2017</t>
  </si>
  <si>
    <t xml:space="preserve"> / 321</t>
  </si>
  <si>
    <t xml:space="preserve"> e) total (dodavatelia)</t>
  </si>
  <si>
    <t>Chart of accounts as at 31 December 2016 and comparatives</t>
  </si>
  <si>
    <t>Komenty:</t>
  </si>
  <si>
    <t>koeficient pre Podnik v krize</t>
  </si>
  <si>
    <t xml:space="preserve"> - problem je ze nie je tvoreny zakonny fond</t>
  </si>
  <si>
    <t xml:space="preserve"> - treba skontrolovat skutocny zostatok danoveho dlhu k 31.12.2016</t>
  </si>
  <si>
    <t xml:space="preserve"> - vo vykazoch treba vyplnit DIC a SK NACE</t>
  </si>
  <si>
    <t>pevna</t>
  </si>
  <si>
    <t>mobil</t>
  </si>
  <si>
    <t>upomienka</t>
  </si>
  <si>
    <t xml:space="preserve"> 08/2017</t>
  </si>
  <si>
    <t xml:space="preserve"> 02/2017</t>
  </si>
  <si>
    <t xml:space="preserve"> 03/2017</t>
  </si>
  <si>
    <t xml:space="preserve"> 04/2017</t>
  </si>
  <si>
    <t xml:space="preserve"> 05/2017</t>
  </si>
  <si>
    <t xml:space="preserve"> 06/2017</t>
  </si>
  <si>
    <t xml:space="preserve"> 07/2017</t>
  </si>
  <si>
    <t xml:space="preserve"> 09/2017</t>
  </si>
  <si>
    <t xml:space="preserve"> 10/2017</t>
  </si>
  <si>
    <t xml:space="preserve"> 11/2017</t>
  </si>
  <si>
    <t xml:space="preserve"> 12/2017</t>
  </si>
  <si>
    <t xml:space="preserve"> 01/2017</t>
  </si>
  <si>
    <t>tovar?</t>
  </si>
  <si>
    <t>trzby za rok 2017:</t>
  </si>
  <si>
    <t>nakup tovaru za rok 2017:</t>
  </si>
  <si>
    <t>telefony 2017:</t>
  </si>
  <si>
    <t xml:space="preserve"> 501 / </t>
  </si>
  <si>
    <t xml:space="preserve"> d) DPH (vstup) - uz nie je platca</t>
  </si>
  <si>
    <t>zaplatene</t>
  </si>
  <si>
    <t>stav k 31.12.</t>
  </si>
  <si>
    <t>vysledok hospodarenia za rok 2016 (407,20 eur oduct.zasoby v 2016, 665,28 eur tel.naklady 2016, 960 eur dan.lic. 2016)</t>
  </si>
  <si>
    <t>DPH</t>
  </si>
  <si>
    <t>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</si>
</sst>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&quot;Sk&quot;_-;\-* #,##0.00\ &quot;Sk&quot;_-;_-* &quot;-&quot;??\ &quot;Sk&quot;_-;_-@_-"/>
    <numFmt numFmtId="165" formatCode="_-* #,##0.00\ _S_k_-;\-* #,##0.00\ _S_k_-;_-* &quot;-&quot;??\ _S_k_-;_-@_-"/>
    <numFmt numFmtId="166" formatCode="#\ ##0;\-#\ ##0"/>
    <numFmt numFmtId="167" formatCode="_*\ #,##0__;_(* \-#,##0__;_(&quot;&quot;_);_(@_)"/>
    <numFmt numFmtId="168" formatCode="General_)"/>
    <numFmt numFmtId="169" formatCode="000"/>
    <numFmt numFmtId="170" formatCode="[&lt;=9999999]###\ ##\ ##;##\ ##\ ##\ ##"/>
    <numFmt numFmtId="171" formatCode="d/m/yyyy;@"/>
    <numFmt numFmtId="172" formatCode="[$-41B]mmmmm;@"/>
    <numFmt numFmtId="173" formatCode="dd/mm/yyyy"/>
    <numFmt numFmtId="174" formatCode="#000"/>
    <numFmt numFmtId="175" formatCode="#,##0.0"/>
  </numFmts>
  <fonts count="132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10"/>
      <name val="Arial CE"/>
      <family val="2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4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  <charset val="238"/>
    </font>
    <font>
      <b/>
      <sz val="8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color indexed="10"/>
      <name val="Times New Roman CE"/>
      <family val="1"/>
      <charset val="238"/>
    </font>
    <font>
      <i/>
      <sz val="8"/>
      <color indexed="10"/>
      <name val="Arial"/>
      <family val="2"/>
    </font>
    <font>
      <b/>
      <i/>
      <sz val="8"/>
      <color indexed="10"/>
      <name val="Arial"/>
      <family val="2"/>
    </font>
    <font>
      <b/>
      <sz val="14"/>
      <name val="Arial CE"/>
      <family val="2"/>
      <charset val="238"/>
    </font>
    <font>
      <b/>
      <sz val="14"/>
      <name val="Times New Roman CE"/>
      <family val="1"/>
      <charset val="238"/>
    </font>
    <font>
      <sz val="8"/>
      <color indexed="8"/>
      <name val="Times New Roman CE"/>
      <family val="1"/>
      <charset val="238"/>
    </font>
    <font>
      <sz val="10"/>
      <name val="Arial"/>
      <family val="2"/>
      <charset val="238"/>
    </font>
    <font>
      <u/>
      <sz val="8"/>
      <name val="Arial"/>
      <family val="2"/>
    </font>
    <font>
      <i/>
      <sz val="8"/>
      <name val="Arial"/>
      <family val="2"/>
    </font>
    <font>
      <b/>
      <sz val="20"/>
      <name val="Arial"/>
      <family val="2"/>
    </font>
    <font>
      <sz val="10"/>
      <name val="Courier"/>
      <family val="1"/>
      <charset val="238"/>
    </font>
    <font>
      <b/>
      <i/>
      <sz val="8"/>
      <name val="Arial CE"/>
      <family val="2"/>
      <charset val="238"/>
    </font>
    <font>
      <i/>
      <sz val="8"/>
      <color indexed="10"/>
      <name val="Arial CE"/>
      <family val="2"/>
      <charset val="238"/>
    </font>
    <font>
      <b/>
      <u/>
      <sz val="12"/>
      <name val="Arial CE"/>
      <family val="2"/>
      <charset val="238"/>
    </font>
    <font>
      <sz val="8"/>
      <color indexed="12"/>
      <name val="Arial"/>
      <family val="2"/>
    </font>
    <font>
      <sz val="8"/>
      <name val="Times New Roman CE"/>
      <charset val="238"/>
    </font>
    <font>
      <b/>
      <sz val="6"/>
      <name val="Arial"/>
      <family val="2"/>
      <charset val="238"/>
    </font>
    <font>
      <b/>
      <sz val="7.5"/>
      <name val="Arial"/>
      <family val="2"/>
      <charset val="238"/>
    </font>
    <font>
      <sz val="7.5"/>
      <name val="Arial"/>
      <family val="2"/>
      <charset val="238"/>
    </font>
    <font>
      <sz val="8.5"/>
      <name val="Arial"/>
      <family val="2"/>
      <charset val="238"/>
    </font>
    <font>
      <b/>
      <sz val="7.5"/>
      <name val="Arial"/>
      <family val="2"/>
      <charset val="238"/>
    </font>
    <font>
      <b/>
      <i/>
      <sz val="10"/>
      <name val="Arial"/>
      <family val="2"/>
      <charset val="238"/>
    </font>
    <font>
      <b/>
      <sz val="8.5"/>
      <name val="Arial"/>
      <family val="2"/>
      <charset val="238"/>
    </font>
    <font>
      <sz val="7.5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5"/>
      <name val="Arial"/>
      <family val="2"/>
      <charset val="238"/>
    </font>
    <font>
      <sz val="7"/>
      <name val="Arial"/>
      <family val="2"/>
      <charset val="238"/>
    </font>
    <font>
      <b/>
      <sz val="8.5"/>
      <name val="Arial"/>
      <family val="2"/>
      <charset val="238"/>
    </font>
    <font>
      <b/>
      <i/>
      <sz val="11.5"/>
      <name val="Arial"/>
      <family val="2"/>
      <charset val="238"/>
    </font>
    <font>
      <b/>
      <i/>
      <sz val="12.5"/>
      <name val="Arial"/>
      <family val="2"/>
      <charset val="238"/>
    </font>
    <font>
      <b/>
      <i/>
      <sz val="8.5"/>
      <name val="Arial"/>
      <family val="2"/>
      <charset val="238"/>
    </font>
    <font>
      <i/>
      <sz val="8"/>
      <name val="Arial"/>
      <family val="2"/>
      <charset val="238"/>
    </font>
    <font>
      <i/>
      <sz val="5.5"/>
      <name val="Arial"/>
      <family val="2"/>
      <charset val="238"/>
    </font>
    <font>
      <b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7.5"/>
      <name val="Arial"/>
      <family val="2"/>
    </font>
    <font>
      <sz val="8"/>
      <name val="Times New Roman CE"/>
    </font>
    <font>
      <b/>
      <sz val="8"/>
      <name val="Times New Roman CE"/>
    </font>
    <font>
      <b/>
      <sz val="8"/>
      <color indexed="12"/>
      <name val="Times New Roman CE"/>
    </font>
    <font>
      <b/>
      <sz val="10"/>
      <name val="Times New Roman CE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indexed="10"/>
      <name val="Arial"/>
      <family val="2"/>
      <charset val="238"/>
    </font>
    <font>
      <sz val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8"/>
      <color indexed="43"/>
      <name val="Arial"/>
      <family val="2"/>
      <charset val="238"/>
    </font>
    <font>
      <b/>
      <sz val="8"/>
      <color indexed="43"/>
      <name val="Arial"/>
      <family val="2"/>
      <charset val="238"/>
    </font>
    <font>
      <sz val="8"/>
      <color indexed="43"/>
      <name val="Arial CE"/>
      <charset val="238"/>
    </font>
    <font>
      <b/>
      <sz val="8"/>
      <color indexed="43"/>
      <name val="Times New Roman CE"/>
    </font>
    <font>
      <b/>
      <sz val="8"/>
      <color indexed="43"/>
      <name val="Arial CE"/>
      <charset val="238"/>
    </font>
    <font>
      <sz val="8"/>
      <color indexed="43"/>
      <name val="Times New Roman CE"/>
    </font>
    <font>
      <i/>
      <sz val="7"/>
      <name val="Arial"/>
      <family val="2"/>
      <charset val="238"/>
    </font>
    <font>
      <b/>
      <sz val="12"/>
      <name val="Arial"/>
      <family val="2"/>
      <charset val="238"/>
    </font>
    <font>
      <sz val="8"/>
      <name val="Arial CE"/>
      <charset val="238"/>
    </font>
    <font>
      <sz val="8"/>
      <color indexed="10"/>
      <name val="Arial CE"/>
      <charset val="238"/>
    </font>
    <font>
      <b/>
      <sz val="8"/>
      <name val="Arial CE"/>
      <charset val="238"/>
    </font>
    <font>
      <b/>
      <sz val="7.5"/>
      <color indexed="12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12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indexed="12"/>
      <name val="Arial"/>
      <family val="2"/>
      <charset val="238"/>
    </font>
    <font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indexed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b/>
      <sz val="8"/>
      <color indexed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indexed="10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</fonts>
  <fills count="5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165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38" fillId="0" borderId="0"/>
    <xf numFmtId="0" fontId="2" fillId="0" borderId="0"/>
    <xf numFmtId="0" fontId="24" fillId="0" borderId="0"/>
    <xf numFmtId="0" fontId="2" fillId="0" borderId="0"/>
    <xf numFmtId="168" fontId="42" fillId="0" borderId="0"/>
    <xf numFmtId="0" fontId="91" fillId="16" borderId="0" applyNumberFormat="0" applyBorder="0" applyAlignment="0" applyProtection="0"/>
    <xf numFmtId="0" fontId="92" fillId="0" borderId="0" applyNumberFormat="0" applyFill="0" applyBorder="0" applyAlignment="0" applyProtection="0"/>
    <xf numFmtId="0" fontId="93" fillId="0" borderId="73" applyNumberFormat="0" applyFill="0" applyAlignment="0" applyProtection="0"/>
    <xf numFmtId="0" fontId="94" fillId="0" borderId="74" applyNumberFormat="0" applyFill="0" applyAlignment="0" applyProtection="0"/>
    <xf numFmtId="0" fontId="95" fillId="0" borderId="75" applyNumberFormat="0" applyFill="0" applyAlignment="0" applyProtection="0"/>
    <xf numFmtId="0" fontId="95" fillId="0" borderId="0" applyNumberFormat="0" applyFill="0" applyBorder="0" applyAlignment="0" applyProtection="0"/>
    <xf numFmtId="0" fontId="96" fillId="17" borderId="0" applyNumberFormat="0" applyBorder="0" applyAlignment="0" applyProtection="0"/>
    <xf numFmtId="0" fontId="97" fillId="18" borderId="0" applyNumberFormat="0" applyBorder="0" applyAlignment="0" applyProtection="0"/>
    <xf numFmtId="0" fontId="98" fillId="19" borderId="76" applyNumberFormat="0" applyAlignment="0" applyProtection="0"/>
    <xf numFmtId="0" fontId="99" fillId="20" borderId="77" applyNumberFormat="0" applyAlignment="0" applyProtection="0"/>
    <xf numFmtId="0" fontId="100" fillId="20" borderId="76" applyNumberFormat="0" applyAlignment="0" applyProtection="0"/>
    <xf numFmtId="0" fontId="101" fillId="0" borderId="78" applyNumberFormat="0" applyFill="0" applyAlignment="0" applyProtection="0"/>
    <xf numFmtId="0" fontId="102" fillId="21" borderId="79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81" applyNumberFormat="0" applyFill="0" applyAlignment="0" applyProtection="0"/>
    <xf numFmtId="0" fontId="10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06" fillId="26" borderId="0" applyNumberFormat="0" applyBorder="0" applyAlignment="0" applyProtection="0"/>
    <xf numFmtId="0" fontId="10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06" fillId="42" borderId="0" applyNumberFormat="0" applyBorder="0" applyAlignment="0" applyProtection="0"/>
    <xf numFmtId="0" fontId="106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06" fillId="46" borderId="0" applyNumberFormat="0" applyBorder="0" applyAlignment="0" applyProtection="0"/>
    <xf numFmtId="0" fontId="1" fillId="0" borderId="0"/>
    <xf numFmtId="0" fontId="1" fillId="22" borderId="80" applyNumberFormat="0" applyFont="0" applyAlignment="0" applyProtection="0"/>
    <xf numFmtId="0" fontId="1" fillId="0" borderId="0"/>
    <xf numFmtId="0" fontId="1" fillId="22" borderId="80" applyNumberFormat="0" applyFont="0" applyAlignment="0" applyProtection="0"/>
    <xf numFmtId="0" fontId="1" fillId="0" borderId="0"/>
    <xf numFmtId="0" fontId="1" fillId="22" borderId="80" applyNumberFormat="0" applyFont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1025">
    <xf numFmtId="0" fontId="0" fillId="0" borderId="0" xfId="0"/>
    <xf numFmtId="0" fontId="4" fillId="0" borderId="0" xfId="0" applyFont="1" applyAlignment="1">
      <alignment vertical="top"/>
    </xf>
    <xf numFmtId="0" fontId="16" fillId="0" borderId="0" xfId="0" applyFont="1"/>
    <xf numFmtId="0" fontId="3" fillId="0" borderId="0" xfId="0" applyFont="1" applyAlignment="1" applyProtection="1">
      <alignment vertical="top" wrapText="1"/>
    </xf>
    <xf numFmtId="0" fontId="4" fillId="0" borderId="0" xfId="0" applyFont="1" applyBorder="1" applyAlignment="1">
      <alignment vertical="top"/>
    </xf>
    <xf numFmtId="0" fontId="21" fillId="0" borderId="0" xfId="0" applyFont="1"/>
    <xf numFmtId="3" fontId="20" fillId="4" borderId="2" xfId="0" applyNumberFormat="1" applyFont="1" applyFill="1" applyBorder="1"/>
    <xf numFmtId="0" fontId="21" fillId="0" borderId="0" xfId="0" applyFont="1" applyBorder="1"/>
    <xf numFmtId="0" fontId="3" fillId="0" borderId="0" xfId="0" applyFont="1" applyBorder="1" applyAlignment="1" applyProtection="1">
      <alignment vertical="top" wrapText="1"/>
    </xf>
    <xf numFmtId="3" fontId="3" fillId="0" borderId="0" xfId="1" applyNumberFormat="1" applyFont="1" applyBorder="1" applyAlignment="1" applyProtection="1">
      <alignment vertical="top"/>
    </xf>
    <xf numFmtId="3" fontId="3" fillId="0" borderId="0" xfId="1" applyNumberFormat="1" applyFont="1" applyFill="1" applyBorder="1" applyAlignment="1" applyProtection="1">
      <alignment vertical="top"/>
    </xf>
    <xf numFmtId="3" fontId="21" fillId="0" borderId="0" xfId="0" applyNumberFormat="1" applyFont="1"/>
    <xf numFmtId="0" fontId="14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/>
    </xf>
    <xf numFmtId="0" fontId="7" fillId="0" borderId="0" xfId="0" applyFont="1"/>
    <xf numFmtId="0" fontId="7" fillId="0" borderId="0" xfId="0" applyFont="1" applyBorder="1"/>
    <xf numFmtId="3" fontId="25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4" fillId="0" borderId="0" xfId="0" applyFont="1" applyAlignment="1" applyProtection="1"/>
    <xf numFmtId="0" fontId="11" fillId="0" borderId="0" xfId="0" applyFont="1" applyAlignment="1"/>
    <xf numFmtId="3" fontId="7" fillId="0" borderId="0" xfId="0" applyNumberFormat="1" applyFont="1" applyAlignment="1">
      <alignment horizontal="center"/>
    </xf>
    <xf numFmtId="3" fontId="14" fillId="0" borderId="0" xfId="0" applyNumberFormat="1" applyFont="1" applyAlignment="1" applyProtection="1">
      <alignment horizontal="center"/>
    </xf>
    <xf numFmtId="3" fontId="15" fillId="0" borderId="0" xfId="0" applyNumberFormat="1" applyFont="1" applyAlignment="1" applyProtection="1">
      <alignment horizontal="center"/>
    </xf>
    <xf numFmtId="49" fontId="14" fillId="0" borderId="0" xfId="5" applyNumberFormat="1" applyFont="1" applyFill="1" applyBorder="1" applyAlignment="1">
      <alignment horizontal="center" vertical="center"/>
    </xf>
    <xf numFmtId="0" fontId="30" fillId="0" borderId="0" xfId="0" applyFont="1" applyAlignment="1"/>
    <xf numFmtId="3" fontId="31" fillId="0" borderId="0" xfId="0" applyNumberFormat="1" applyFont="1" applyAlignment="1">
      <alignment horizontal="center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15" fillId="0" borderId="0" xfId="5" applyNumberFormat="1" applyFont="1" applyFill="1" applyBorder="1" applyAlignment="1">
      <alignment horizontal="center" vertical="center"/>
    </xf>
    <xf numFmtId="49" fontId="15" fillId="0" borderId="0" xfId="5" applyNumberFormat="1" applyFont="1" applyFill="1" applyBorder="1" applyAlignment="1">
      <alignment vertical="center"/>
    </xf>
    <xf numFmtId="49" fontId="15" fillId="0" borderId="0" xfId="5" applyNumberFormat="1" applyFont="1" applyFill="1" applyBorder="1" applyAlignment="1">
      <alignment vertical="center" wrapText="1"/>
    </xf>
    <xf numFmtId="0" fontId="7" fillId="0" borderId="0" xfId="0" applyFont="1" applyAlignment="1"/>
    <xf numFmtId="0" fontId="15" fillId="0" borderId="0" xfId="6" applyFont="1" applyFill="1" applyBorder="1" applyAlignment="1" applyProtection="1">
      <alignment horizontal="left" vertical="center" wrapText="1"/>
      <protection hidden="1"/>
    </xf>
    <xf numFmtId="0" fontId="15" fillId="0" borderId="0" xfId="6" quotePrefix="1" applyFont="1" applyFill="1" applyBorder="1" applyAlignment="1" applyProtection="1">
      <alignment horizontal="left" vertical="center" wrapText="1"/>
      <protection hidden="1"/>
    </xf>
    <xf numFmtId="0" fontId="15" fillId="0" borderId="0" xfId="0" quotePrefix="1" applyFont="1" applyFill="1" applyBorder="1" applyAlignment="1" applyProtection="1">
      <alignment horizontal="left" vertical="center" wrapText="1"/>
      <protection hidden="1"/>
    </xf>
    <xf numFmtId="0" fontId="14" fillId="0" borderId="0" xfId="6" applyFont="1" applyFill="1" applyBorder="1" applyAlignment="1" applyProtection="1">
      <alignment horizontal="left" vertical="center" wrapText="1"/>
      <protection hidden="1"/>
    </xf>
    <xf numFmtId="0" fontId="14" fillId="0" borderId="0" xfId="6" quotePrefix="1" applyFont="1" applyFill="1" applyBorder="1" applyAlignment="1" applyProtection="1">
      <alignment horizontal="left" vertical="center" wrapText="1"/>
      <protection hidden="1"/>
    </xf>
    <xf numFmtId="49" fontId="32" fillId="0" borderId="0" xfId="6" applyNumberFormat="1" applyFont="1" applyFill="1" applyBorder="1" applyAlignment="1">
      <alignment vertical="center"/>
    </xf>
    <xf numFmtId="49" fontId="15" fillId="0" borderId="0" xfId="6" applyNumberFormat="1" applyFont="1" applyFill="1" applyBorder="1" applyAlignment="1">
      <alignment vertical="center"/>
    </xf>
    <xf numFmtId="49" fontId="14" fillId="0" borderId="0" xfId="6" applyNumberFormat="1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vertical="center" wrapText="1"/>
    </xf>
    <xf numFmtId="49" fontId="15" fillId="0" borderId="0" xfId="6" quotePrefix="1" applyNumberFormat="1" applyFont="1" applyFill="1" applyBorder="1" applyAlignment="1">
      <alignment horizontal="left" vertical="center" wrapText="1"/>
    </xf>
    <xf numFmtId="49" fontId="15" fillId="0" borderId="0" xfId="6" applyNumberFormat="1" applyFont="1" applyFill="1" applyBorder="1" applyAlignment="1">
      <alignment horizontal="left" vertical="center" wrapText="1"/>
    </xf>
    <xf numFmtId="49" fontId="14" fillId="0" borderId="0" xfId="6" quotePrefix="1" applyNumberFormat="1" applyFont="1" applyFill="1" applyBorder="1" applyAlignment="1">
      <alignment horizontal="left" vertical="center" wrapText="1"/>
    </xf>
    <xf numFmtId="49" fontId="14" fillId="0" borderId="0" xfId="6" applyNumberFormat="1" applyFont="1" applyFill="1" applyBorder="1" applyAlignment="1">
      <alignment horizontal="left" vertical="center" wrapText="1"/>
    </xf>
    <xf numFmtId="0" fontId="21" fillId="0" borderId="26" xfId="0" applyFont="1" applyBorder="1" applyAlignment="1">
      <alignment horizontal="center"/>
    </xf>
    <xf numFmtId="3" fontId="21" fillId="0" borderId="26" xfId="0" applyNumberFormat="1" applyFont="1" applyBorder="1"/>
    <xf numFmtId="3" fontId="21" fillId="0" borderId="27" xfId="0" applyNumberFormat="1" applyFont="1" applyBorder="1"/>
    <xf numFmtId="0" fontId="5" fillId="3" borderId="0" xfId="0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33" fillId="0" borderId="0" xfId="0" applyFont="1"/>
    <xf numFmtId="0" fontId="3" fillId="3" borderId="4" xfId="0" applyFont="1" applyFill="1" applyBorder="1" applyAlignment="1" applyProtection="1">
      <alignment vertical="top" wrapText="1"/>
    </xf>
    <xf numFmtId="3" fontId="5" fillId="3" borderId="3" xfId="1" applyNumberFormat="1" applyFont="1" applyFill="1" applyBorder="1" applyAlignment="1" applyProtection="1">
      <alignment horizontal="center" vertical="center" wrapText="1"/>
    </xf>
    <xf numFmtId="3" fontId="5" fillId="3" borderId="4" xfId="1" applyNumberFormat="1" applyFont="1" applyFill="1" applyBorder="1" applyAlignment="1" applyProtection="1">
      <alignment horizontal="center" vertical="center" wrapText="1"/>
    </xf>
    <xf numFmtId="3" fontId="5" fillId="3" borderId="5" xfId="1" applyNumberFormat="1" applyFont="1" applyFill="1" applyBorder="1" applyAlignment="1" applyProtection="1">
      <alignment horizontal="center" vertical="center" wrapText="1"/>
    </xf>
    <xf numFmtId="0" fontId="20" fillId="4" borderId="24" xfId="0" applyFont="1" applyFill="1" applyBorder="1" applyAlignment="1">
      <alignment horizontal="center"/>
    </xf>
    <xf numFmtId="14" fontId="5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Fill="1"/>
    <xf numFmtId="3" fontId="5" fillId="3" borderId="26" xfId="1" applyNumberFormat="1" applyFont="1" applyFill="1" applyBorder="1" applyAlignment="1">
      <alignment horizontal="center" vertical="top" wrapText="1"/>
    </xf>
    <xf numFmtId="1" fontId="5" fillId="3" borderId="27" xfId="1" applyNumberFormat="1" applyFont="1" applyFill="1" applyBorder="1" applyAlignment="1">
      <alignment horizontal="center" vertical="top"/>
    </xf>
    <xf numFmtId="3" fontId="5" fillId="3" borderId="4" xfId="1" applyNumberFormat="1" applyFont="1" applyFill="1" applyBorder="1" applyAlignment="1">
      <alignment horizontal="center" vertical="top" wrapText="1"/>
    </xf>
    <xf numFmtId="1" fontId="5" fillId="3" borderId="8" xfId="1" applyNumberFormat="1" applyFont="1" applyFill="1" applyBorder="1" applyAlignment="1">
      <alignment horizontal="center" vertical="top"/>
    </xf>
    <xf numFmtId="0" fontId="21" fillId="0" borderId="26" xfId="0" quotePrefix="1" applyFont="1" applyBorder="1" applyAlignment="1">
      <alignment horizontal="center"/>
    </xf>
    <xf numFmtId="0" fontId="21" fillId="0" borderId="29" xfId="0" quotePrefix="1" applyFont="1" applyBorder="1" applyAlignment="1">
      <alignment horizontal="center"/>
    </xf>
    <xf numFmtId="3" fontId="21" fillId="0" borderId="29" xfId="0" applyNumberFormat="1" applyFont="1" applyBorder="1"/>
    <xf numFmtId="3" fontId="20" fillId="4" borderId="24" xfId="0" applyNumberFormat="1" applyFont="1" applyFill="1" applyBorder="1"/>
    <xf numFmtId="0" fontId="20" fillId="3" borderId="24" xfId="0" applyFont="1" applyFill="1" applyBorder="1" applyAlignment="1">
      <alignment horizontal="center"/>
    </xf>
    <xf numFmtId="0" fontId="21" fillId="0" borderId="29" xfId="0" applyFont="1" applyBorder="1" applyAlignment="1">
      <alignment horizontal="center"/>
    </xf>
    <xf numFmtId="3" fontId="20" fillId="4" borderId="24" xfId="0" applyNumberFormat="1" applyFont="1" applyFill="1" applyBorder="1" applyAlignment="1">
      <alignment horizontal="center"/>
    </xf>
    <xf numFmtId="14" fontId="20" fillId="0" borderId="0" xfId="0" applyNumberFormat="1" applyFont="1" applyAlignment="1">
      <alignment horizontal="left"/>
    </xf>
    <xf numFmtId="0" fontId="36" fillId="0" borderId="0" xfId="0" applyFont="1" applyAlignment="1" applyProtection="1">
      <alignment horizontal="left"/>
    </xf>
    <xf numFmtId="3" fontId="21" fillId="6" borderId="26" xfId="0" applyNumberFormat="1" applyFont="1" applyFill="1" applyBorder="1"/>
    <xf numFmtId="3" fontId="21" fillId="6" borderId="29" xfId="0" applyNumberFormat="1" applyFont="1" applyFill="1" applyBorder="1"/>
    <xf numFmtId="3" fontId="21" fillId="6" borderId="0" xfId="0" applyNumberFormat="1" applyFont="1" applyFill="1"/>
    <xf numFmtId="3" fontId="5" fillId="7" borderId="26" xfId="1" applyNumberFormat="1" applyFont="1" applyFill="1" applyBorder="1" applyAlignment="1" applyProtection="1">
      <alignment horizontal="center" vertical="top" wrapText="1"/>
      <protection locked="0"/>
    </xf>
    <xf numFmtId="1" fontId="5" fillId="7" borderId="27" xfId="1" applyNumberFormat="1" applyFont="1" applyFill="1" applyBorder="1" applyAlignment="1">
      <alignment horizontal="center" vertical="top"/>
    </xf>
    <xf numFmtId="3" fontId="5" fillId="7" borderId="4" xfId="1" applyNumberFormat="1" applyFont="1" applyFill="1" applyBorder="1" applyAlignment="1" applyProtection="1">
      <alignment horizontal="center" vertical="top" wrapText="1"/>
      <protection locked="0"/>
    </xf>
    <xf numFmtId="1" fontId="5" fillId="7" borderId="8" xfId="1" applyNumberFormat="1" applyFont="1" applyFill="1" applyBorder="1" applyAlignment="1" applyProtection="1">
      <alignment horizontal="center" vertical="top"/>
      <protection locked="0"/>
    </xf>
    <xf numFmtId="49" fontId="15" fillId="0" borderId="0" xfId="6" applyNumberFormat="1" applyFont="1" applyFill="1" applyBorder="1" applyAlignment="1">
      <alignment vertical="center" wrapText="1"/>
    </xf>
    <xf numFmtId="0" fontId="37" fillId="0" borderId="0" xfId="6" quotePrefix="1" applyFont="1" applyFill="1" applyBorder="1" applyAlignment="1" applyProtection="1">
      <alignment horizontal="left" vertical="center" wrapText="1"/>
      <protection hidden="1"/>
    </xf>
    <xf numFmtId="0" fontId="14" fillId="0" borderId="0" xfId="0" quotePrefix="1" applyFont="1" applyFill="1" applyBorder="1" applyAlignment="1" applyProtection="1">
      <alignment horizontal="left" vertical="center" wrapText="1"/>
      <protection hidden="1"/>
    </xf>
    <xf numFmtId="0" fontId="15" fillId="0" borderId="0" xfId="5" applyFont="1" applyFill="1" applyBorder="1" applyAlignment="1" applyProtection="1">
      <alignment vertical="center" wrapText="1"/>
      <protection hidden="1"/>
    </xf>
    <xf numFmtId="1" fontId="5" fillId="3" borderId="0" xfId="1" applyNumberFormat="1" applyFont="1" applyFill="1" applyBorder="1" applyAlignment="1" applyProtection="1">
      <alignment horizontal="center" vertical="top"/>
    </xf>
    <xf numFmtId="1" fontId="5" fillId="3" borderId="6" xfId="1" applyNumberFormat="1" applyFont="1" applyFill="1" applyBorder="1" applyAlignment="1" applyProtection="1">
      <alignment horizontal="center" vertical="top"/>
    </xf>
    <xf numFmtId="0" fontId="5" fillId="3" borderId="8" xfId="0" applyFont="1" applyFill="1" applyBorder="1" applyAlignment="1" applyProtection="1">
      <alignment vertical="top" wrapText="1"/>
    </xf>
    <xf numFmtId="37" fontId="21" fillId="0" borderId="0" xfId="3" applyNumberFormat="1" applyFont="1" applyProtection="1"/>
    <xf numFmtId="37" fontId="20" fillId="0" borderId="0" xfId="3" applyNumberFormat="1" applyFont="1" applyFill="1" applyAlignment="1" applyProtection="1">
      <alignment horizontal="center"/>
    </xf>
    <xf numFmtId="0" fontId="21" fillId="0" borderId="0" xfId="3" applyFont="1"/>
    <xf numFmtId="37" fontId="21" fillId="0" borderId="0" xfId="3" applyNumberFormat="1" applyFont="1" applyFill="1" applyProtection="1"/>
    <xf numFmtId="37" fontId="21" fillId="0" borderId="0" xfId="3" applyNumberFormat="1" applyFont="1" applyAlignment="1" applyProtection="1">
      <alignment wrapText="1"/>
    </xf>
    <xf numFmtId="0" fontId="21" fillId="0" borderId="17" xfId="3" applyFont="1" applyBorder="1"/>
    <xf numFmtId="0" fontId="21" fillId="0" borderId="0" xfId="3" applyFont="1" applyBorder="1"/>
    <xf numFmtId="0" fontId="20" fillId="0" borderId="0" xfId="3" applyFont="1" applyFill="1"/>
    <xf numFmtId="37" fontId="21" fillId="0" borderId="0" xfId="3" applyNumberFormat="1" applyFont="1" applyFill="1" applyBorder="1" applyProtection="1"/>
    <xf numFmtId="0" fontId="21" fillId="0" borderId="0" xfId="3" applyFont="1" applyBorder="1" applyAlignment="1">
      <alignment wrapText="1"/>
    </xf>
    <xf numFmtId="0" fontId="21" fillId="0" borderId="0" xfId="0" applyFont="1" applyBorder="1" applyAlignment="1">
      <alignment vertical="top" wrapText="1"/>
    </xf>
    <xf numFmtId="0" fontId="20" fillId="0" borderId="0" xfId="3" applyFont="1" applyFill="1" applyBorder="1"/>
    <xf numFmtId="37" fontId="20" fillId="0" borderId="0" xfId="3" applyNumberFormat="1" applyFont="1" applyFill="1" applyBorder="1" applyProtection="1"/>
    <xf numFmtId="37" fontId="20" fillId="0" borderId="0" xfId="3" applyNumberFormat="1" applyFont="1" applyFill="1" applyProtection="1"/>
    <xf numFmtId="0" fontId="21" fillId="0" borderId="19" xfId="3" applyFont="1" applyBorder="1"/>
    <xf numFmtId="37" fontId="21" fillId="0" borderId="20" xfId="3" applyNumberFormat="1" applyFont="1" applyBorder="1" applyAlignment="1" applyProtection="1">
      <alignment wrapText="1"/>
    </xf>
    <xf numFmtId="0" fontId="20" fillId="4" borderId="15" xfId="3" applyFont="1" applyFill="1" applyBorder="1"/>
    <xf numFmtId="37" fontId="20" fillId="4" borderId="16" xfId="3" applyNumberFormat="1" applyFont="1" applyFill="1" applyBorder="1" applyAlignment="1" applyProtection="1">
      <alignment wrapText="1"/>
    </xf>
    <xf numFmtId="37" fontId="21" fillId="0" borderId="0" xfId="3" applyNumberFormat="1" applyFont="1" applyBorder="1" applyAlignment="1" applyProtection="1">
      <alignment wrapText="1"/>
    </xf>
    <xf numFmtId="37" fontId="22" fillId="0" borderId="0" xfId="3" applyNumberFormat="1" applyFont="1" applyFill="1" applyProtection="1"/>
    <xf numFmtId="37" fontId="21" fillId="0" borderId="0" xfId="3" applyNumberFormat="1" applyFont="1" applyBorder="1" applyProtection="1"/>
    <xf numFmtId="37" fontId="22" fillId="4" borderId="30" xfId="3" applyNumberFormat="1" applyFont="1" applyFill="1" applyBorder="1" applyProtection="1"/>
    <xf numFmtId="37" fontId="21" fillId="0" borderId="31" xfId="3" applyNumberFormat="1" applyFont="1" applyBorder="1" applyProtection="1"/>
    <xf numFmtId="37" fontId="21" fillId="0" borderId="32" xfId="3" applyNumberFormat="1" applyFont="1" applyBorder="1" applyProtection="1"/>
    <xf numFmtId="37" fontId="21" fillId="0" borderId="33" xfId="3" applyNumberFormat="1" applyFont="1" applyBorder="1" applyProtection="1"/>
    <xf numFmtId="37" fontId="21" fillId="0" borderId="34" xfId="3" applyNumberFormat="1" applyFont="1" applyBorder="1" applyProtection="1"/>
    <xf numFmtId="37" fontId="21" fillId="0" borderId="35" xfId="3" applyNumberFormat="1" applyFont="1" applyBorder="1" applyProtection="1"/>
    <xf numFmtId="37" fontId="21" fillId="0" borderId="36" xfId="3" applyNumberFormat="1" applyFont="1" applyBorder="1" applyProtection="1"/>
    <xf numFmtId="37" fontId="21" fillId="0" borderId="37" xfId="3" applyNumberFormat="1" applyFont="1" applyBorder="1" applyProtection="1"/>
    <xf numFmtId="37" fontId="21" fillId="0" borderId="12" xfId="3" applyNumberFormat="1" applyFont="1" applyBorder="1" applyProtection="1"/>
    <xf numFmtId="37" fontId="21" fillId="0" borderId="35" xfId="3" applyNumberFormat="1" applyFont="1" applyBorder="1" applyAlignment="1" applyProtection="1">
      <alignment horizontal="right"/>
    </xf>
    <xf numFmtId="37" fontId="21" fillId="0" borderId="13" xfId="3" applyNumberFormat="1" applyFont="1" applyBorder="1" applyProtection="1"/>
    <xf numFmtId="37" fontId="22" fillId="8" borderId="32" xfId="3" applyNumberFormat="1" applyFont="1" applyFill="1" applyBorder="1" applyAlignment="1" applyProtection="1">
      <alignment horizontal="center"/>
    </xf>
    <xf numFmtId="37" fontId="21" fillId="2" borderId="38" xfId="3" applyNumberFormat="1" applyFont="1" applyFill="1" applyBorder="1" applyProtection="1"/>
    <xf numFmtId="37" fontId="21" fillId="2" borderId="39" xfId="3" applyNumberFormat="1" applyFont="1" applyFill="1" applyBorder="1" applyProtection="1"/>
    <xf numFmtId="37" fontId="22" fillId="8" borderId="40" xfId="3" applyNumberFormat="1" applyFont="1" applyFill="1" applyBorder="1" applyAlignment="1" applyProtection="1">
      <alignment horizontal="center"/>
    </xf>
    <xf numFmtId="37" fontId="22" fillId="8" borderId="31" xfId="3" applyNumberFormat="1" applyFont="1" applyFill="1" applyBorder="1" applyAlignment="1" applyProtection="1">
      <alignment horizontal="center"/>
    </xf>
    <xf numFmtId="37" fontId="22" fillId="8" borderId="30" xfId="3" applyNumberFormat="1" applyFont="1" applyFill="1" applyBorder="1" applyAlignment="1" applyProtection="1">
      <alignment horizontal="center"/>
    </xf>
    <xf numFmtId="37" fontId="20" fillId="9" borderId="30" xfId="3" applyNumberFormat="1" applyFont="1" applyFill="1" applyBorder="1" applyAlignment="1" applyProtection="1">
      <alignment horizontal="center" wrapText="1"/>
    </xf>
    <xf numFmtId="37" fontId="21" fillId="2" borderId="30" xfId="3" applyNumberFormat="1" applyFont="1" applyFill="1" applyBorder="1" applyProtection="1"/>
    <xf numFmtId="37" fontId="20" fillId="10" borderId="41" xfId="3" applyNumberFormat="1" applyFont="1" applyFill="1" applyBorder="1" applyAlignment="1" applyProtection="1">
      <alignment vertical="center"/>
    </xf>
    <xf numFmtId="37" fontId="20" fillId="10" borderId="11" xfId="3" applyNumberFormat="1" applyFont="1" applyFill="1" applyBorder="1" applyAlignment="1" applyProtection="1">
      <alignment vertical="center"/>
    </xf>
    <xf numFmtId="37" fontId="20" fillId="10" borderId="24" xfId="3" applyNumberFormat="1" applyFont="1" applyFill="1" applyBorder="1" applyAlignment="1" applyProtection="1">
      <alignment vertical="center"/>
    </xf>
    <xf numFmtId="0" fontId="20" fillId="10" borderId="25" xfId="0" applyFont="1" applyFill="1" applyBorder="1" applyAlignment="1">
      <alignment horizontal="center" vertical="center"/>
    </xf>
    <xf numFmtId="0" fontId="20" fillId="11" borderId="25" xfId="0" applyFont="1" applyFill="1" applyBorder="1" applyAlignment="1">
      <alignment horizontal="center" vertical="center"/>
    </xf>
    <xf numFmtId="37" fontId="22" fillId="2" borderId="30" xfId="3" applyNumberFormat="1" applyFont="1" applyFill="1" applyBorder="1" applyProtection="1"/>
    <xf numFmtId="37" fontId="20" fillId="4" borderId="12" xfId="3" applyNumberFormat="1" applyFont="1" applyFill="1" applyBorder="1" applyAlignment="1" applyProtection="1"/>
    <xf numFmtId="37" fontId="21" fillId="4" borderId="42" xfId="3" applyNumberFormat="1" applyFont="1" applyFill="1" applyBorder="1" applyAlignment="1" applyProtection="1">
      <alignment wrapText="1"/>
    </xf>
    <xf numFmtId="37" fontId="20" fillId="4" borderId="13" xfId="3" applyNumberFormat="1" applyFont="1" applyFill="1" applyBorder="1" applyAlignment="1" applyProtection="1"/>
    <xf numFmtId="37" fontId="20" fillId="4" borderId="14" xfId="3" applyNumberFormat="1" applyFont="1" applyFill="1" applyBorder="1" applyAlignment="1" applyProtection="1">
      <alignment wrapText="1"/>
    </xf>
    <xf numFmtId="0" fontId="21" fillId="0" borderId="17" xfId="0" applyFont="1" applyBorder="1" applyAlignment="1">
      <alignment horizontal="left" vertical="center" wrapText="1"/>
    </xf>
    <xf numFmtId="0" fontId="20" fillId="10" borderId="43" xfId="0" applyFont="1" applyFill="1" applyBorder="1" applyAlignment="1">
      <alignment horizontal="center" vertical="center"/>
    </xf>
    <xf numFmtId="0" fontId="20" fillId="12" borderId="44" xfId="0" applyFont="1" applyFill="1" applyBorder="1" applyAlignment="1">
      <alignment horizontal="center" vertical="center"/>
    </xf>
    <xf numFmtId="0" fontId="20" fillId="11" borderId="45" xfId="0" applyFont="1" applyFill="1" applyBorder="1" applyAlignment="1">
      <alignment horizontal="center" vertical="center"/>
    </xf>
    <xf numFmtId="0" fontId="21" fillId="0" borderId="17" xfId="3" applyFont="1" applyBorder="1" applyAlignment="1">
      <alignment horizontal="left" vertical="center"/>
    </xf>
    <xf numFmtId="37" fontId="21" fillId="0" borderId="46" xfId="3" applyNumberFormat="1" applyFont="1" applyBorder="1" applyAlignment="1" applyProtection="1">
      <alignment vertical="center"/>
    </xf>
    <xf numFmtId="37" fontId="21" fillId="2" borderId="0" xfId="3" applyNumberFormat="1" applyFont="1" applyFill="1" applyBorder="1" applyAlignment="1" applyProtection="1">
      <alignment vertical="center"/>
    </xf>
    <xf numFmtId="37" fontId="21" fillId="0" borderId="0" xfId="3" applyNumberFormat="1" applyFont="1" applyBorder="1" applyAlignment="1" applyProtection="1">
      <alignment vertical="center"/>
    </xf>
    <xf numFmtId="37" fontId="20" fillId="0" borderId="0" xfId="3" applyNumberFormat="1" applyFont="1" applyBorder="1" applyAlignment="1" applyProtection="1">
      <alignment vertical="center"/>
    </xf>
    <xf numFmtId="37" fontId="20" fillId="10" borderId="47" xfId="3" applyNumberFormat="1" applyFont="1" applyFill="1" applyBorder="1" applyAlignment="1" applyProtection="1">
      <alignment vertical="center"/>
    </xf>
    <xf numFmtId="37" fontId="20" fillId="11" borderId="41" xfId="3" applyNumberFormat="1" applyFont="1" applyFill="1" applyBorder="1" applyAlignment="1" applyProtection="1">
      <alignment vertical="center"/>
    </xf>
    <xf numFmtId="37" fontId="20" fillId="11" borderId="11" xfId="3" applyNumberFormat="1" applyFont="1" applyFill="1" applyBorder="1" applyAlignment="1" applyProtection="1">
      <alignment vertical="center"/>
    </xf>
    <xf numFmtId="37" fontId="20" fillId="11" borderId="24" xfId="3" applyNumberFormat="1" applyFont="1" applyFill="1" applyBorder="1" applyAlignment="1" applyProtection="1">
      <alignment vertical="center"/>
    </xf>
    <xf numFmtId="37" fontId="20" fillId="11" borderId="47" xfId="3" applyNumberFormat="1" applyFont="1" applyFill="1" applyBorder="1" applyAlignment="1" applyProtection="1">
      <alignment vertical="center"/>
    </xf>
    <xf numFmtId="37" fontId="20" fillId="0" borderId="0" xfId="3" quotePrefix="1" applyNumberFormat="1" applyFont="1" applyBorder="1" applyAlignment="1" applyProtection="1">
      <alignment vertical="center"/>
    </xf>
    <xf numFmtId="37" fontId="20" fillId="10" borderId="48" xfId="3" applyNumberFormat="1" applyFont="1" applyFill="1" applyBorder="1" applyAlignment="1" applyProtection="1">
      <alignment vertical="center"/>
    </xf>
    <xf numFmtId="37" fontId="20" fillId="10" borderId="5" xfId="3" applyNumberFormat="1" applyFont="1" applyFill="1" applyBorder="1" applyAlignment="1" applyProtection="1">
      <alignment vertical="center"/>
    </xf>
    <xf numFmtId="37" fontId="20" fillId="10" borderId="26" xfId="3" applyNumberFormat="1" applyFont="1" applyFill="1" applyBorder="1" applyAlignment="1" applyProtection="1">
      <alignment vertical="center"/>
    </xf>
    <xf numFmtId="37" fontId="20" fillId="10" borderId="49" xfId="3" applyNumberFormat="1" applyFont="1" applyFill="1" applyBorder="1" applyAlignment="1" applyProtection="1">
      <alignment vertical="center"/>
    </xf>
    <xf numFmtId="37" fontId="20" fillId="12" borderId="30" xfId="3" applyNumberFormat="1" applyFont="1" applyFill="1" applyBorder="1" applyAlignment="1" applyProtection="1">
      <alignment vertical="center"/>
    </xf>
    <xf numFmtId="37" fontId="20" fillId="12" borderId="31" xfId="3" applyNumberFormat="1" applyFont="1" applyFill="1" applyBorder="1" applyAlignment="1" applyProtection="1">
      <alignment vertical="center"/>
    </xf>
    <xf numFmtId="37" fontId="20" fillId="12" borderId="32" xfId="3" applyNumberFormat="1" applyFont="1" applyFill="1" applyBorder="1" applyAlignment="1" applyProtection="1">
      <alignment vertical="center"/>
    </xf>
    <xf numFmtId="37" fontId="20" fillId="12" borderId="33" xfId="3" applyNumberFormat="1" applyFont="1" applyFill="1" applyBorder="1" applyAlignment="1" applyProtection="1">
      <alignment vertical="center"/>
    </xf>
    <xf numFmtId="37" fontId="40" fillId="0" borderId="0" xfId="3" applyNumberFormat="1" applyFont="1" applyBorder="1" applyAlignment="1" applyProtection="1">
      <alignment vertical="center"/>
    </xf>
    <xf numFmtId="37" fontId="20" fillId="11" borderId="50" xfId="3" applyNumberFormat="1" applyFont="1" applyFill="1" applyBorder="1" applyAlignment="1" applyProtection="1">
      <alignment vertical="center"/>
    </xf>
    <xf numFmtId="37" fontId="20" fillId="11" borderId="9" xfId="3" applyNumberFormat="1" applyFont="1" applyFill="1" applyBorder="1" applyAlignment="1" applyProtection="1">
      <alignment vertical="center"/>
    </xf>
    <xf numFmtId="37" fontId="20" fillId="11" borderId="27" xfId="3" applyNumberFormat="1" applyFont="1" applyFill="1" applyBorder="1" applyAlignment="1" applyProtection="1">
      <alignment vertical="center"/>
    </xf>
    <xf numFmtId="37" fontId="20" fillId="11" borderId="51" xfId="3" applyNumberFormat="1" applyFont="1" applyFill="1" applyBorder="1" applyAlignment="1" applyProtection="1">
      <alignment vertical="center"/>
    </xf>
    <xf numFmtId="37" fontId="21" fillId="0" borderId="0" xfId="3" applyNumberFormat="1" applyFont="1" applyAlignment="1" applyProtection="1">
      <alignment vertical="center"/>
    </xf>
    <xf numFmtId="37" fontId="20" fillId="4" borderId="31" xfId="3" applyNumberFormat="1" applyFont="1" applyFill="1" applyBorder="1" applyAlignment="1" applyProtection="1">
      <alignment vertical="center"/>
    </xf>
    <xf numFmtId="37" fontId="20" fillId="4" borderId="32" xfId="3" applyNumberFormat="1" applyFont="1" applyFill="1" applyBorder="1" applyAlignment="1" applyProtection="1">
      <alignment vertical="center"/>
    </xf>
    <xf numFmtId="37" fontId="20" fillId="4" borderId="33" xfId="3" applyNumberFormat="1" applyFont="1" applyFill="1" applyBorder="1" applyAlignment="1" applyProtection="1">
      <alignment vertical="center"/>
    </xf>
    <xf numFmtId="0" fontId="21" fillId="0" borderId="0" xfId="3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0" fillId="10" borderId="10" xfId="0" applyFont="1" applyFill="1" applyBorder="1" applyAlignment="1">
      <alignment horizontal="left" vertical="center" wrapText="1"/>
    </xf>
    <xf numFmtId="0" fontId="20" fillId="11" borderId="10" xfId="0" applyFont="1" applyFill="1" applyBorder="1" applyAlignment="1">
      <alignment horizontal="left" vertical="center" wrapText="1"/>
    </xf>
    <xf numFmtId="0" fontId="20" fillId="10" borderId="3" xfId="0" applyFont="1" applyFill="1" applyBorder="1" applyAlignment="1">
      <alignment horizontal="left" vertical="center" wrapText="1"/>
    </xf>
    <xf numFmtId="0" fontId="20" fillId="12" borderId="40" xfId="0" applyFont="1" applyFill="1" applyBorder="1" applyAlignment="1">
      <alignment horizontal="left" vertical="center" wrapText="1"/>
    </xf>
    <xf numFmtId="0" fontId="20" fillId="11" borderId="7" xfId="0" applyFont="1" applyFill="1" applyBorder="1" applyAlignment="1">
      <alignment horizontal="left" vertical="center" wrapText="1"/>
    </xf>
    <xf numFmtId="37" fontId="20" fillId="4" borderId="30" xfId="3" applyNumberFormat="1" applyFont="1" applyFill="1" applyBorder="1" applyAlignment="1" applyProtection="1">
      <alignment vertical="center"/>
    </xf>
    <xf numFmtId="0" fontId="21" fillId="0" borderId="17" xfId="0" applyFont="1" applyBorder="1" applyAlignment="1">
      <alignment vertical="center"/>
    </xf>
    <xf numFmtId="0" fontId="21" fillId="0" borderId="17" xfId="0" applyFont="1" applyBorder="1" applyAlignment="1">
      <alignment vertical="center" wrapText="1"/>
    </xf>
    <xf numFmtId="0" fontId="21" fillId="0" borderId="17" xfId="0" applyFont="1" applyFill="1" applyBorder="1" applyAlignment="1">
      <alignment vertical="center" wrapText="1"/>
    </xf>
    <xf numFmtId="0" fontId="21" fillId="0" borderId="17" xfId="0" applyFont="1" applyFill="1" applyBorder="1" applyAlignment="1">
      <alignment vertical="center"/>
    </xf>
    <xf numFmtId="0" fontId="21" fillId="0" borderId="17" xfId="3" applyFont="1" applyBorder="1" applyAlignment="1">
      <alignment vertical="center"/>
    </xf>
    <xf numFmtId="3" fontId="3" fillId="6" borderId="52" xfId="7" applyNumberFormat="1" applyFont="1" applyFill="1" applyBorder="1" applyProtection="1">
      <protection locked="0"/>
    </xf>
    <xf numFmtId="37" fontId="21" fillId="0" borderId="0" xfId="3" applyNumberFormat="1" applyFont="1" applyFill="1" applyBorder="1" applyAlignment="1" applyProtection="1">
      <alignment vertical="center"/>
    </xf>
    <xf numFmtId="0" fontId="20" fillId="4" borderId="12" xfId="3" applyFont="1" applyFill="1" applyBorder="1" applyAlignment="1">
      <alignment horizontal="center" vertical="center"/>
    </xf>
    <xf numFmtId="0" fontId="21" fillId="4" borderId="53" xfId="3" applyFont="1" applyFill="1" applyBorder="1"/>
    <xf numFmtId="37" fontId="20" fillId="4" borderId="38" xfId="3" applyNumberFormat="1" applyFont="1" applyFill="1" applyBorder="1" applyAlignment="1" applyProtection="1">
      <alignment vertical="center"/>
    </xf>
    <xf numFmtId="37" fontId="21" fillId="4" borderId="12" xfId="3" applyNumberFormat="1" applyFont="1" applyFill="1" applyBorder="1" applyAlignment="1" applyProtection="1">
      <alignment vertical="center"/>
    </xf>
    <xf numFmtId="37" fontId="21" fillId="4" borderId="35" xfId="3" applyNumberFormat="1" applyFont="1" applyFill="1" applyBorder="1" applyAlignment="1" applyProtection="1">
      <alignment vertical="center"/>
    </xf>
    <xf numFmtId="37" fontId="21" fillId="4" borderId="54" xfId="3" applyNumberFormat="1" applyFont="1" applyFill="1" applyBorder="1" applyAlignment="1" applyProtection="1">
      <alignment vertical="center"/>
    </xf>
    <xf numFmtId="0" fontId="20" fillId="4" borderId="13" xfId="3" applyFont="1" applyFill="1" applyBorder="1" applyAlignment="1">
      <alignment horizontal="center" vertical="center"/>
    </xf>
    <xf numFmtId="0" fontId="21" fillId="4" borderId="55" xfId="3" applyFont="1" applyFill="1" applyBorder="1"/>
    <xf numFmtId="37" fontId="20" fillId="4" borderId="39" xfId="3" applyNumberFormat="1" applyFont="1" applyFill="1" applyBorder="1" applyAlignment="1" applyProtection="1">
      <alignment vertical="center"/>
    </xf>
    <xf numFmtId="37" fontId="21" fillId="4" borderId="13" xfId="3" applyNumberFormat="1" applyFont="1" applyFill="1" applyBorder="1" applyAlignment="1" applyProtection="1">
      <alignment vertical="center"/>
    </xf>
    <xf numFmtId="37" fontId="21" fillId="4" borderId="37" xfId="3" applyNumberFormat="1" applyFont="1" applyFill="1" applyBorder="1" applyAlignment="1" applyProtection="1">
      <alignment vertical="center"/>
    </xf>
    <xf numFmtId="37" fontId="21" fillId="4" borderId="14" xfId="3" applyNumberFormat="1" applyFont="1" applyFill="1" applyBorder="1" applyAlignment="1" applyProtection="1">
      <alignment vertical="center"/>
    </xf>
    <xf numFmtId="3" fontId="3" fillId="0" borderId="0" xfId="0" applyNumberFormat="1" applyFont="1" applyAlignment="1">
      <alignment horizontal="justify" vertical="center"/>
    </xf>
    <xf numFmtId="3" fontId="5" fillId="0" borderId="0" xfId="0" applyNumberFormat="1" applyFont="1" applyAlignment="1">
      <alignment horizontal="justify" vertical="center"/>
    </xf>
    <xf numFmtId="3" fontId="6" fillId="13" borderId="2" xfId="0" applyNumberFormat="1" applyFont="1" applyFill="1" applyBorder="1" applyAlignment="1">
      <alignment horizontal="centerContinuous" vertical="center"/>
    </xf>
    <xf numFmtId="3" fontId="6" fillId="13" borderId="11" xfId="0" applyNumberFormat="1" applyFont="1" applyFill="1" applyBorder="1" applyAlignment="1">
      <alignment horizontal="centerContinuous" vertical="center"/>
    </xf>
    <xf numFmtId="3" fontId="6" fillId="0" borderId="0" xfId="0" applyNumberFormat="1" applyFont="1" applyAlignment="1">
      <alignment horizontal="justify" vertical="center"/>
    </xf>
    <xf numFmtId="3" fontId="5" fillId="2" borderId="24" xfId="0" applyNumberFormat="1" applyFont="1" applyFill="1" applyBorder="1" applyAlignment="1">
      <alignment horizontal="justify" vertical="center"/>
    </xf>
    <xf numFmtId="3" fontId="5" fillId="2" borderId="24" xfId="0" applyNumberFormat="1" applyFont="1" applyFill="1" applyBorder="1" applyAlignment="1">
      <alignment horizontal="center" vertical="center"/>
    </xf>
    <xf numFmtId="3" fontId="3" fillId="0" borderId="24" xfId="0" applyNumberFormat="1" applyFont="1" applyBorder="1" applyAlignment="1">
      <alignment horizontal="justify" vertical="center"/>
    </xf>
    <xf numFmtId="3" fontId="3" fillId="0" borderId="24" xfId="0" applyNumberFormat="1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justify" vertical="center"/>
    </xf>
    <xf numFmtId="3" fontId="5" fillId="0" borderId="24" xfId="0" applyNumberFormat="1" applyFont="1" applyBorder="1" applyAlignment="1">
      <alignment horizontal="center" vertical="center"/>
    </xf>
    <xf numFmtId="3" fontId="3" fillId="13" borderId="24" xfId="0" applyNumberFormat="1" applyFont="1" applyFill="1" applyBorder="1" applyAlignment="1">
      <alignment horizontal="center" vertical="center"/>
    </xf>
    <xf numFmtId="3" fontId="43" fillId="0" borderId="24" xfId="0" applyNumberFormat="1" applyFont="1" applyBorder="1" applyAlignment="1">
      <alignment horizontal="justify" vertical="center"/>
    </xf>
    <xf numFmtId="3" fontId="43" fillId="0" borderId="2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justify" vertical="center"/>
    </xf>
    <xf numFmtId="0" fontId="5" fillId="2" borderId="24" xfId="0" applyFont="1" applyFill="1" applyBorder="1" applyAlignment="1">
      <alignment horizontal="justify" vertical="center"/>
    </xf>
    <xf numFmtId="0" fontId="3" fillId="0" borderId="24" xfId="0" applyFont="1" applyBorder="1" applyAlignment="1">
      <alignment horizontal="justify" vertical="center"/>
    </xf>
    <xf numFmtId="3" fontId="5" fillId="0" borderId="24" xfId="0" applyNumberFormat="1" applyFont="1" applyFill="1" applyBorder="1" applyAlignment="1">
      <alignment horizontal="center" vertical="center"/>
    </xf>
    <xf numFmtId="3" fontId="3" fillId="0" borderId="24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5" fillId="2" borderId="10" xfId="0" applyFont="1" applyFill="1" applyBorder="1"/>
    <xf numFmtId="0" fontId="5" fillId="2" borderId="24" xfId="0" applyFont="1" applyFill="1" applyBorder="1" applyAlignment="1">
      <alignment horizontal="justify" vertical="center" wrapText="1"/>
    </xf>
    <xf numFmtId="0" fontId="5" fillId="2" borderId="24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justify" vertical="center" wrapText="1"/>
    </xf>
    <xf numFmtId="0" fontId="10" fillId="0" borderId="24" xfId="0" applyFont="1" applyBorder="1" applyAlignment="1">
      <alignment horizontal="center" vertical="center"/>
    </xf>
    <xf numFmtId="0" fontId="3" fillId="0" borderId="24" xfId="0" applyFont="1" applyFill="1" applyBorder="1" applyAlignment="1">
      <alignment horizontal="justify" vertical="center" wrapText="1"/>
    </xf>
    <xf numFmtId="0" fontId="3" fillId="0" borderId="24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3" fontId="5" fillId="13" borderId="24" xfId="0" applyNumberFormat="1" applyFont="1" applyFill="1" applyBorder="1" applyAlignment="1">
      <alignment horizontal="center" vertical="center"/>
    </xf>
    <xf numFmtId="3" fontId="43" fillId="0" borderId="0" xfId="0" applyNumberFormat="1" applyFont="1" applyBorder="1" applyAlignment="1">
      <alignment horizontal="center" vertical="center"/>
    </xf>
    <xf numFmtId="3" fontId="5" fillId="7" borderId="24" xfId="0" applyNumberFormat="1" applyFont="1" applyFill="1" applyBorder="1" applyAlignment="1">
      <alignment horizontal="right" vertical="center"/>
    </xf>
    <xf numFmtId="3" fontId="5" fillId="14" borderId="24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justify" vertical="center"/>
    </xf>
    <xf numFmtId="3" fontId="3" fillId="0" borderId="1" xfId="0" applyNumberFormat="1" applyFont="1" applyBorder="1" applyAlignment="1">
      <alignment horizontal="justify" vertical="center"/>
    </xf>
    <xf numFmtId="3" fontId="3" fillId="0" borderId="6" xfId="0" applyNumberFormat="1" applyFont="1" applyBorder="1" applyAlignment="1">
      <alignment horizontal="right" vertical="center"/>
    </xf>
    <xf numFmtId="3" fontId="5" fillId="2" borderId="1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3" fontId="3" fillId="2" borderId="11" xfId="0" applyNumberFormat="1" applyFont="1" applyFill="1" applyBorder="1" applyAlignment="1">
      <alignment horizontal="justify" vertical="center"/>
    </xf>
    <xf numFmtId="0" fontId="3" fillId="0" borderId="0" xfId="0" applyFont="1" applyBorder="1" applyAlignment="1">
      <alignment horizontal="center"/>
    </xf>
    <xf numFmtId="3" fontId="43" fillId="0" borderId="27" xfId="0" applyNumberFormat="1" applyFont="1" applyBorder="1" applyAlignment="1">
      <alignment horizontal="justify" vertical="center"/>
    </xf>
    <xf numFmtId="3" fontId="43" fillId="0" borderId="27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vertical="center"/>
    </xf>
    <xf numFmtId="3" fontId="5" fillId="2" borderId="24" xfId="0" applyNumberFormat="1" applyFont="1" applyFill="1" applyBorder="1" applyAlignment="1">
      <alignment vertical="center"/>
    </xf>
    <xf numFmtId="3" fontId="3" fillId="0" borderId="52" xfId="7" applyNumberFormat="1" applyFont="1" applyFill="1" applyBorder="1" applyProtection="1">
      <protection locked="0"/>
    </xf>
    <xf numFmtId="0" fontId="21" fillId="15" borderId="44" xfId="3" applyFont="1" applyFill="1" applyBorder="1" applyAlignment="1">
      <alignment vertical="center"/>
    </xf>
    <xf numFmtId="0" fontId="20" fillId="15" borderId="40" xfId="3" applyFont="1" applyFill="1" applyBorder="1" applyAlignment="1">
      <alignment wrapText="1"/>
    </xf>
    <xf numFmtId="37" fontId="20" fillId="15" borderId="30" xfId="3" applyNumberFormat="1" applyFont="1" applyFill="1" applyBorder="1" applyAlignment="1" applyProtection="1">
      <alignment vertical="center"/>
    </xf>
    <xf numFmtId="37" fontId="20" fillId="15" borderId="31" xfId="3" applyNumberFormat="1" applyFont="1" applyFill="1" applyBorder="1" applyAlignment="1" applyProtection="1">
      <alignment vertical="center"/>
    </xf>
    <xf numFmtId="37" fontId="20" fillId="15" borderId="32" xfId="3" applyNumberFormat="1" applyFont="1" applyFill="1" applyBorder="1" applyAlignment="1" applyProtection="1">
      <alignment vertical="center"/>
    </xf>
    <xf numFmtId="37" fontId="20" fillId="15" borderId="33" xfId="3" applyNumberFormat="1" applyFont="1" applyFill="1" applyBorder="1" applyAlignment="1" applyProtection="1">
      <alignment vertical="center"/>
    </xf>
    <xf numFmtId="37" fontId="20" fillId="2" borderId="0" xfId="3" applyNumberFormat="1" applyFont="1" applyFill="1" applyBorder="1" applyAlignment="1" applyProtection="1">
      <alignment vertical="center"/>
    </xf>
    <xf numFmtId="37" fontId="21" fillId="0" borderId="53" xfId="3" applyNumberFormat="1" applyFont="1" applyFill="1" applyBorder="1" applyProtection="1"/>
    <xf numFmtId="37" fontId="21" fillId="0" borderId="55" xfId="3" applyNumberFormat="1" applyFont="1" applyFill="1" applyBorder="1" applyProtection="1"/>
    <xf numFmtId="37" fontId="21" fillId="0" borderId="42" xfId="3" applyNumberFormat="1" applyFont="1" applyFill="1" applyBorder="1" applyProtection="1"/>
    <xf numFmtId="37" fontId="21" fillId="0" borderId="14" xfId="3" applyNumberFormat="1" applyFont="1" applyFill="1" applyBorder="1" applyProtection="1"/>
    <xf numFmtId="3" fontId="3" fillId="6" borderId="56" xfId="7" applyNumberFormat="1" applyFont="1" applyFill="1" applyBorder="1" applyProtection="1">
      <protection locked="0"/>
    </xf>
    <xf numFmtId="3" fontId="3" fillId="0" borderId="0" xfId="7" applyNumberFormat="1" applyFont="1" applyFill="1" applyBorder="1" applyProtection="1">
      <protection locked="0"/>
    </xf>
    <xf numFmtId="37" fontId="20" fillId="0" borderId="0" xfId="3" applyNumberFormat="1" applyFont="1" applyFill="1" applyBorder="1" applyAlignment="1" applyProtection="1">
      <alignment vertical="center"/>
    </xf>
    <xf numFmtId="37" fontId="20" fillId="0" borderId="18" xfId="3" applyNumberFormat="1" applyFont="1" applyFill="1" applyBorder="1" applyAlignment="1" applyProtection="1">
      <alignment vertical="center"/>
    </xf>
    <xf numFmtId="3" fontId="3" fillId="6" borderId="57" xfId="7" applyNumberFormat="1" applyFont="1" applyFill="1" applyBorder="1" applyProtection="1">
      <protection locked="0"/>
    </xf>
    <xf numFmtId="3" fontId="3" fillId="0" borderId="57" xfId="7" applyNumberFormat="1" applyFont="1" applyFill="1" applyBorder="1" applyProtection="1">
      <protection locked="0"/>
    </xf>
    <xf numFmtId="37" fontId="20" fillId="10" borderId="58" xfId="3" applyNumberFormat="1" applyFont="1" applyFill="1" applyBorder="1" applyAlignment="1" applyProtection="1">
      <alignment vertical="center"/>
    </xf>
    <xf numFmtId="37" fontId="22" fillId="4" borderId="38" xfId="3" applyNumberFormat="1" applyFont="1" applyFill="1" applyBorder="1" applyProtection="1"/>
    <xf numFmtId="37" fontId="22" fillId="4" borderId="39" xfId="3" applyNumberFormat="1" applyFont="1" applyFill="1" applyBorder="1" applyProtection="1"/>
    <xf numFmtId="3" fontId="45" fillId="0" borderId="0" xfId="0" applyNumberFormat="1" applyFont="1" applyAlignment="1">
      <alignment horizontal="left" vertical="center" wrapText="1"/>
    </xf>
    <xf numFmtId="3" fontId="13" fillId="13" borderId="24" xfId="0" applyNumberFormat="1" applyFont="1" applyFill="1" applyBorder="1" applyAlignment="1">
      <alignment horizontal="left" vertical="center"/>
    </xf>
    <xf numFmtId="37" fontId="23" fillId="2" borderId="30" xfId="3" applyNumberFormat="1" applyFont="1" applyFill="1" applyBorder="1" applyProtection="1"/>
    <xf numFmtId="37" fontId="46" fillId="0" borderId="0" xfId="3" applyNumberFormat="1" applyFont="1" applyProtection="1"/>
    <xf numFmtId="37" fontId="33" fillId="0" borderId="0" xfId="3" applyNumberFormat="1" applyFont="1" applyAlignment="1" applyProtection="1">
      <alignment horizontal="center"/>
    </xf>
    <xf numFmtId="0" fontId="35" fillId="0" borderId="0" xfId="0" applyNumberFormat="1" applyFont="1" applyAlignment="1" applyProtection="1">
      <alignment vertical="top"/>
    </xf>
    <xf numFmtId="0" fontId="17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 applyProtection="1">
      <alignment vertical="top"/>
    </xf>
    <xf numFmtId="0" fontId="3" fillId="3" borderId="3" xfId="0" applyNumberFormat="1" applyFont="1" applyFill="1" applyBorder="1" applyAlignment="1" applyProtection="1">
      <alignment vertical="top"/>
    </xf>
    <xf numFmtId="0" fontId="5" fillId="3" borderId="1" xfId="0" applyNumberFormat="1" applyFont="1" applyFill="1" applyBorder="1" applyAlignment="1" applyProtection="1">
      <alignment vertical="top"/>
    </xf>
    <xf numFmtId="0" fontId="3" fillId="3" borderId="7" xfId="0" applyNumberFormat="1" applyFont="1" applyFill="1" applyBorder="1" applyAlignment="1" applyProtection="1">
      <alignment vertical="top"/>
    </xf>
    <xf numFmtId="0" fontId="3" fillId="0" borderId="0" xfId="0" applyNumberFormat="1" applyFont="1" applyBorder="1" applyAlignment="1" applyProtection="1">
      <alignment vertical="top"/>
    </xf>
    <xf numFmtId="0" fontId="50" fillId="0" borderId="35" xfId="0" applyFont="1" applyFill="1" applyBorder="1" applyAlignment="1">
      <alignment horizontal="center" vertical="center"/>
    </xf>
    <xf numFmtId="0" fontId="51" fillId="0" borderId="0" xfId="0" applyFont="1" applyAlignment="1">
      <alignment vertical="center" wrapText="1"/>
    </xf>
    <xf numFmtId="0" fontId="48" fillId="0" borderId="25" xfId="0" applyFont="1" applyFill="1" applyBorder="1" applyAlignment="1">
      <alignment horizontal="center" vertical="center" wrapText="1"/>
    </xf>
    <xf numFmtId="0" fontId="49" fillId="0" borderId="24" xfId="0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center" vertical="center" wrapText="1"/>
    </xf>
    <xf numFmtId="0" fontId="49" fillId="0" borderId="24" xfId="0" applyFont="1" applyFill="1" applyBorder="1" applyAlignment="1">
      <alignment horizontal="center" wrapText="1"/>
    </xf>
    <xf numFmtId="0" fontId="49" fillId="0" borderId="47" xfId="0" applyFont="1" applyFill="1" applyBorder="1" applyAlignment="1">
      <alignment horizontal="center" vertical="center" wrapText="1"/>
    </xf>
    <xf numFmtId="0" fontId="49" fillId="0" borderId="47" xfId="0" applyFont="1" applyFill="1" applyBorder="1" applyAlignment="1">
      <alignment horizontal="right" vertical="center" wrapText="1" indent="5"/>
    </xf>
    <xf numFmtId="0" fontId="52" fillId="0" borderId="24" xfId="0" applyFont="1" applyFill="1" applyBorder="1" applyAlignment="1">
      <alignment horizontal="left" vertical="top" wrapText="1"/>
    </xf>
    <xf numFmtId="49" fontId="52" fillId="0" borderId="24" xfId="0" applyNumberFormat="1" applyFont="1" applyFill="1" applyBorder="1" applyAlignment="1">
      <alignment horizontal="center" vertical="top"/>
    </xf>
    <xf numFmtId="0" fontId="54" fillId="0" borderId="0" xfId="0" applyFont="1" applyAlignment="1">
      <alignment vertical="center" wrapText="1"/>
    </xf>
    <xf numFmtId="0" fontId="52" fillId="0" borderId="25" xfId="0" applyFont="1" applyFill="1" applyBorder="1" applyAlignment="1">
      <alignment horizontal="left" vertical="top" wrapText="1"/>
    </xf>
    <xf numFmtId="0" fontId="55" fillId="0" borderId="25" xfId="0" applyFont="1" applyFill="1" applyBorder="1" applyAlignment="1">
      <alignment horizontal="left" vertical="top" wrapText="1"/>
    </xf>
    <xf numFmtId="49" fontId="55" fillId="0" borderId="24" xfId="0" applyNumberFormat="1" applyFont="1" applyFill="1" applyBorder="1" applyAlignment="1">
      <alignment horizontal="center" vertical="top"/>
    </xf>
    <xf numFmtId="0" fontId="56" fillId="0" borderId="0" xfId="0" applyFont="1" applyAlignment="1">
      <alignment vertical="center" wrapText="1"/>
    </xf>
    <xf numFmtId="0" fontId="55" fillId="0" borderId="25" xfId="0" applyFont="1" applyFill="1" applyBorder="1" applyAlignment="1">
      <alignment horizontal="right" vertical="top" wrapText="1"/>
    </xf>
    <xf numFmtId="49" fontId="55" fillId="0" borderId="37" xfId="0" applyNumberFormat="1" applyFont="1" applyFill="1" applyBorder="1" applyAlignment="1">
      <alignment horizontal="center" vertical="top"/>
    </xf>
    <xf numFmtId="0" fontId="56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0" fillId="0" borderId="25" xfId="0" applyFont="1" applyFill="1" applyBorder="1" applyAlignment="1">
      <alignment horizontal="right" vertical="top" wrapText="1"/>
    </xf>
    <xf numFmtId="49" fontId="50" fillId="0" borderId="24" xfId="0" applyNumberFormat="1" applyFont="1" applyFill="1" applyBorder="1" applyAlignment="1">
      <alignment horizontal="center" vertical="top"/>
    </xf>
    <xf numFmtId="0" fontId="51" fillId="0" borderId="0" xfId="0" applyFont="1" applyAlignment="1">
      <alignment vertical="center"/>
    </xf>
    <xf numFmtId="0" fontId="50" fillId="0" borderId="24" xfId="0" applyFont="1" applyFill="1" applyBorder="1" applyAlignment="1">
      <alignment horizontal="left" vertical="top" wrapText="1"/>
    </xf>
    <xf numFmtId="0" fontId="52" fillId="0" borderId="37" xfId="0" applyFont="1" applyFill="1" applyBorder="1" applyAlignment="1">
      <alignment horizontal="left" vertical="top" wrapText="1"/>
    </xf>
    <xf numFmtId="49" fontId="52" fillId="0" borderId="37" xfId="0" applyNumberFormat="1" applyFont="1" applyFill="1" applyBorder="1" applyAlignment="1">
      <alignment horizontal="center" vertical="top"/>
    </xf>
    <xf numFmtId="0" fontId="50" fillId="0" borderId="25" xfId="0" applyFont="1" applyFill="1" applyBorder="1" applyAlignment="1">
      <alignment horizontal="left" vertical="top" wrapText="1"/>
    </xf>
    <xf numFmtId="0" fontId="51" fillId="0" borderId="0" xfId="0" applyFont="1" applyFill="1"/>
    <xf numFmtId="0" fontId="50" fillId="0" borderId="13" xfId="0" applyFont="1" applyFill="1" applyBorder="1" applyAlignment="1">
      <alignment horizontal="right" vertical="top" wrapText="1"/>
    </xf>
    <xf numFmtId="0" fontId="50" fillId="0" borderId="37" xfId="0" applyFont="1" applyFill="1" applyBorder="1" applyAlignment="1">
      <alignment horizontal="left" vertical="top" wrapText="1"/>
    </xf>
    <xf numFmtId="49" fontId="50" fillId="0" borderId="37" xfId="0" applyNumberFormat="1" applyFont="1" applyFill="1" applyBorder="1" applyAlignment="1">
      <alignment horizontal="center" vertical="top"/>
    </xf>
    <xf numFmtId="0" fontId="48" fillId="0" borderId="12" xfId="0" applyFont="1" applyFill="1" applyBorder="1" applyAlignment="1">
      <alignment horizontal="center" wrapText="1"/>
    </xf>
    <xf numFmtId="0" fontId="52" fillId="0" borderId="25" xfId="0" applyFont="1" applyFill="1" applyBorder="1" applyAlignment="1">
      <alignment horizontal="left" vertical="top"/>
    </xf>
    <xf numFmtId="0" fontId="52" fillId="0" borderId="13" xfId="0" applyFont="1" applyFill="1" applyBorder="1" applyAlignment="1">
      <alignment horizontal="left" vertical="top" wrapText="1"/>
    </xf>
    <xf numFmtId="0" fontId="50" fillId="0" borderId="12" xfId="0" applyFont="1" applyFill="1" applyBorder="1" applyAlignment="1">
      <alignment horizontal="center" vertical="center"/>
    </xf>
    <xf numFmtId="0" fontId="50" fillId="0" borderId="0" xfId="0" applyFont="1" applyAlignment="1">
      <alignment vertical="center" wrapText="1"/>
    </xf>
    <xf numFmtId="0" fontId="52" fillId="0" borderId="0" xfId="0" applyFont="1" applyAlignment="1">
      <alignment vertical="center" wrapText="1"/>
    </xf>
    <xf numFmtId="0" fontId="50" fillId="0" borderId="13" xfId="0" applyFont="1" applyFill="1" applyBorder="1" applyAlignment="1">
      <alignment horizontal="left" vertical="top" wrapText="1"/>
    </xf>
    <xf numFmtId="0" fontId="50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59" fillId="0" borderId="0" xfId="0" applyFont="1" applyAlignment="1">
      <alignment horizontal="left" vertical="center"/>
    </xf>
    <xf numFmtId="0" fontId="6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2" fillId="0" borderId="6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9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61" xfId="0" applyBorder="1" applyAlignment="1">
      <alignment vertical="center"/>
    </xf>
    <xf numFmtId="0" fontId="61" fillId="0" borderId="28" xfId="0" applyFont="1" applyBorder="1" applyAlignment="1">
      <alignment horizontal="left" vertical="center"/>
    </xf>
    <xf numFmtId="0" fontId="61" fillId="0" borderId="22" xfId="0" applyFont="1" applyBorder="1" applyAlignment="1">
      <alignment horizontal="left" vertical="center"/>
    </xf>
    <xf numFmtId="0" fontId="61" fillId="0" borderId="23" xfId="0" applyFont="1" applyBorder="1" applyAlignment="1">
      <alignment horizontal="left" vertical="center"/>
    </xf>
    <xf numFmtId="0" fontId="61" fillId="0" borderId="0" xfId="0" applyFont="1" applyAlignment="1">
      <alignment horizontal="left" vertical="center"/>
    </xf>
    <xf numFmtId="0" fontId="51" fillId="0" borderId="17" xfId="0" applyFont="1" applyBorder="1" applyAlignment="1">
      <alignment horizontal="left" vertical="center"/>
    </xf>
    <xf numFmtId="0" fontId="51" fillId="0" borderId="0" xfId="0" applyFont="1" applyBorder="1" applyAlignment="1">
      <alignment horizontal="left" vertical="center"/>
    </xf>
    <xf numFmtId="0" fontId="51" fillId="0" borderId="18" xfId="0" applyFont="1" applyBorder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62" fillId="0" borderId="19" xfId="0" applyFont="1" applyBorder="1" applyAlignment="1">
      <alignment horizontal="left" vertical="center"/>
    </xf>
    <xf numFmtId="0" fontId="62" fillId="0" borderId="20" xfId="0" applyFont="1" applyBorder="1" applyAlignment="1">
      <alignment horizontal="left" vertical="center"/>
    </xf>
    <xf numFmtId="0" fontId="62" fillId="0" borderId="21" xfId="0" applyFont="1" applyBorder="1" applyAlignment="1">
      <alignment horizontal="left" vertical="center"/>
    </xf>
    <xf numFmtId="0" fontId="62" fillId="0" borderId="0" xfId="0" applyFont="1" applyAlignment="1">
      <alignment horizontal="left" vertical="center"/>
    </xf>
    <xf numFmtId="0" fontId="63" fillId="0" borderId="0" xfId="0" applyFont="1" applyAlignment="1">
      <alignment horizontal="left" vertical="center"/>
    </xf>
    <xf numFmtId="0" fontId="56" fillId="0" borderId="28" xfId="0" applyFont="1" applyBorder="1" applyAlignment="1">
      <alignment horizontal="left" vertical="center"/>
    </xf>
    <xf numFmtId="0" fontId="63" fillId="0" borderId="22" xfId="0" applyFont="1" applyBorder="1" applyAlignment="1">
      <alignment horizontal="left" vertical="center"/>
    </xf>
    <xf numFmtId="0" fontId="53" fillId="0" borderId="22" xfId="0" applyFont="1" applyBorder="1" applyAlignment="1">
      <alignment horizontal="left" vertical="center"/>
    </xf>
    <xf numFmtId="0" fontId="53" fillId="0" borderId="62" xfId="0" applyFont="1" applyBorder="1" applyAlignment="1">
      <alignment horizontal="left" vertical="center"/>
    </xf>
    <xf numFmtId="0" fontId="56" fillId="0" borderId="22" xfId="0" applyFont="1" applyBorder="1" applyAlignment="1">
      <alignment horizontal="left" vertical="center"/>
    </xf>
    <xf numFmtId="0" fontId="64" fillId="0" borderId="22" xfId="0" applyFont="1" applyBorder="1" applyAlignment="1">
      <alignment horizontal="left" vertical="center"/>
    </xf>
    <xf numFmtId="0" fontId="63" fillId="0" borderId="62" xfId="0" applyFont="1" applyBorder="1" applyAlignment="1">
      <alignment horizontal="left" vertical="center"/>
    </xf>
    <xf numFmtId="0" fontId="63" fillId="0" borderId="23" xfId="0" applyFont="1" applyBorder="1" applyAlignment="1">
      <alignment horizontal="left" vertical="center"/>
    </xf>
    <xf numFmtId="0" fontId="53" fillId="0" borderId="24" xfId="0" applyFont="1" applyBorder="1" applyAlignment="1">
      <alignment horizontal="left" vertical="center"/>
    </xf>
    <xf numFmtId="0" fontId="53" fillId="0" borderId="0" xfId="0" applyFont="1" applyBorder="1" applyAlignment="1">
      <alignment horizontal="left" vertical="center"/>
    </xf>
    <xf numFmtId="0" fontId="63" fillId="0" borderId="0" xfId="0" applyFont="1" applyBorder="1" applyAlignment="1">
      <alignment horizontal="left" vertical="center"/>
    </xf>
    <xf numFmtId="0" fontId="63" fillId="0" borderId="6" xfId="0" applyFont="1" applyBorder="1" applyAlignment="1">
      <alignment horizontal="left" vertical="center"/>
    </xf>
    <xf numFmtId="0" fontId="56" fillId="0" borderId="0" xfId="0" applyFont="1" applyBorder="1" applyAlignment="1">
      <alignment horizontal="left"/>
    </xf>
    <xf numFmtId="0" fontId="63" fillId="0" borderId="18" xfId="0" applyFont="1" applyBorder="1" applyAlignment="1">
      <alignment horizontal="left" vertical="center"/>
    </xf>
    <xf numFmtId="0" fontId="63" fillId="0" borderId="17" xfId="0" applyFont="1" applyBorder="1" applyAlignment="1">
      <alignment horizontal="left" vertical="center"/>
    </xf>
    <xf numFmtId="0" fontId="53" fillId="0" borderId="6" xfId="0" applyFont="1" applyBorder="1" applyAlignment="1">
      <alignment horizontal="left" vertical="center"/>
    </xf>
    <xf numFmtId="0" fontId="53" fillId="0" borderId="0" xfId="0" applyFont="1" applyBorder="1" applyAlignment="1">
      <alignment horizontal="left"/>
    </xf>
    <xf numFmtId="0" fontId="53" fillId="0" borderId="24" xfId="0" applyFont="1" applyBorder="1" applyAlignment="1">
      <alignment horizontal="left"/>
    </xf>
    <xf numFmtId="0" fontId="63" fillId="0" borderId="7" xfId="0" applyFont="1" applyBorder="1" applyAlignment="1">
      <alignment horizontal="left"/>
    </xf>
    <xf numFmtId="0" fontId="63" fillId="0" borderId="8" xfId="0" applyFont="1" applyBorder="1" applyAlignment="1">
      <alignment horizontal="left" vertical="center"/>
    </xf>
    <xf numFmtId="0" fontId="56" fillId="0" borderId="8" xfId="0" applyFont="1" applyBorder="1" applyAlignment="1">
      <alignment horizontal="left"/>
    </xf>
    <xf numFmtId="0" fontId="63" fillId="0" borderId="63" xfId="0" applyFont="1" applyBorder="1" applyAlignment="1">
      <alignment horizontal="left" vertical="center"/>
    </xf>
    <xf numFmtId="0" fontId="56" fillId="0" borderId="0" xfId="0" applyFont="1" applyBorder="1" applyAlignment="1">
      <alignment horizontal="left" vertical="center"/>
    </xf>
    <xf numFmtId="0" fontId="53" fillId="0" borderId="18" xfId="0" applyFont="1" applyBorder="1" applyAlignment="1">
      <alignment horizontal="left" vertical="center"/>
    </xf>
    <xf numFmtId="0" fontId="65" fillId="0" borderId="0" xfId="0" applyFont="1" applyBorder="1" applyAlignment="1">
      <alignment horizontal="left"/>
    </xf>
    <xf numFmtId="0" fontId="63" fillId="0" borderId="19" xfId="0" applyFont="1" applyBorder="1" applyAlignment="1">
      <alignment horizontal="left" vertical="center"/>
    </xf>
    <xf numFmtId="0" fontId="63" fillId="0" borderId="20" xfId="0" applyFont="1" applyBorder="1" applyAlignment="1">
      <alignment horizontal="left" vertical="center"/>
    </xf>
    <xf numFmtId="0" fontId="53" fillId="0" borderId="20" xfId="0" applyFont="1" applyBorder="1" applyAlignment="1">
      <alignment horizontal="left" vertical="center"/>
    </xf>
    <xf numFmtId="0" fontId="53" fillId="0" borderId="64" xfId="0" applyFont="1" applyBorder="1" applyAlignment="1">
      <alignment horizontal="left" vertical="center"/>
    </xf>
    <xf numFmtId="0" fontId="53" fillId="0" borderId="21" xfId="0" applyFont="1" applyBorder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51" fillId="0" borderId="28" xfId="0" applyFont="1" applyBorder="1" applyAlignment="1">
      <alignment horizontal="left" vertical="center"/>
    </xf>
    <xf numFmtId="0" fontId="53" fillId="0" borderId="23" xfId="0" applyFont="1" applyBorder="1" applyAlignment="1">
      <alignment horizontal="left" vertical="center"/>
    </xf>
    <xf numFmtId="0" fontId="51" fillId="0" borderId="17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4" fillId="0" borderId="65" xfId="0" applyFont="1" applyBorder="1" applyAlignment="1">
      <alignment vertical="center"/>
    </xf>
    <xf numFmtId="0" fontId="54" fillId="0" borderId="2" xfId="0" applyFont="1" applyBorder="1" applyAlignment="1">
      <alignment vertical="center"/>
    </xf>
    <xf numFmtId="0" fontId="64" fillId="0" borderId="2" xfId="0" applyFont="1" applyBorder="1" applyAlignment="1">
      <alignment horizontal="left" vertical="center"/>
    </xf>
    <xf numFmtId="0" fontId="64" fillId="0" borderId="58" xfId="0" applyFont="1" applyBorder="1" applyAlignment="1">
      <alignment horizontal="left" vertical="center"/>
    </xf>
    <xf numFmtId="0" fontId="51" fillId="0" borderId="0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51" fillId="0" borderId="28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66" fillId="0" borderId="22" xfId="0" applyFont="1" applyBorder="1" applyAlignment="1">
      <alignment horizontal="left" vertical="center"/>
    </xf>
    <xf numFmtId="0" fontId="66" fillId="0" borderId="62" xfId="0" applyFont="1" applyBorder="1" applyAlignment="1">
      <alignment horizontal="left" vertical="center"/>
    </xf>
    <xf numFmtId="0" fontId="51" fillId="0" borderId="62" xfId="0" applyFont="1" applyBorder="1" applyAlignment="1">
      <alignment vertical="top" wrapText="1"/>
    </xf>
    <xf numFmtId="0" fontId="66" fillId="0" borderId="0" xfId="0" applyFont="1" applyAlignment="1">
      <alignment horizontal="left" vertical="center"/>
    </xf>
    <xf numFmtId="0" fontId="51" fillId="0" borderId="0" xfId="0" applyFont="1" applyBorder="1" applyAlignment="1">
      <alignment vertical="center" wrapText="1"/>
    </xf>
    <xf numFmtId="0" fontId="51" fillId="0" borderId="6" xfId="0" applyFont="1" applyBorder="1" applyAlignment="1">
      <alignment vertical="center" wrapText="1"/>
    </xf>
    <xf numFmtId="0" fontId="51" fillId="0" borderId="6" xfId="0" applyFont="1" applyBorder="1" applyAlignment="1">
      <alignment vertical="top" wrapText="1"/>
    </xf>
    <xf numFmtId="0" fontId="51" fillId="0" borderId="66" xfId="0" applyFont="1" applyBorder="1" applyAlignment="1">
      <alignment horizontal="left" vertical="center"/>
    </xf>
    <xf numFmtId="0" fontId="51" fillId="0" borderId="8" xfId="0" applyFont="1" applyBorder="1" applyAlignment="1">
      <alignment horizontal="left" vertical="center"/>
    </xf>
    <xf numFmtId="0" fontId="51" fillId="0" borderId="8" xfId="0" applyFont="1" applyBorder="1" applyAlignment="1">
      <alignment vertical="center" wrapText="1"/>
    </xf>
    <xf numFmtId="0" fontId="51" fillId="0" borderId="9" xfId="0" applyFont="1" applyBorder="1" applyAlignment="1">
      <alignment vertical="center" wrapText="1"/>
    </xf>
    <xf numFmtId="0" fontId="51" fillId="0" borderId="0" xfId="0" applyFont="1" applyBorder="1" applyAlignment="1">
      <alignment vertical="top" wrapText="1"/>
    </xf>
    <xf numFmtId="0" fontId="51" fillId="0" borderId="1" xfId="0" applyFont="1" applyBorder="1" applyAlignment="1">
      <alignment vertical="top" wrapText="1"/>
    </xf>
    <xf numFmtId="0" fontId="51" fillId="0" borderId="6" xfId="0" applyFont="1" applyBorder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19" fillId="0" borderId="64" xfId="0" applyFont="1" applyBorder="1" applyAlignment="1">
      <alignment horizontal="left" vertical="center"/>
    </xf>
    <xf numFmtId="0" fontId="19" fillId="0" borderId="67" xfId="0" applyFont="1" applyBorder="1" applyAlignment="1">
      <alignment horizontal="left" vertical="center"/>
    </xf>
    <xf numFmtId="0" fontId="67" fillId="0" borderId="28" xfId="0" applyFont="1" applyBorder="1" applyAlignment="1">
      <alignment horizontal="left" vertical="center"/>
    </xf>
    <xf numFmtId="0" fontId="19" fillId="0" borderId="22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51" fillId="0" borderId="19" xfId="0" applyFont="1" applyBorder="1" applyAlignment="1">
      <alignment horizontal="left" vertical="center"/>
    </xf>
    <xf numFmtId="0" fontId="51" fillId="0" borderId="20" xfId="0" applyFont="1" applyBorder="1" applyAlignment="1">
      <alignment horizontal="left" vertical="center"/>
    </xf>
    <xf numFmtId="0" fontId="19" fillId="0" borderId="61" xfId="0" applyFont="1" applyBorder="1" applyAlignment="1">
      <alignment horizontal="left" vertical="center"/>
    </xf>
    <xf numFmtId="0" fontId="52" fillId="0" borderId="42" xfId="0" applyFont="1" applyFill="1" applyBorder="1" applyAlignment="1">
      <alignment horizontal="center" vertical="center" wrapText="1"/>
    </xf>
    <xf numFmtId="0" fontId="52" fillId="0" borderId="35" xfId="0" applyFont="1" applyFill="1" applyBorder="1" applyAlignment="1">
      <alignment horizontal="center" wrapText="1"/>
    </xf>
    <xf numFmtId="0" fontId="68" fillId="0" borderId="35" xfId="0" applyFont="1" applyFill="1" applyBorder="1" applyAlignment="1">
      <alignment horizontal="center" wrapText="1"/>
    </xf>
    <xf numFmtId="3" fontId="3" fillId="0" borderId="0" xfId="0" applyNumberFormat="1" applyFont="1" applyBorder="1" applyAlignment="1" applyProtection="1">
      <alignment vertical="top"/>
    </xf>
    <xf numFmtId="3" fontId="5" fillId="3" borderId="6" xfId="1" applyNumberFormat="1" applyFont="1" applyFill="1" applyBorder="1" applyAlignment="1" applyProtection="1">
      <alignment horizontal="center" vertical="top"/>
    </xf>
    <xf numFmtId="0" fontId="48" fillId="0" borderId="12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63" fillId="0" borderId="64" xfId="0" applyFont="1" applyBorder="1" applyAlignment="1">
      <alignment horizontal="left" vertical="center"/>
    </xf>
    <xf numFmtId="0" fontId="56" fillId="0" borderId="20" xfId="0" applyFont="1" applyBorder="1" applyAlignment="1">
      <alignment horizontal="left"/>
    </xf>
    <xf numFmtId="0" fontId="56" fillId="0" borderId="20" xfId="0" applyFont="1" applyBorder="1" applyAlignment="1">
      <alignment horizontal="left" vertical="center"/>
    </xf>
    <xf numFmtId="0" fontId="18" fillId="0" borderId="25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Fill="1" applyBorder="1" applyAlignment="1" applyProtection="1">
      <alignment horizontal="center" vertical="center"/>
      <protection locked="0"/>
    </xf>
    <xf numFmtId="0" fontId="18" fillId="0" borderId="24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167" fontId="18" fillId="0" borderId="24" xfId="0" applyNumberFormat="1" applyFont="1" applyBorder="1" applyAlignment="1">
      <alignment horizontal="right" vertical="center"/>
    </xf>
    <xf numFmtId="167" fontId="18" fillId="0" borderId="47" xfId="0" applyNumberFormat="1" applyFont="1" applyBorder="1" applyAlignment="1">
      <alignment horizontal="right" vertical="center"/>
    </xf>
    <xf numFmtId="167" fontId="57" fillId="0" borderId="24" xfId="0" applyNumberFormat="1" applyFont="1" applyBorder="1" applyAlignment="1">
      <alignment horizontal="right" vertical="center"/>
    </xf>
    <xf numFmtId="167" fontId="57" fillId="0" borderId="47" xfId="0" applyNumberFormat="1" applyFont="1" applyBorder="1" applyAlignment="1">
      <alignment horizontal="right" vertical="center"/>
    </xf>
    <xf numFmtId="167" fontId="18" fillId="0" borderId="37" xfId="0" applyNumberFormat="1" applyFont="1" applyBorder="1" applyAlignment="1">
      <alignment horizontal="right" vertical="center"/>
    </xf>
    <xf numFmtId="167" fontId="18" fillId="0" borderId="14" xfId="0" applyNumberFormat="1" applyFont="1" applyBorder="1" applyAlignment="1">
      <alignment horizontal="right" vertical="center"/>
    </xf>
    <xf numFmtId="0" fontId="69" fillId="0" borderId="25" xfId="0" applyFont="1" applyFill="1" applyBorder="1" applyAlignment="1">
      <alignment horizontal="left" vertical="top" wrapText="1"/>
    </xf>
    <xf numFmtId="49" fontId="69" fillId="0" borderId="24" xfId="0" applyNumberFormat="1" applyFont="1" applyFill="1" applyBorder="1" applyAlignment="1">
      <alignment horizontal="center" vertical="top"/>
    </xf>
    <xf numFmtId="167" fontId="2" fillId="0" borderId="24" xfId="0" applyNumberFormat="1" applyFont="1" applyFill="1" applyBorder="1" applyAlignment="1">
      <alignment horizontal="right" vertical="center"/>
    </xf>
    <xf numFmtId="167" fontId="2" fillId="0" borderId="47" xfId="0" applyNumberFormat="1" applyFont="1" applyFill="1" applyBorder="1" applyAlignment="1">
      <alignment horizontal="right" vertical="center"/>
    </xf>
    <xf numFmtId="167" fontId="2" fillId="0" borderId="37" xfId="0" applyNumberFormat="1" applyFont="1" applyFill="1" applyBorder="1" applyAlignment="1">
      <alignment horizontal="right" vertical="center"/>
    </xf>
    <xf numFmtId="167" fontId="2" fillId="0" borderId="14" xfId="0" applyNumberFormat="1" applyFont="1" applyFill="1" applyBorder="1" applyAlignment="1">
      <alignment horizontal="right" vertical="center"/>
    </xf>
    <xf numFmtId="167" fontId="58" fillId="0" borderId="24" xfId="0" applyNumberFormat="1" applyFont="1" applyFill="1" applyBorder="1" applyAlignment="1">
      <alignment horizontal="right" vertical="center"/>
    </xf>
    <xf numFmtId="167" fontId="58" fillId="0" borderId="47" xfId="0" applyNumberFormat="1" applyFont="1" applyFill="1" applyBorder="1" applyAlignment="1">
      <alignment horizontal="right" vertical="center"/>
    </xf>
    <xf numFmtId="0" fontId="49" fillId="0" borderId="35" xfId="0" applyFont="1" applyFill="1" applyBorder="1" applyAlignment="1">
      <alignment horizontal="center" vertical="center" wrapText="1"/>
    </xf>
    <xf numFmtId="0" fontId="48" fillId="0" borderId="35" xfId="0" applyFont="1" applyFill="1" applyBorder="1" applyAlignment="1">
      <alignment horizontal="center" vertical="center" wrapText="1"/>
    </xf>
    <xf numFmtId="0" fontId="49" fillId="0" borderId="42" xfId="0" applyFont="1" applyFill="1" applyBorder="1" applyAlignment="1">
      <alignment horizontal="center" vertical="center" wrapText="1"/>
    </xf>
    <xf numFmtId="170" fontId="18" fillId="0" borderId="0" xfId="0" applyNumberFormat="1" applyFont="1" applyBorder="1" applyAlignment="1">
      <alignment horizontal="center" vertical="center"/>
    </xf>
    <xf numFmtId="171" fontId="51" fillId="0" borderId="0" xfId="0" applyNumberFormat="1" applyFont="1" applyAlignment="1">
      <alignment horizontal="left" vertical="center"/>
    </xf>
    <xf numFmtId="172" fontId="18" fillId="0" borderId="24" xfId="0" applyNumberFormat="1" applyFont="1" applyBorder="1" applyAlignment="1">
      <alignment horizontal="center" vertical="center"/>
    </xf>
    <xf numFmtId="172" fontId="18" fillId="0" borderId="25" xfId="0" applyNumberFormat="1" applyFont="1" applyBorder="1" applyAlignment="1">
      <alignment horizontal="center" vertical="center"/>
    </xf>
    <xf numFmtId="0" fontId="70" fillId="0" borderId="0" xfId="0" applyFont="1"/>
    <xf numFmtId="0" fontId="70" fillId="0" borderId="24" xfId="0" applyFont="1" applyBorder="1" applyAlignment="1" applyProtection="1">
      <alignment horizontal="center"/>
    </xf>
    <xf numFmtId="37" fontId="70" fillId="0" borderId="24" xfId="0" applyNumberFormat="1" applyFont="1" applyBorder="1" applyAlignment="1" applyProtection="1">
      <alignment horizontal="center"/>
    </xf>
    <xf numFmtId="0" fontId="70" fillId="0" borderId="0" xfId="0" applyFont="1" applyBorder="1" applyAlignment="1" applyProtection="1">
      <alignment horizontal="center"/>
    </xf>
    <xf numFmtId="49" fontId="70" fillId="0" borderId="0" xfId="5" applyNumberFormat="1" applyFont="1" applyFill="1" applyBorder="1" applyAlignment="1">
      <alignment horizontal="center" vertical="center"/>
    </xf>
    <xf numFmtId="49" fontId="70" fillId="0" borderId="24" xfId="5" applyNumberFormat="1" applyFont="1" applyFill="1" applyBorder="1" applyAlignment="1">
      <alignment horizontal="center" vertical="center"/>
    </xf>
    <xf numFmtId="167" fontId="70" fillId="0" borderId="24" xfId="2" applyNumberFormat="1" applyFont="1" applyFill="1" applyBorder="1" applyAlignment="1">
      <alignment horizontal="right" vertical="center"/>
    </xf>
    <xf numFmtId="167" fontId="70" fillId="0" borderId="24" xfId="5" applyNumberFormat="1" applyFont="1" applyFill="1" applyBorder="1" applyAlignment="1">
      <alignment horizontal="right" vertical="center"/>
    </xf>
    <xf numFmtId="167" fontId="70" fillId="0" borderId="0" xfId="5" applyNumberFormat="1" applyFont="1" applyFill="1" applyBorder="1" applyAlignment="1">
      <alignment horizontal="right" vertical="center"/>
    </xf>
    <xf numFmtId="49" fontId="71" fillId="0" borderId="0" xfId="5" applyNumberFormat="1" applyFont="1" applyFill="1" applyBorder="1" applyAlignment="1">
      <alignment horizontal="center" vertical="center"/>
    </xf>
    <xf numFmtId="49" fontId="71" fillId="0" borderId="0" xfId="5" applyNumberFormat="1" applyFont="1" applyFill="1" applyBorder="1" applyAlignment="1">
      <alignment vertical="center"/>
    </xf>
    <xf numFmtId="167" fontId="71" fillId="0" borderId="0" xfId="5" applyNumberFormat="1" applyFont="1" applyFill="1" applyBorder="1" applyAlignment="1">
      <alignment horizontal="right" vertical="center"/>
    </xf>
    <xf numFmtId="0" fontId="70" fillId="0" borderId="0" xfId="0" applyFont="1" applyFill="1"/>
    <xf numFmtId="1" fontId="70" fillId="0" borderId="24" xfId="5" applyNumberFormat="1" applyFont="1" applyFill="1" applyBorder="1" applyAlignment="1">
      <alignment horizontal="center" vertical="center"/>
    </xf>
    <xf numFmtId="1" fontId="70" fillId="0" borderId="0" xfId="5" applyNumberFormat="1" applyFont="1" applyFill="1" applyBorder="1" applyAlignment="1">
      <alignment horizontal="center" vertical="center"/>
    </xf>
    <xf numFmtId="0" fontId="70" fillId="0" borderId="0" xfId="0" applyFont="1" applyFill="1" applyAlignment="1"/>
    <xf numFmtId="0" fontId="70" fillId="0" borderId="0" xfId="0" applyFont="1" applyFill="1" applyAlignment="1">
      <alignment horizontal="center"/>
    </xf>
    <xf numFmtId="49" fontId="71" fillId="0" borderId="2" xfId="5" applyNumberFormat="1" applyFont="1" applyFill="1" applyBorder="1" applyAlignment="1">
      <alignment horizontal="center" vertical="center"/>
    </xf>
    <xf numFmtId="167" fontId="71" fillId="0" borderId="2" xfId="5" applyNumberFormat="1" applyFont="1" applyFill="1" applyBorder="1" applyAlignment="1">
      <alignment horizontal="right" vertical="center"/>
    </xf>
    <xf numFmtId="0" fontId="70" fillId="0" borderId="0" xfId="0" applyFont="1" applyBorder="1"/>
    <xf numFmtId="167" fontId="70" fillId="0" borderId="0" xfId="0" applyNumberFormat="1" applyFont="1"/>
    <xf numFmtId="0" fontId="72" fillId="0" borderId="0" xfId="0" applyFont="1" applyProtection="1">
      <protection locked="0"/>
    </xf>
    <xf numFmtId="14" fontId="73" fillId="0" borderId="0" xfId="0" applyNumberFormat="1" applyFont="1" applyAlignment="1">
      <alignment horizontal="center"/>
    </xf>
    <xf numFmtId="167" fontId="72" fillId="0" borderId="0" xfId="0" applyNumberFormat="1" applyFont="1" applyProtection="1">
      <protection locked="0"/>
    </xf>
    <xf numFmtId="0" fontId="70" fillId="0" borderId="68" xfId="0" applyFont="1" applyBorder="1" applyAlignment="1" applyProtection="1">
      <alignment horizontal="center"/>
    </xf>
    <xf numFmtId="0" fontId="70" fillId="0" borderId="68" xfId="0" applyFont="1" applyBorder="1" applyAlignment="1" applyProtection="1">
      <alignment horizontal="right"/>
    </xf>
    <xf numFmtId="167" fontId="70" fillId="0" borderId="0" xfId="0" applyNumberFormat="1" applyFont="1" applyBorder="1"/>
    <xf numFmtId="3" fontId="71" fillId="0" borderId="0" xfId="5" applyNumberFormat="1" applyFont="1" applyFill="1" applyBorder="1" applyAlignment="1">
      <alignment horizontal="right" vertical="center"/>
    </xf>
    <xf numFmtId="0" fontId="70" fillId="0" borderId="24" xfId="0" applyFont="1" applyBorder="1" applyAlignment="1" applyProtection="1">
      <alignment horizontal="center" vertical="center"/>
    </xf>
    <xf numFmtId="3" fontId="70" fillId="0" borderId="24" xfId="0" applyNumberFormat="1" applyFont="1" applyBorder="1" applyAlignment="1" applyProtection="1">
      <alignment horizontal="center" vertical="center"/>
    </xf>
    <xf numFmtId="3" fontId="70" fillId="0" borderId="24" xfId="0" applyNumberFormat="1" applyFont="1" applyBorder="1" applyAlignment="1" applyProtection="1">
      <alignment horizontal="right" vertical="center"/>
    </xf>
    <xf numFmtId="3" fontId="70" fillId="0" borderId="0" xfId="0" applyNumberFormat="1" applyFont="1" applyBorder="1"/>
    <xf numFmtId="49" fontId="70" fillId="0" borderId="2" xfId="5" applyNumberFormat="1" applyFont="1" applyFill="1" applyBorder="1" applyAlignment="1">
      <alignment horizontal="center" vertical="center"/>
    </xf>
    <xf numFmtId="167" fontId="70" fillId="0" borderId="2" xfId="5" applyNumberFormat="1" applyFont="1" applyFill="1" applyBorder="1" applyAlignment="1">
      <alignment horizontal="right" vertical="center"/>
    </xf>
    <xf numFmtId="167" fontId="27" fillId="0" borderId="24" xfId="0" applyNumberFormat="1" applyFont="1" applyFill="1" applyBorder="1" applyAlignment="1">
      <alignment horizontal="right" vertical="center"/>
    </xf>
    <xf numFmtId="167" fontId="27" fillId="0" borderId="47" xfId="0" applyNumberFormat="1" applyFont="1" applyFill="1" applyBorder="1" applyAlignment="1">
      <alignment horizontal="right" vertical="center"/>
    </xf>
    <xf numFmtId="167" fontId="58" fillId="0" borderId="37" xfId="0" applyNumberFormat="1" applyFont="1" applyFill="1" applyBorder="1" applyAlignment="1">
      <alignment horizontal="right" vertical="center"/>
    </xf>
    <xf numFmtId="167" fontId="58" fillId="0" borderId="14" xfId="0" applyNumberFormat="1" applyFont="1" applyFill="1" applyBorder="1" applyAlignment="1">
      <alignment horizontal="right" vertical="center"/>
    </xf>
    <xf numFmtId="167" fontId="57" fillId="0" borderId="37" xfId="0" applyNumberFormat="1" applyFont="1" applyBorder="1" applyAlignment="1">
      <alignment horizontal="right" vertical="center"/>
    </xf>
    <xf numFmtId="167" fontId="57" fillId="0" borderId="14" xfId="0" applyNumberFormat="1" applyFont="1" applyBorder="1" applyAlignment="1">
      <alignment horizontal="right" vertical="center"/>
    </xf>
    <xf numFmtId="0" fontId="74" fillId="0" borderId="0" xfId="0" applyFont="1" applyFill="1"/>
    <xf numFmtId="14" fontId="75" fillId="0" borderId="0" xfId="0" applyNumberFormat="1" applyFont="1" applyAlignment="1">
      <alignment horizontal="left"/>
    </xf>
    <xf numFmtId="0" fontId="18" fillId="0" borderId="14" xfId="0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center"/>
    </xf>
    <xf numFmtId="0" fontId="18" fillId="0" borderId="47" xfId="0" applyFont="1" applyBorder="1" applyAlignment="1">
      <alignment horizontal="left" vertical="center"/>
    </xf>
    <xf numFmtId="0" fontId="18" fillId="0" borderId="4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57" fillId="0" borderId="0" xfId="0" applyFont="1" applyAlignment="1">
      <alignment vertical="center"/>
    </xf>
    <xf numFmtId="0" fontId="76" fillId="0" borderId="0" xfId="0" applyFont="1" applyAlignment="1">
      <alignment horizontal="right"/>
    </xf>
    <xf numFmtId="0" fontId="12" fillId="0" borderId="0" xfId="0" applyFont="1"/>
    <xf numFmtId="49" fontId="71" fillId="0" borderId="24" xfId="5" applyNumberFormat="1" applyFont="1" applyFill="1" applyBorder="1" applyAlignment="1">
      <alignment horizontal="center" vertical="center"/>
    </xf>
    <xf numFmtId="167" fontId="71" fillId="0" borderId="24" xfId="5" applyNumberFormat="1" applyFont="1" applyFill="1" applyBorder="1" applyAlignment="1">
      <alignment horizontal="right" vertical="center"/>
    </xf>
    <xf numFmtId="49" fontId="47" fillId="0" borderId="24" xfId="5" applyNumberFormat="1" applyFont="1" applyFill="1" applyBorder="1" applyAlignment="1">
      <alignment horizontal="center" vertical="center"/>
    </xf>
    <xf numFmtId="0" fontId="77" fillId="0" borderId="0" xfId="0" applyFont="1" applyProtection="1"/>
    <xf numFmtId="0" fontId="77" fillId="0" borderId="0" xfId="0" applyFont="1" applyFill="1" applyAlignment="1"/>
    <xf numFmtId="0" fontId="75" fillId="0" borderId="0" xfId="6" applyFont="1" applyFill="1" applyBorder="1" applyAlignment="1" applyProtection="1">
      <alignment vertical="center" wrapText="1"/>
      <protection hidden="1"/>
    </xf>
    <xf numFmtId="0" fontId="77" fillId="0" borderId="0" xfId="0" applyFont="1" applyFill="1" applyBorder="1"/>
    <xf numFmtId="0" fontId="77" fillId="0" borderId="0" xfId="6" applyFont="1" applyFill="1" applyBorder="1" applyAlignment="1" applyProtection="1">
      <alignment vertical="center" wrapText="1"/>
      <protection hidden="1"/>
    </xf>
    <xf numFmtId="0" fontId="78" fillId="0" borderId="0" xfId="6" applyFont="1" applyFill="1" applyBorder="1" applyAlignment="1" applyProtection="1">
      <alignment vertical="center" wrapText="1"/>
      <protection hidden="1"/>
    </xf>
    <xf numFmtId="0" fontId="75" fillId="0" borderId="0" xfId="4" applyFont="1" applyFill="1" applyBorder="1" applyAlignment="1" applyProtection="1">
      <alignment vertical="center" wrapText="1"/>
      <protection hidden="1"/>
    </xf>
    <xf numFmtId="0" fontId="77" fillId="0" borderId="0" xfId="4" applyFont="1" applyFill="1" applyBorder="1" applyAlignment="1" applyProtection="1">
      <alignment vertical="center" wrapText="1"/>
      <protection hidden="1"/>
    </xf>
    <xf numFmtId="0" fontId="77" fillId="0" borderId="0" xfId="5" applyFont="1" applyFill="1" applyBorder="1" applyAlignment="1" applyProtection="1">
      <alignment horizontal="left" vertical="center" wrapText="1"/>
      <protection hidden="1"/>
    </xf>
    <xf numFmtId="0" fontId="75" fillId="0" borderId="0" xfId="5" applyFont="1" applyFill="1" applyBorder="1" applyAlignment="1" applyProtection="1">
      <alignment horizontal="left" vertical="center" wrapText="1"/>
      <protection hidden="1"/>
    </xf>
    <xf numFmtId="0" fontId="75" fillId="0" borderId="0" xfId="6" applyFont="1" applyFill="1" applyBorder="1" applyAlignment="1" applyProtection="1">
      <alignment horizontal="left" vertical="center" wrapText="1"/>
      <protection hidden="1"/>
    </xf>
    <xf numFmtId="0" fontId="77" fillId="0" borderId="0" xfId="6" applyFont="1" applyFill="1" applyBorder="1" applyAlignment="1" applyProtection="1">
      <alignment horizontal="left" vertical="center" wrapText="1"/>
      <protection hidden="1"/>
    </xf>
    <xf numFmtId="0" fontId="78" fillId="0" borderId="0" xfId="6" applyFont="1" applyFill="1" applyBorder="1" applyAlignment="1" applyProtection="1">
      <alignment horizontal="left" vertical="center" wrapText="1"/>
      <protection hidden="1"/>
    </xf>
    <xf numFmtId="0" fontId="79" fillId="0" borderId="0" xfId="0" applyFont="1" applyAlignment="1">
      <alignment horizontal="right"/>
    </xf>
    <xf numFmtId="0" fontId="79" fillId="0" borderId="0" xfId="0" applyFont="1"/>
    <xf numFmtId="3" fontId="80" fillId="0" borderId="0" xfId="0" applyNumberFormat="1" applyFont="1"/>
    <xf numFmtId="0" fontId="76" fillId="0" borderId="0" xfId="0" applyFont="1" applyAlignment="1">
      <alignment horizontal="center"/>
    </xf>
    <xf numFmtId="3" fontId="81" fillId="0" borderId="0" xfId="0" applyNumberFormat="1" applyFont="1" applyBorder="1" applyAlignment="1" applyProtection="1">
      <alignment horizontal="right" vertical="top" wrapText="1"/>
    </xf>
    <xf numFmtId="1" fontId="82" fillId="0" borderId="0" xfId="5" applyNumberFormat="1" applyFont="1" applyFill="1" applyBorder="1" applyAlignment="1">
      <alignment horizontal="center" vertical="center"/>
    </xf>
    <xf numFmtId="3" fontId="83" fillId="0" borderId="0" xfId="0" applyNumberFormat="1" applyFont="1" applyBorder="1" applyAlignment="1" applyProtection="1">
      <alignment vertical="top" wrapText="1"/>
    </xf>
    <xf numFmtId="0" fontId="84" fillId="0" borderId="0" xfId="0" applyFont="1"/>
    <xf numFmtId="49" fontId="15" fillId="0" borderId="0" xfId="6" quotePrefix="1" applyNumberFormat="1" applyFont="1" applyFill="1" applyBorder="1" applyAlignment="1">
      <alignment vertical="center"/>
    </xf>
    <xf numFmtId="0" fontId="55" fillId="0" borderId="24" xfId="0" applyFont="1" applyFill="1" applyBorder="1" applyAlignment="1">
      <alignment horizontal="left" vertical="top" wrapText="1"/>
    </xf>
    <xf numFmtId="0" fontId="19" fillId="0" borderId="16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0" fontId="7" fillId="0" borderId="16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85" fillId="0" borderId="0" xfId="0" applyFont="1" applyBorder="1" applyAlignment="1">
      <alignment horizontal="left"/>
    </xf>
    <xf numFmtId="0" fontId="19" fillId="0" borderId="15" xfId="0" applyFont="1" applyBorder="1" applyAlignment="1">
      <alignment horizontal="left" vertical="center"/>
    </xf>
    <xf numFmtId="0" fontId="70" fillId="0" borderId="0" xfId="0" applyFont="1" applyFill="1" applyBorder="1"/>
    <xf numFmtId="0" fontId="56" fillId="0" borderId="17" xfId="0" applyFont="1" applyBorder="1" applyAlignment="1">
      <alignment horizontal="left" vertical="center"/>
    </xf>
    <xf numFmtId="49" fontId="71" fillId="3" borderId="24" xfId="5" applyNumberFormat="1" applyFont="1" applyFill="1" applyBorder="1" applyAlignment="1">
      <alignment horizontal="center" vertical="center"/>
    </xf>
    <xf numFmtId="167" fontId="71" fillId="3" borderId="24" xfId="5" applyNumberFormat="1" applyFont="1" applyFill="1" applyBorder="1" applyAlignment="1">
      <alignment horizontal="right" vertical="center"/>
    </xf>
    <xf numFmtId="49" fontId="70" fillId="3" borderId="24" xfId="5" applyNumberFormat="1" applyFont="1" applyFill="1" applyBorder="1" applyAlignment="1">
      <alignment horizontal="center" vertical="center"/>
    </xf>
    <xf numFmtId="167" fontId="70" fillId="3" borderId="24" xfId="5" applyNumberFormat="1" applyFont="1" applyFill="1" applyBorder="1" applyAlignment="1">
      <alignment horizontal="right" vertical="center"/>
    </xf>
    <xf numFmtId="1" fontId="70" fillId="3" borderId="24" xfId="5" applyNumberFormat="1" applyFont="1" applyFill="1" applyBorder="1" applyAlignment="1">
      <alignment horizontal="center" vertical="center"/>
    </xf>
    <xf numFmtId="1" fontId="71" fillId="3" borderId="24" xfId="5" applyNumberFormat="1" applyFont="1" applyFill="1" applyBorder="1" applyAlignment="1">
      <alignment horizontal="center" vertical="center"/>
    </xf>
    <xf numFmtId="0" fontId="50" fillId="0" borderId="45" xfId="0" applyFont="1" applyFill="1" applyBorder="1" applyAlignment="1">
      <alignment horizontal="left" vertical="top" wrapText="1"/>
    </xf>
    <xf numFmtId="0" fontId="48" fillId="0" borderId="45" xfId="0" applyFont="1" applyFill="1" applyBorder="1" applyAlignment="1">
      <alignment horizontal="center" vertical="center" wrapText="1"/>
    </xf>
    <xf numFmtId="49" fontId="50" fillId="0" borderId="27" xfId="0" applyNumberFormat="1" applyFont="1" applyFill="1" applyBorder="1" applyAlignment="1">
      <alignment horizontal="center" vertical="top"/>
    </xf>
    <xf numFmtId="0" fontId="49" fillId="0" borderId="27" xfId="0" applyFont="1" applyFill="1" applyBorder="1" applyAlignment="1">
      <alignment horizontal="center" vertical="center" wrapText="1"/>
    </xf>
    <xf numFmtId="0" fontId="48" fillId="0" borderId="27" xfId="0" applyFont="1" applyFill="1" applyBorder="1" applyAlignment="1">
      <alignment horizontal="center" vertical="center" wrapText="1"/>
    </xf>
    <xf numFmtId="0" fontId="49" fillId="0" borderId="27" xfId="0" applyFont="1" applyFill="1" applyBorder="1" applyAlignment="1">
      <alignment horizontal="center" wrapText="1"/>
    </xf>
    <xf numFmtId="0" fontId="49" fillId="0" borderId="51" xfId="0" applyFont="1" applyFill="1" applyBorder="1" applyAlignment="1">
      <alignment horizontal="center" vertical="center" wrapText="1"/>
    </xf>
    <xf numFmtId="0" fontId="50" fillId="0" borderId="44" xfId="0" applyFont="1" applyFill="1" applyBorder="1" applyAlignment="1">
      <alignment horizontal="center" vertical="center"/>
    </xf>
    <xf numFmtId="0" fontId="50" fillId="0" borderId="32" xfId="0" applyFont="1" applyFill="1" applyBorder="1" applyAlignment="1">
      <alignment horizontal="center" vertical="center"/>
    </xf>
    <xf numFmtId="0" fontId="49" fillId="6" borderId="51" xfId="0" applyFont="1" applyFill="1" applyBorder="1" applyAlignment="1">
      <alignment horizontal="center" vertical="center" wrapText="1"/>
    </xf>
    <xf numFmtId="167" fontId="2" fillId="6" borderId="47" xfId="0" applyNumberFormat="1" applyFont="1" applyFill="1" applyBorder="1" applyAlignment="1">
      <alignment horizontal="right" vertical="center"/>
    </xf>
    <xf numFmtId="0" fontId="50" fillId="0" borderId="0" xfId="0" applyFont="1" applyFill="1" applyAlignment="1">
      <alignment vertical="center"/>
    </xf>
    <xf numFmtId="0" fontId="4" fillId="0" borderId="0" xfId="0" applyFont="1" applyFill="1" applyAlignment="1">
      <alignment vertical="top"/>
    </xf>
    <xf numFmtId="0" fontId="90" fillId="0" borderId="0" xfId="0" applyFont="1" applyAlignment="1">
      <alignment vertical="center" wrapText="1"/>
    </xf>
    <xf numFmtId="3" fontId="3" fillId="3" borderId="7" xfId="0" applyNumberFormat="1" applyFont="1" applyFill="1" applyBorder="1" applyAlignment="1" applyProtection="1">
      <alignment horizontal="center" vertical="top"/>
    </xf>
    <xf numFmtId="3" fontId="3" fillId="3" borderId="8" xfId="0" applyNumberFormat="1" applyFont="1" applyFill="1" applyBorder="1" applyAlignment="1" applyProtection="1">
      <alignment horizontal="center" vertical="top"/>
    </xf>
    <xf numFmtId="3" fontId="3" fillId="3" borderId="9" xfId="0" applyNumberFormat="1" applyFont="1" applyFill="1" applyBorder="1" applyAlignment="1" applyProtection="1">
      <alignment horizontal="center" vertical="top"/>
    </xf>
    <xf numFmtId="0" fontId="3" fillId="0" borderId="0" xfId="0" applyFont="1" applyFill="1" applyBorder="1" applyAlignment="1">
      <alignment vertical="top"/>
    </xf>
    <xf numFmtId="1" fontId="5" fillId="3" borderId="1" xfId="1" applyNumberFormat="1" applyFont="1" applyFill="1" applyBorder="1" applyAlignment="1" applyProtection="1">
      <alignment horizontal="center" vertical="top"/>
    </xf>
    <xf numFmtId="0" fontId="11" fillId="0" borderId="35" xfId="0" applyFont="1" applyFill="1" applyBorder="1" applyAlignment="1">
      <alignment horizontal="center" wrapText="1"/>
    </xf>
    <xf numFmtId="0" fontId="19" fillId="0" borderId="35" xfId="0" applyFont="1" applyFill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67" fillId="0" borderId="47" xfId="0" applyFont="1" applyFill="1" applyBorder="1" applyAlignment="1">
      <alignment horizontal="right" vertical="center" wrapText="1" indent="5"/>
    </xf>
    <xf numFmtId="0" fontId="67" fillId="6" borderId="47" xfId="0" applyFont="1" applyFill="1" applyBorder="1" applyAlignment="1">
      <alignment horizontal="right" vertical="center" wrapText="1" indent="5"/>
    </xf>
    <xf numFmtId="3" fontId="107" fillId="0" borderId="0" xfId="0" applyNumberFormat="1" applyFont="1" applyAlignment="1">
      <alignment vertical="center" wrapText="1"/>
    </xf>
    <xf numFmtId="0" fontId="107" fillId="0" borderId="0" xfId="0" applyFont="1" applyAlignment="1">
      <alignment vertical="center" wrapText="1"/>
    </xf>
    <xf numFmtId="0" fontId="67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167" fontId="67" fillId="6" borderId="46" xfId="0" applyNumberFormat="1" applyFont="1" applyFill="1" applyBorder="1" applyAlignment="1">
      <alignment horizontal="right" vertical="center"/>
    </xf>
    <xf numFmtId="0" fontId="107" fillId="0" borderId="0" xfId="0" applyFont="1" applyAlignment="1">
      <alignment vertical="center"/>
    </xf>
    <xf numFmtId="167" fontId="107" fillId="0" borderId="0" xfId="0" applyNumberFormat="1" applyFont="1" applyAlignment="1">
      <alignment vertical="center"/>
    </xf>
    <xf numFmtId="0" fontId="109" fillId="0" borderId="0" xfId="0" applyFont="1" applyAlignment="1">
      <alignment vertical="center"/>
    </xf>
    <xf numFmtId="167" fontId="67" fillId="0" borderId="46" xfId="0" applyNumberFormat="1" applyFont="1" applyFill="1" applyBorder="1" applyAlignment="1">
      <alignment horizontal="right" vertical="center"/>
    </xf>
    <xf numFmtId="0" fontId="107" fillId="0" borderId="0" xfId="0" applyFont="1" applyFill="1" applyAlignment="1">
      <alignment vertical="center" wrapText="1"/>
    </xf>
    <xf numFmtId="0" fontId="19" fillId="0" borderId="0" xfId="0" applyFont="1" applyFill="1"/>
    <xf numFmtId="0" fontId="19" fillId="0" borderId="0" xfId="0" applyFont="1" applyFill="1" applyBorder="1" applyAlignment="1">
      <alignment horizontal="right" vertical="top" wrapText="1"/>
    </xf>
    <xf numFmtId="0" fontId="19" fillId="0" borderId="0" xfId="0" applyFont="1" applyFill="1" applyBorder="1" applyAlignment="1">
      <alignment horizontal="left" vertical="top" wrapText="1"/>
    </xf>
    <xf numFmtId="49" fontId="19" fillId="0" borderId="0" xfId="0" applyNumberFormat="1" applyFont="1" applyFill="1" applyBorder="1" applyAlignment="1">
      <alignment horizontal="center" vertical="top"/>
    </xf>
    <xf numFmtId="167" fontId="19" fillId="0" borderId="0" xfId="0" applyNumberFormat="1" applyFont="1" applyFill="1" applyBorder="1" applyAlignment="1">
      <alignment horizontal="right" vertical="center"/>
    </xf>
    <xf numFmtId="167" fontId="19" fillId="6" borderId="0" xfId="0" applyNumberFormat="1" applyFont="1" applyFill="1" applyBorder="1" applyAlignment="1">
      <alignment horizontal="right" vertical="center"/>
    </xf>
    <xf numFmtId="0" fontId="19" fillId="0" borderId="20" xfId="0" applyFont="1" applyFill="1" applyBorder="1" applyAlignment="1">
      <alignment horizontal="right" vertical="top" wrapText="1"/>
    </xf>
    <xf numFmtId="0" fontId="19" fillId="0" borderId="20" xfId="0" applyFont="1" applyFill="1" applyBorder="1" applyAlignment="1">
      <alignment horizontal="left" vertical="top" wrapText="1"/>
    </xf>
    <xf numFmtId="49" fontId="19" fillId="0" borderId="20" xfId="0" applyNumberFormat="1" applyFont="1" applyFill="1" applyBorder="1" applyAlignment="1">
      <alignment horizontal="center" vertical="top"/>
    </xf>
    <xf numFmtId="167" fontId="19" fillId="0" borderId="20" xfId="0" applyNumberFormat="1" applyFont="1" applyFill="1" applyBorder="1" applyAlignment="1">
      <alignment horizontal="right" vertical="center"/>
    </xf>
    <xf numFmtId="167" fontId="19" fillId="6" borderId="20" xfId="0" applyNumberFormat="1" applyFont="1" applyFill="1" applyBorder="1" applyAlignment="1">
      <alignment horizontal="right" vertical="center"/>
    </xf>
    <xf numFmtId="0" fontId="67" fillId="0" borderId="12" xfId="0" applyFont="1" applyFill="1" applyBorder="1" applyAlignment="1">
      <alignment horizontal="center" wrapText="1"/>
    </xf>
    <xf numFmtId="0" fontId="67" fillId="0" borderId="25" xfId="0" applyFont="1" applyFill="1" applyBorder="1" applyAlignment="1">
      <alignment horizontal="left" vertical="top"/>
    </xf>
    <xf numFmtId="167" fontId="67" fillId="0" borderId="47" xfId="0" applyNumberFormat="1" applyFont="1" applyBorder="1" applyAlignment="1">
      <alignment horizontal="right" vertical="center"/>
    </xf>
    <xf numFmtId="167" fontId="67" fillId="0" borderId="0" xfId="0" applyNumberFormat="1" applyFont="1" applyAlignment="1">
      <alignment vertical="center"/>
    </xf>
    <xf numFmtId="167" fontId="19" fillId="0" borderId="47" xfId="0" applyNumberFormat="1" applyFont="1" applyBorder="1" applyAlignment="1">
      <alignment horizontal="right" vertical="center"/>
    </xf>
    <xf numFmtId="0" fontId="67" fillId="0" borderId="45" xfId="0" applyFont="1" applyFill="1" applyBorder="1" applyAlignment="1">
      <alignment horizontal="center" wrapText="1"/>
    </xf>
    <xf numFmtId="0" fontId="67" fillId="0" borderId="51" xfId="0" applyFont="1" applyFill="1" applyBorder="1" applyAlignment="1">
      <alignment horizontal="center" vertical="center" wrapText="1"/>
    </xf>
    <xf numFmtId="0" fontId="67" fillId="6" borderId="51" xfId="0" applyFont="1" applyFill="1" applyBorder="1" applyAlignment="1">
      <alignment horizontal="center" vertical="center" wrapText="1"/>
    </xf>
    <xf numFmtId="167" fontId="19" fillId="0" borderId="0" xfId="0" applyNumberFormat="1" applyFont="1" applyAlignment="1">
      <alignment vertical="center"/>
    </xf>
    <xf numFmtId="0" fontId="67" fillId="0" borderId="0" xfId="0" applyFont="1" applyFill="1" applyAlignment="1">
      <alignment vertical="center"/>
    </xf>
    <xf numFmtId="167" fontId="19" fillId="0" borderId="51" xfId="0" applyNumberFormat="1" applyFont="1" applyBorder="1" applyAlignment="1">
      <alignment horizontal="right" vertical="center"/>
    </xf>
    <xf numFmtId="20" fontId="19" fillId="0" borderId="25" xfId="0" applyNumberFormat="1" applyFont="1" applyFill="1" applyBorder="1" applyAlignment="1">
      <alignment horizontal="right" vertical="top" wrapText="1"/>
    </xf>
    <xf numFmtId="167" fontId="19" fillId="0" borderId="14" xfId="0" applyNumberFormat="1" applyFont="1" applyBorder="1" applyAlignment="1">
      <alignment horizontal="right" vertical="center"/>
    </xf>
    <xf numFmtId="0" fontId="67" fillId="4" borderId="28" xfId="0" applyFont="1" applyFill="1" applyBorder="1" applyAlignment="1">
      <alignment vertical="center"/>
    </xf>
    <xf numFmtId="0" fontId="19" fillId="4" borderId="22" xfId="0" applyFont="1" applyFill="1" applyBorder="1" applyAlignment="1">
      <alignment vertical="center"/>
    </xf>
    <xf numFmtId="3" fontId="19" fillId="0" borderId="12" xfId="0" applyNumberFormat="1" applyFont="1" applyFill="1" applyBorder="1" applyAlignment="1">
      <alignment horizontal="right" vertical="center"/>
    </xf>
    <xf numFmtId="3" fontId="19" fillId="4" borderId="42" xfId="0" applyNumberFormat="1" applyFont="1" applyFill="1" applyBorder="1" applyAlignment="1">
      <alignment horizontal="right" vertical="center"/>
    </xf>
    <xf numFmtId="0" fontId="67" fillId="4" borderId="19" xfId="0" applyFont="1" applyFill="1" applyBorder="1" applyAlignment="1">
      <alignment vertical="center"/>
    </xf>
    <xf numFmtId="0" fontId="19" fillId="4" borderId="20" xfId="0" applyFont="1" applyFill="1" applyBorder="1" applyAlignment="1">
      <alignment vertical="center"/>
    </xf>
    <xf numFmtId="3" fontId="19" fillId="0" borderId="13" xfId="0" applyNumberFormat="1" applyFont="1" applyFill="1" applyBorder="1" applyAlignment="1">
      <alignment horizontal="right" vertical="center"/>
    </xf>
    <xf numFmtId="3" fontId="19" fillId="4" borderId="14" xfId="0" applyNumberFormat="1" applyFont="1" applyFill="1" applyBorder="1" applyAlignment="1">
      <alignment horizontal="right" vertical="center"/>
    </xf>
    <xf numFmtId="0" fontId="67" fillId="6" borderId="69" xfId="0" applyFont="1" applyFill="1" applyBorder="1" applyAlignment="1">
      <alignment horizontal="center" vertical="center" wrapText="1"/>
    </xf>
    <xf numFmtId="167" fontId="67" fillId="6" borderId="58" xfId="0" applyNumberFormat="1" applyFont="1" applyFill="1" applyBorder="1" applyAlignment="1">
      <alignment horizontal="right" vertical="center"/>
    </xf>
    <xf numFmtId="0" fontId="50" fillId="6" borderId="11" xfId="0" applyFont="1" applyFill="1" applyBorder="1" applyAlignment="1">
      <alignment horizontal="center" vertical="center" wrapText="1"/>
    </xf>
    <xf numFmtId="0" fontId="49" fillId="6" borderId="63" xfId="0" applyFont="1" applyFill="1" applyBorder="1" applyAlignment="1">
      <alignment horizontal="center" vertical="center" wrapText="1"/>
    </xf>
    <xf numFmtId="167" fontId="2" fillId="6" borderId="58" xfId="0" applyNumberFormat="1" applyFont="1" applyFill="1" applyBorder="1" applyAlignment="1">
      <alignment horizontal="right" vertical="center"/>
    </xf>
    <xf numFmtId="167" fontId="2" fillId="8" borderId="58" xfId="0" applyNumberFormat="1" applyFont="1" applyFill="1" applyBorder="1" applyAlignment="1">
      <alignment horizontal="right" vertical="center"/>
    </xf>
    <xf numFmtId="0" fontId="49" fillId="0" borderId="35" xfId="0" applyFont="1" applyFill="1" applyBorder="1" applyAlignment="1">
      <alignment horizontal="center" wrapText="1"/>
    </xf>
    <xf numFmtId="0" fontId="3" fillId="0" borderId="1" xfId="0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3" fontId="89" fillId="0" borderId="1" xfId="1" quotePrefix="1" applyNumberFormat="1" applyFont="1" applyFill="1" applyBorder="1" applyAlignment="1" applyProtection="1">
      <alignment horizontal="center" vertical="center"/>
    </xf>
    <xf numFmtId="3" fontId="87" fillId="0" borderId="0" xfId="1" quotePrefix="1" applyNumberFormat="1" applyFont="1" applyFill="1" applyBorder="1" applyAlignment="1" applyProtection="1">
      <alignment horizontal="center" vertical="center"/>
    </xf>
    <xf numFmtId="3" fontId="89" fillId="0" borderId="6" xfId="1" quotePrefix="1" applyNumberFormat="1" applyFont="1" applyBorder="1" applyAlignment="1" applyProtection="1">
      <alignment horizontal="center" vertical="center"/>
    </xf>
    <xf numFmtId="3" fontId="87" fillId="0" borderId="26" xfId="0" applyNumberFormat="1" applyFont="1" applyBorder="1" applyAlignment="1" applyProtection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3" fillId="0" borderId="1" xfId="0" applyNumberFormat="1" applyFont="1" applyBorder="1" applyAlignment="1" applyProtection="1">
      <alignment vertical="center" wrapText="1"/>
    </xf>
    <xf numFmtId="3" fontId="87" fillId="0" borderId="29" xfId="0" applyNumberFormat="1" applyFont="1" applyBorder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174" fontId="3" fillId="0" borderId="1" xfId="0" quotePrefix="1" applyNumberFormat="1" applyFont="1" applyBorder="1" applyAlignment="1" applyProtection="1">
      <alignment vertical="center" wrapText="1"/>
    </xf>
    <xf numFmtId="3" fontId="87" fillId="0" borderId="29" xfId="0" applyNumberFormat="1" applyFont="1" applyFill="1" applyBorder="1" applyAlignment="1">
      <alignment horizontal="right" vertical="center" wrapText="1"/>
    </xf>
    <xf numFmtId="174" fontId="3" fillId="0" borderId="1" xfId="0" applyNumberFormat="1" applyFont="1" applyBorder="1" applyAlignment="1" applyProtection="1">
      <alignment vertical="center" wrapText="1"/>
    </xf>
    <xf numFmtId="169" fontId="3" fillId="0" borderId="1" xfId="0" quotePrefix="1" applyNumberFormat="1" applyFont="1" applyBorder="1" applyAlignment="1" applyProtection="1">
      <alignment vertical="center" wrapText="1"/>
    </xf>
    <xf numFmtId="3" fontId="3" fillId="0" borderId="0" xfId="0" applyNumberFormat="1" applyFont="1" applyFill="1" applyAlignment="1">
      <alignment vertical="center" wrapText="1"/>
    </xf>
    <xf numFmtId="0" fontId="10" fillId="2" borderId="1" xfId="0" applyNumberFormat="1" applyFont="1" applyFill="1" applyBorder="1" applyAlignment="1" applyProtection="1">
      <alignment horizontal="right" vertical="center" wrapText="1"/>
    </xf>
    <xf numFmtId="166" fontId="3" fillId="3" borderId="0" xfId="1" applyNumberFormat="1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vertical="center" wrapText="1"/>
    </xf>
    <xf numFmtId="0" fontId="10" fillId="2" borderId="1" xfId="0" quotePrefix="1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3" fillId="0" borderId="1" xfId="0" applyNumberFormat="1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vertical="center" wrapText="1"/>
    </xf>
    <xf numFmtId="3" fontId="87" fillId="0" borderId="27" xfId="0" applyNumberFormat="1" applyFont="1" applyFill="1" applyBorder="1" applyAlignment="1">
      <alignment vertical="center" wrapText="1"/>
    </xf>
    <xf numFmtId="0" fontId="3" fillId="2" borderId="10" xfId="0" applyNumberFormat="1" applyFont="1" applyFill="1" applyBorder="1" applyAlignment="1" applyProtection="1">
      <alignment vertical="center" wrapText="1"/>
    </xf>
    <xf numFmtId="0" fontId="13" fillId="2" borderId="2" xfId="0" applyFont="1" applyFill="1" applyBorder="1" applyAlignment="1" applyProtection="1">
      <alignment vertical="center" wrapText="1"/>
    </xf>
    <xf numFmtId="0" fontId="4" fillId="0" borderId="0" xfId="0" applyFont="1" applyBorder="1" applyAlignment="1">
      <alignment horizontal="center" vertical="top"/>
    </xf>
    <xf numFmtId="0" fontId="5" fillId="50" borderId="1" xfId="0" applyNumberFormat="1" applyFont="1" applyFill="1" applyBorder="1" applyAlignment="1" applyProtection="1">
      <alignment vertical="center" wrapText="1"/>
    </xf>
    <xf numFmtId="0" fontId="5" fillId="50" borderId="0" xfId="0" applyFont="1" applyFill="1" applyBorder="1" applyAlignment="1" applyProtection="1">
      <alignment vertical="center" wrapText="1"/>
    </xf>
    <xf numFmtId="0" fontId="5" fillId="50" borderId="1" xfId="0" quotePrefix="1" applyNumberFormat="1" applyFont="1" applyFill="1" applyBorder="1" applyAlignment="1" applyProtection="1">
      <alignment vertical="center" wrapText="1"/>
    </xf>
    <xf numFmtId="169" fontId="5" fillId="50" borderId="1" xfId="0" quotePrefix="1" applyNumberFormat="1" applyFont="1" applyFill="1" applyBorder="1" applyAlignment="1" applyProtection="1">
      <alignment vertical="center" wrapText="1"/>
    </xf>
    <xf numFmtId="0" fontId="89" fillId="50" borderId="1" xfId="0" quotePrefix="1" applyNumberFormat="1" applyFont="1" applyFill="1" applyBorder="1" applyAlignment="1" applyProtection="1">
      <alignment vertical="center" wrapText="1"/>
    </xf>
    <xf numFmtId="0" fontId="89" fillId="50" borderId="0" xfId="0" applyFont="1" applyFill="1" applyBorder="1" applyAlignment="1" applyProtection="1">
      <alignment vertical="center" wrapText="1"/>
    </xf>
    <xf numFmtId="0" fontId="108" fillId="0" borderId="0" xfId="0" applyFont="1"/>
    <xf numFmtId="49" fontId="108" fillId="0" borderId="0" xfId="0" applyNumberFormat="1" applyFont="1"/>
    <xf numFmtId="0" fontId="114" fillId="0" borderId="0" xfId="0" applyFont="1"/>
    <xf numFmtId="0" fontId="108" fillId="0" borderId="0" xfId="0" applyFont="1" applyFill="1"/>
    <xf numFmtId="0" fontId="115" fillId="47" borderId="0" xfId="0" applyFont="1" applyFill="1"/>
    <xf numFmtId="0" fontId="116" fillId="0" borderId="0" xfId="0" applyFont="1"/>
    <xf numFmtId="0" fontId="116" fillId="0" borderId="0" xfId="0" applyFont="1" applyFill="1"/>
    <xf numFmtId="0" fontId="115" fillId="48" borderId="0" xfId="0" applyFont="1" applyFill="1"/>
    <xf numFmtId="4" fontId="113" fillId="48" borderId="0" xfId="0" applyNumberFormat="1" applyFont="1" applyFill="1"/>
    <xf numFmtId="0" fontId="113" fillId="48" borderId="0" xfId="0" applyNumberFormat="1" applyFont="1" applyFill="1"/>
    <xf numFmtId="4" fontId="108" fillId="0" borderId="0" xfId="0" applyNumberFormat="1" applyFont="1" applyFill="1"/>
    <xf numFmtId="49" fontId="108" fillId="0" borderId="0" xfId="0" applyNumberFormat="1" applyFont="1" applyFill="1"/>
    <xf numFmtId="0" fontId="108" fillId="0" borderId="0" xfId="0" applyNumberFormat="1" applyFont="1"/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 wrapText="1"/>
    </xf>
    <xf numFmtId="3" fontId="89" fillId="50" borderId="29" xfId="1" quotePrefix="1" applyNumberFormat="1" applyFont="1" applyFill="1" applyBorder="1" applyAlignment="1" applyProtection="1">
      <alignment vertical="center" wrapText="1"/>
    </xf>
    <xf numFmtId="3" fontId="89" fillId="50" borderId="29" xfId="0" applyNumberFormat="1" applyFont="1" applyFill="1" applyBorder="1" applyAlignment="1">
      <alignment horizontal="right" vertical="center"/>
    </xf>
    <xf numFmtId="3" fontId="87" fillId="50" borderId="29" xfId="0" applyNumberFormat="1" applyFont="1" applyFill="1" applyBorder="1" applyAlignment="1">
      <alignment horizontal="right" vertical="center"/>
    </xf>
    <xf numFmtId="0" fontId="108" fillId="0" borderId="0" xfId="0" applyFont="1" applyFill="1" applyBorder="1"/>
    <xf numFmtId="49" fontId="108" fillId="0" borderId="0" xfId="0" applyNumberFormat="1" applyFont="1" applyFill="1" applyBorder="1"/>
    <xf numFmtId="4" fontId="108" fillId="0" borderId="0" xfId="0" applyNumberFormat="1" applyFont="1" applyFill="1" applyBorder="1"/>
    <xf numFmtId="173" fontId="108" fillId="0" borderId="0" xfId="0" applyNumberFormat="1" applyFont="1" applyFill="1" applyBorder="1"/>
    <xf numFmtId="0" fontId="108" fillId="0" borderId="0" xfId="0" applyFont="1" applyFill="1" applyBorder="1" applyAlignment="1">
      <alignment horizontal="left"/>
    </xf>
    <xf numFmtId="0" fontId="108" fillId="0" borderId="0" xfId="0" applyNumberFormat="1" applyFont="1" applyFill="1" applyBorder="1" applyAlignment="1">
      <alignment horizontal="left"/>
    </xf>
    <xf numFmtId="14" fontId="108" fillId="0" borderId="0" xfId="0" applyNumberFormat="1" applyFont="1" applyFill="1" applyBorder="1" applyAlignment="1">
      <alignment horizontal="left"/>
    </xf>
    <xf numFmtId="1" fontId="108" fillId="0" borderId="0" xfId="0" applyNumberFormat="1" applyFont="1" applyFill="1" applyBorder="1" applyAlignment="1">
      <alignment horizontal="right"/>
    </xf>
    <xf numFmtId="0" fontId="121" fillId="0" borderId="0" xfId="0" applyFont="1" applyFill="1" applyBorder="1"/>
    <xf numFmtId="4" fontId="121" fillId="0" borderId="0" xfId="0" applyNumberFormat="1" applyFont="1" applyFill="1" applyBorder="1"/>
    <xf numFmtId="165" fontId="108" fillId="0" borderId="0" xfId="1" applyFont="1" applyFill="1" applyBorder="1" applyAlignment="1">
      <alignment horizontal="right"/>
    </xf>
    <xf numFmtId="0" fontId="108" fillId="0" borderId="0" xfId="48" applyFont="1" applyFill="1" applyBorder="1"/>
    <xf numFmtId="0" fontId="89" fillId="50" borderId="1" xfId="0" applyNumberFormat="1" applyFont="1" applyFill="1" applyBorder="1" applyAlignment="1" applyProtection="1">
      <alignment vertical="center" wrapText="1"/>
    </xf>
    <xf numFmtId="3" fontId="111" fillId="2" borderId="24" xfId="1" applyNumberFormat="1" applyFont="1" applyFill="1" applyBorder="1" applyAlignment="1" applyProtection="1">
      <alignment vertical="center" wrapText="1"/>
    </xf>
    <xf numFmtId="167" fontId="67" fillId="0" borderId="27" xfId="0" applyNumberFormat="1" applyFont="1" applyFill="1" applyBorder="1" applyAlignment="1">
      <alignment horizontal="right" vertical="center"/>
    </xf>
    <xf numFmtId="167" fontId="67" fillId="0" borderId="51" xfId="0" applyNumberFormat="1" applyFont="1" applyFill="1" applyBorder="1" applyAlignment="1">
      <alignment horizontal="right" vertical="center"/>
    </xf>
    <xf numFmtId="167" fontId="67" fillId="0" borderId="37" xfId="0" applyNumberFormat="1" applyFont="1" applyFill="1" applyBorder="1" applyAlignment="1">
      <alignment horizontal="right" vertical="center"/>
    </xf>
    <xf numFmtId="167" fontId="67" fillId="0" borderId="14" xfId="0" applyNumberFormat="1" applyFont="1" applyFill="1" applyBorder="1" applyAlignment="1">
      <alignment horizontal="right" vertical="center"/>
    </xf>
    <xf numFmtId="167" fontId="19" fillId="0" borderId="24" xfId="15" applyNumberFormat="1" applyFont="1" applyFill="1" applyBorder="1" applyAlignment="1">
      <alignment horizontal="right" vertical="center"/>
    </xf>
    <xf numFmtId="167" fontId="19" fillId="0" borderId="24" xfId="8" applyNumberFormat="1" applyFont="1" applyFill="1" applyBorder="1" applyAlignment="1">
      <alignment horizontal="right" vertical="center"/>
    </xf>
    <xf numFmtId="0" fontId="122" fillId="0" borderId="0" xfId="0" applyFont="1" applyAlignment="1">
      <alignment horizontal="center"/>
    </xf>
    <xf numFmtId="0" fontId="118" fillId="0" borderId="0" xfId="0" applyFont="1" applyAlignment="1"/>
    <xf numFmtId="3" fontId="119" fillId="0" borderId="0" xfId="0" applyNumberFormat="1" applyFont="1" applyAlignment="1">
      <alignment horizontal="center"/>
    </xf>
    <xf numFmtId="0" fontId="117" fillId="0" borderId="0" xfId="0" applyFont="1" applyAlignment="1" applyProtection="1">
      <alignment horizontal="left"/>
    </xf>
    <xf numFmtId="0" fontId="122" fillId="0" borderId="0" xfId="0" applyFont="1"/>
    <xf numFmtId="0" fontId="123" fillId="0" borderId="0" xfId="0" applyFont="1" applyProtection="1">
      <protection locked="0"/>
    </xf>
    <xf numFmtId="0" fontId="124" fillId="0" borderId="0" xfId="0" applyFont="1" applyAlignment="1" applyProtection="1"/>
    <xf numFmtId="49" fontId="118" fillId="0" borderId="0" xfId="0" applyNumberFormat="1" applyFont="1" applyAlignment="1">
      <alignment horizontal="left"/>
    </xf>
    <xf numFmtId="0" fontId="118" fillId="0" borderId="0" xfId="0" applyNumberFormat="1" applyFont="1" applyAlignment="1">
      <alignment horizontal="left"/>
    </xf>
    <xf numFmtId="14" fontId="120" fillId="0" borderId="0" xfId="0" applyNumberFormat="1" applyFont="1" applyAlignment="1">
      <alignment horizontal="center"/>
    </xf>
    <xf numFmtId="167" fontId="123" fillId="0" borderId="0" xfId="0" applyNumberFormat="1" applyFont="1" applyProtection="1">
      <protection locked="0"/>
    </xf>
    <xf numFmtId="3" fontId="124" fillId="0" borderId="0" xfId="0" applyNumberFormat="1" applyFont="1" applyAlignment="1" applyProtection="1">
      <alignment horizontal="center"/>
    </xf>
    <xf numFmtId="14" fontId="125" fillId="48" borderId="0" xfId="0" applyNumberFormat="1" applyFont="1" applyFill="1" applyAlignment="1">
      <alignment horizontal="left"/>
    </xf>
    <xf numFmtId="0" fontId="124" fillId="0" borderId="0" xfId="0" applyFont="1" applyAlignment="1" applyProtection="1">
      <alignment horizontal="center"/>
    </xf>
    <xf numFmtId="0" fontId="122" fillId="0" borderId="0" xfId="0" applyFont="1" applyFill="1" applyAlignment="1">
      <alignment horizontal="center"/>
    </xf>
    <xf numFmtId="0" fontId="122" fillId="0" borderId="0" xfId="0" applyFont="1" applyProtection="1"/>
    <xf numFmtId="0" fontId="122" fillId="0" borderId="68" xfId="0" applyFont="1" applyBorder="1" applyAlignment="1" applyProtection="1">
      <alignment horizontal="center"/>
    </xf>
    <xf numFmtId="3" fontId="122" fillId="0" borderId="0" xfId="0" applyNumberFormat="1" applyFont="1" applyAlignment="1" applyProtection="1">
      <alignment horizontal="center"/>
    </xf>
    <xf numFmtId="0" fontId="122" fillId="0" borderId="0" xfId="0" applyFont="1" applyAlignment="1" applyProtection="1">
      <alignment horizontal="center"/>
    </xf>
    <xf numFmtId="0" fontId="122" fillId="0" borderId="68" xfId="0" applyFont="1" applyBorder="1" applyAlignment="1" applyProtection="1">
      <alignment horizontal="right"/>
    </xf>
    <xf numFmtId="0" fontId="122" fillId="0" borderId="0" xfId="0" applyFont="1" applyFill="1" applyAlignment="1"/>
    <xf numFmtId="3" fontId="124" fillId="0" borderId="0" xfId="0" applyNumberFormat="1" applyFont="1" applyBorder="1" applyAlignment="1">
      <alignment horizontal="center" vertical="center"/>
    </xf>
    <xf numFmtId="3" fontId="122" fillId="0" borderId="0" xfId="0" applyNumberFormat="1" applyFont="1" applyBorder="1" applyAlignment="1">
      <alignment horizontal="center" vertical="center"/>
    </xf>
    <xf numFmtId="49" fontId="124" fillId="0" borderId="0" xfId="5" applyNumberFormat="1" applyFont="1" applyFill="1" applyBorder="1" applyAlignment="1">
      <alignment horizontal="center" vertical="center"/>
    </xf>
    <xf numFmtId="0" fontId="124" fillId="0" borderId="0" xfId="5" applyFont="1" applyFill="1" applyBorder="1" applyAlignment="1" applyProtection="1">
      <alignment horizontal="left" vertical="center" wrapText="1"/>
      <protection hidden="1"/>
    </xf>
    <xf numFmtId="49" fontId="124" fillId="3" borderId="24" xfId="5" applyNumberFormat="1" applyFont="1" applyFill="1" applyBorder="1" applyAlignment="1">
      <alignment horizontal="center" vertical="center"/>
    </xf>
    <xf numFmtId="167" fontId="124" fillId="3" borderId="24" xfId="5" applyNumberFormat="1" applyFont="1" applyFill="1" applyBorder="1" applyAlignment="1">
      <alignment horizontal="right" vertical="center"/>
    </xf>
    <xf numFmtId="0" fontId="122" fillId="0" borderId="0" xfId="0" applyFont="1" applyBorder="1"/>
    <xf numFmtId="167" fontId="124" fillId="0" borderId="0" xfId="5" applyNumberFormat="1" applyFont="1" applyFill="1" applyBorder="1" applyAlignment="1">
      <alignment horizontal="right" vertical="center"/>
    </xf>
    <xf numFmtId="0" fontId="122" fillId="0" borderId="0" xfId="0" applyFont="1" applyBorder="1" applyAlignment="1">
      <alignment horizontal="center" vertical="center"/>
    </xf>
    <xf numFmtId="49" fontId="122" fillId="0" borderId="0" xfId="5" applyNumberFormat="1" applyFont="1" applyFill="1" applyBorder="1" applyAlignment="1">
      <alignment horizontal="center" vertical="center"/>
    </xf>
    <xf numFmtId="0" fontId="122" fillId="0" borderId="0" xfId="5" applyFont="1" applyFill="1" applyBorder="1" applyAlignment="1" applyProtection="1">
      <alignment horizontal="left" vertical="center" wrapText="1"/>
      <protection hidden="1"/>
    </xf>
    <xf numFmtId="49" fontId="122" fillId="0" borderId="24" xfId="5" applyNumberFormat="1" applyFont="1" applyFill="1" applyBorder="1" applyAlignment="1">
      <alignment horizontal="center" vertical="center"/>
    </xf>
    <xf numFmtId="167" fontId="122" fillId="0" borderId="24" xfId="5" applyNumberFormat="1" applyFont="1" applyFill="1" applyBorder="1" applyAlignment="1">
      <alignment horizontal="right" vertical="center"/>
    </xf>
    <xf numFmtId="167" fontId="122" fillId="0" borderId="0" xfId="0" applyNumberFormat="1" applyFont="1" applyBorder="1"/>
    <xf numFmtId="167" fontId="122" fillId="0" borderId="0" xfId="5" applyNumberFormat="1" applyFont="1" applyFill="1" applyBorder="1" applyAlignment="1">
      <alignment horizontal="right" vertical="center"/>
    </xf>
    <xf numFmtId="0" fontId="122" fillId="0" borderId="0" xfId="0" applyFont="1" applyFill="1" applyBorder="1" applyAlignment="1"/>
    <xf numFmtId="0" fontId="122" fillId="0" borderId="1" xfId="0" applyFont="1" applyFill="1" applyBorder="1" applyAlignment="1"/>
    <xf numFmtId="0" fontId="112" fillId="0" borderId="0" xfId="0" applyFont="1" applyFill="1" applyAlignment="1"/>
    <xf numFmtId="3" fontId="124" fillId="0" borderId="0" xfId="5" applyNumberFormat="1" applyFont="1" applyFill="1" applyBorder="1" applyAlignment="1">
      <alignment horizontal="right" vertical="center"/>
    </xf>
    <xf numFmtId="0" fontId="122" fillId="0" borderId="24" xfId="0" applyFont="1" applyBorder="1" applyAlignment="1" applyProtection="1">
      <alignment horizontal="center" vertical="center"/>
    </xf>
    <xf numFmtId="3" fontId="122" fillId="0" borderId="24" xfId="0" applyNumberFormat="1" applyFont="1" applyBorder="1" applyAlignment="1" applyProtection="1">
      <alignment horizontal="center" vertical="center"/>
    </xf>
    <xf numFmtId="3" fontId="122" fillId="0" borderId="24" xfId="0" applyNumberFormat="1" applyFont="1" applyBorder="1" applyAlignment="1" applyProtection="1">
      <alignment horizontal="right" vertical="center"/>
    </xf>
    <xf numFmtId="3" fontId="124" fillId="3" borderId="24" xfId="5" applyNumberFormat="1" applyFont="1" applyFill="1" applyBorder="1" applyAlignment="1">
      <alignment horizontal="right" vertical="center"/>
    </xf>
    <xf numFmtId="3" fontId="122" fillId="0" borderId="0" xfId="0" applyNumberFormat="1" applyFont="1" applyBorder="1"/>
    <xf numFmtId="167" fontId="124" fillId="0" borderId="24" xfId="5" applyNumberFormat="1" applyFont="1" applyFill="1" applyBorder="1" applyAlignment="1">
      <alignment horizontal="right" vertical="center"/>
    </xf>
    <xf numFmtId="167" fontId="122" fillId="3" borderId="24" xfId="5" applyNumberFormat="1" applyFont="1" applyFill="1" applyBorder="1" applyAlignment="1">
      <alignment horizontal="right" vertical="center"/>
    </xf>
    <xf numFmtId="0" fontId="124" fillId="0" borderId="0" xfId="0" applyFont="1" applyAlignment="1"/>
    <xf numFmtId="3" fontId="122" fillId="0" borderId="0" xfId="0" applyNumberFormat="1" applyFont="1" applyAlignment="1">
      <alignment horizontal="center"/>
    </xf>
    <xf numFmtId="0" fontId="126" fillId="0" borderId="0" xfId="0" applyFont="1" applyAlignment="1">
      <alignment horizontal="right"/>
    </xf>
    <xf numFmtId="0" fontId="126" fillId="0" borderId="0" xfId="0" applyFont="1" applyAlignment="1">
      <alignment horizontal="center"/>
    </xf>
    <xf numFmtId="0" fontId="127" fillId="0" borderId="0" xfId="0" applyFont="1" applyAlignment="1">
      <alignment horizontal="right"/>
    </xf>
    <xf numFmtId="0" fontId="127" fillId="0" borderId="0" xfId="0" applyFont="1"/>
    <xf numFmtId="4" fontId="128" fillId="0" borderId="0" xfId="0" applyNumberFormat="1" applyFont="1"/>
    <xf numFmtId="3" fontId="128" fillId="0" borderId="0" xfId="0" applyNumberFormat="1" applyFont="1"/>
    <xf numFmtId="0" fontId="129" fillId="0" borderId="0" xfId="0" applyFont="1"/>
    <xf numFmtId="0" fontId="130" fillId="0" borderId="0" xfId="0" applyFont="1" applyAlignment="1">
      <alignment horizontal="right"/>
    </xf>
    <xf numFmtId="0" fontId="122" fillId="0" borderId="0" xfId="0" applyFont="1" applyAlignment="1"/>
    <xf numFmtId="0" fontId="118" fillId="0" borderId="0" xfId="0" applyFont="1" applyAlignment="1">
      <alignment horizontal="left"/>
    </xf>
    <xf numFmtId="0" fontId="122" fillId="0" borderId="24" xfId="0" applyFont="1" applyBorder="1" applyAlignment="1" applyProtection="1">
      <alignment horizontal="center"/>
    </xf>
    <xf numFmtId="37" fontId="122" fillId="0" borderId="24" xfId="0" applyNumberFormat="1" applyFont="1" applyBorder="1" applyAlignment="1" applyProtection="1">
      <alignment horizontal="center"/>
    </xf>
    <xf numFmtId="0" fontId="122" fillId="0" borderId="0" xfId="0" applyFont="1" applyBorder="1" applyAlignment="1" applyProtection="1">
      <alignment horizontal="center"/>
    </xf>
    <xf numFmtId="0" fontId="122" fillId="0" borderId="0" xfId="0" applyFont="1" applyFill="1"/>
    <xf numFmtId="49" fontId="122" fillId="0" borderId="0" xfId="5" applyNumberFormat="1" applyFont="1" applyFill="1" applyBorder="1" applyAlignment="1">
      <alignment vertical="center"/>
    </xf>
    <xf numFmtId="167" fontId="122" fillId="0" borderId="24" xfId="2" applyNumberFormat="1" applyFont="1" applyFill="1" applyBorder="1" applyAlignment="1">
      <alignment horizontal="right" vertical="center"/>
    </xf>
    <xf numFmtId="49" fontId="124" fillId="0" borderId="0" xfId="5" applyNumberFormat="1" applyFont="1" applyFill="1" applyBorder="1" applyAlignment="1">
      <alignment vertical="center"/>
    </xf>
    <xf numFmtId="49" fontId="122" fillId="0" borderId="0" xfId="5" applyNumberFormat="1" applyFont="1" applyFill="1" applyBorder="1" applyAlignment="1">
      <alignment vertical="center" wrapText="1"/>
    </xf>
    <xf numFmtId="49" fontId="122" fillId="3" borderId="24" xfId="5" applyNumberFormat="1" applyFont="1" applyFill="1" applyBorder="1" applyAlignment="1">
      <alignment horizontal="center" vertical="center"/>
    </xf>
    <xf numFmtId="49" fontId="122" fillId="0" borderId="2" xfId="5" applyNumberFormat="1" applyFont="1" applyFill="1" applyBorder="1" applyAlignment="1">
      <alignment horizontal="center" vertical="center"/>
    </xf>
    <xf numFmtId="167" fontId="122" fillId="0" borderId="2" xfId="5" applyNumberFormat="1" applyFont="1" applyFill="1" applyBorder="1" applyAlignment="1">
      <alignment horizontal="right" vertical="center"/>
    </xf>
    <xf numFmtId="49" fontId="124" fillId="0" borderId="0" xfId="5" applyNumberFormat="1" applyFont="1" applyFill="1" applyBorder="1" applyAlignment="1">
      <alignment vertical="center" wrapText="1"/>
    </xf>
    <xf numFmtId="1" fontId="122" fillId="0" borderId="24" xfId="5" applyNumberFormat="1" applyFont="1" applyFill="1" applyBorder="1" applyAlignment="1">
      <alignment horizontal="center" vertical="center"/>
    </xf>
    <xf numFmtId="167" fontId="122" fillId="0" borderId="0" xfId="0" applyNumberFormat="1" applyFont="1" applyFill="1"/>
    <xf numFmtId="1" fontId="122" fillId="0" borderId="0" xfId="5" applyNumberFormat="1" applyFont="1" applyFill="1" applyBorder="1" applyAlignment="1">
      <alignment horizontal="center" vertical="center"/>
    </xf>
    <xf numFmtId="1" fontId="122" fillId="3" borderId="24" xfId="5" applyNumberFormat="1" applyFont="1" applyFill="1" applyBorder="1" applyAlignment="1">
      <alignment horizontal="center" vertical="center"/>
    </xf>
    <xf numFmtId="49" fontId="124" fillId="0" borderId="2" xfId="5" applyNumberFormat="1" applyFont="1" applyFill="1" applyBorder="1" applyAlignment="1">
      <alignment horizontal="center" vertical="center"/>
    </xf>
    <xf numFmtId="167" fontId="124" fillId="0" borderId="2" xfId="5" applyNumberFormat="1" applyFont="1" applyFill="1" applyBorder="1" applyAlignment="1">
      <alignment horizontal="right" vertical="center"/>
    </xf>
    <xf numFmtId="1" fontId="124" fillId="3" borderId="24" xfId="5" applyNumberFormat="1" applyFont="1" applyFill="1" applyBorder="1" applyAlignment="1">
      <alignment horizontal="center" vertical="center"/>
    </xf>
    <xf numFmtId="49" fontId="124" fillId="5" borderId="0" xfId="5" applyNumberFormat="1" applyFont="1" applyFill="1" applyBorder="1" applyAlignment="1">
      <alignment horizontal="center" vertical="center"/>
    </xf>
    <xf numFmtId="167" fontId="124" fillId="5" borderId="0" xfId="5" applyNumberFormat="1" applyFont="1" applyFill="1" applyBorder="1" applyAlignment="1">
      <alignment horizontal="right" vertical="center"/>
    </xf>
    <xf numFmtId="3" fontId="127" fillId="0" borderId="0" xfId="0" applyNumberFormat="1" applyFont="1" applyBorder="1" applyAlignment="1" applyProtection="1">
      <alignment horizontal="right" vertical="top" wrapText="1"/>
    </xf>
    <xf numFmtId="1" fontId="128" fillId="0" borderId="0" xfId="5" applyNumberFormat="1" applyFont="1" applyFill="1" applyBorder="1" applyAlignment="1">
      <alignment horizontal="center" vertical="center"/>
    </xf>
    <xf numFmtId="3" fontId="128" fillId="0" borderId="0" xfId="0" applyNumberFormat="1" applyFont="1" applyBorder="1" applyAlignment="1" applyProtection="1">
      <alignment vertical="top" wrapText="1"/>
    </xf>
    <xf numFmtId="167" fontId="122" fillId="0" borderId="0" xfId="0" applyNumberFormat="1" applyFont="1"/>
    <xf numFmtId="0" fontId="67" fillId="6" borderId="42" xfId="0" applyFont="1" applyFill="1" applyBorder="1" applyAlignment="1">
      <alignment horizontal="center" vertical="center" wrapText="1"/>
    </xf>
    <xf numFmtId="167" fontId="19" fillId="0" borderId="47" xfId="0" applyNumberFormat="1" applyFont="1" applyFill="1" applyBorder="1" applyAlignment="1">
      <alignment horizontal="right" vertical="center"/>
    </xf>
    <xf numFmtId="0" fontId="67" fillId="0" borderId="42" xfId="0" applyFont="1" applyFill="1" applyBorder="1" applyAlignment="1">
      <alignment horizontal="center" vertical="center" wrapText="1"/>
    </xf>
    <xf numFmtId="167" fontId="19" fillId="0" borderId="24" xfId="0" applyNumberFormat="1" applyFont="1" applyFill="1" applyBorder="1" applyAlignment="1">
      <alignment horizontal="right" vertical="center"/>
    </xf>
    <xf numFmtId="167" fontId="19" fillId="0" borderId="51" xfId="0" applyNumberFormat="1" applyFont="1" applyFill="1" applyBorder="1" applyAlignment="1">
      <alignment horizontal="right" vertical="center"/>
    </xf>
    <xf numFmtId="167" fontId="19" fillId="0" borderId="14" xfId="0" applyNumberFormat="1" applyFont="1" applyFill="1" applyBorder="1" applyAlignment="1">
      <alignment horizontal="right" vertical="center"/>
    </xf>
    <xf numFmtId="167" fontId="67" fillId="6" borderId="47" xfId="0" applyNumberFormat="1" applyFont="1" applyFill="1" applyBorder="1" applyAlignment="1">
      <alignment horizontal="right" vertical="center"/>
    </xf>
    <xf numFmtId="167" fontId="67" fillId="0" borderId="47" xfId="0" applyNumberFormat="1" applyFont="1" applyFill="1" applyBorder="1" applyAlignment="1">
      <alignment horizontal="right" vertical="center"/>
    </xf>
    <xf numFmtId="167" fontId="67" fillId="0" borderId="24" xfId="0" applyNumberFormat="1" applyFont="1" applyFill="1" applyBorder="1" applyAlignment="1">
      <alignment horizontal="right" vertical="center"/>
    </xf>
    <xf numFmtId="0" fontId="67" fillId="0" borderId="25" xfId="0" applyFont="1" applyFill="1" applyBorder="1" applyAlignment="1">
      <alignment horizontal="left" vertical="top" wrapText="1"/>
    </xf>
    <xf numFmtId="49" fontId="67" fillId="0" borderId="24" xfId="0" applyNumberFormat="1" applyFont="1" applyFill="1" applyBorder="1" applyAlignment="1">
      <alignment horizontal="center" vertical="top"/>
    </xf>
    <xf numFmtId="0" fontId="19" fillId="0" borderId="25" xfId="0" applyFont="1" applyFill="1" applyBorder="1" applyAlignment="1">
      <alignment horizontal="left" vertical="top" wrapText="1"/>
    </xf>
    <xf numFmtId="0" fontId="19" fillId="0" borderId="25" xfId="0" applyFont="1" applyFill="1" applyBorder="1" applyAlignment="1">
      <alignment horizontal="right" vertical="top" wrapText="1"/>
    </xf>
    <xf numFmtId="49" fontId="19" fillId="0" borderId="24" xfId="0" applyNumberFormat="1" applyFont="1" applyFill="1" applyBorder="1" applyAlignment="1">
      <alignment horizontal="center" vertical="top"/>
    </xf>
    <xf numFmtId="167" fontId="19" fillId="0" borderId="27" xfId="0" applyNumberFormat="1" applyFont="1" applyFill="1" applyBorder="1" applyAlignment="1">
      <alignment horizontal="right" vertical="center"/>
    </xf>
    <xf numFmtId="0" fontId="19" fillId="0" borderId="13" xfId="0" applyFont="1" applyFill="1" applyBorder="1" applyAlignment="1">
      <alignment horizontal="right" vertical="top" wrapText="1"/>
    </xf>
    <xf numFmtId="49" fontId="19" fillId="0" borderId="37" xfId="0" applyNumberFormat="1" applyFont="1" applyFill="1" applyBorder="1" applyAlignment="1">
      <alignment horizontal="center" vertical="top"/>
    </xf>
    <xf numFmtId="167" fontId="19" fillId="0" borderId="37" xfId="0" applyNumberFormat="1" applyFont="1" applyFill="1" applyBorder="1" applyAlignment="1">
      <alignment horizontal="right" vertical="center"/>
    </xf>
    <xf numFmtId="0" fontId="19" fillId="0" borderId="45" xfId="0" applyFont="1" applyFill="1" applyBorder="1" applyAlignment="1">
      <alignment horizontal="left" vertical="top" wrapText="1"/>
    </xf>
    <xf numFmtId="0" fontId="67" fillId="0" borderId="35" xfId="0" applyFont="1" applyFill="1" applyBorder="1" applyAlignment="1">
      <alignment horizontal="center" wrapText="1"/>
    </xf>
    <xf numFmtId="0" fontId="67" fillId="0" borderId="27" xfId="0" applyFont="1" applyFill="1" applyBorder="1" applyAlignment="1">
      <alignment horizontal="center" wrapText="1"/>
    </xf>
    <xf numFmtId="0" fontId="49" fillId="0" borderId="35" xfId="0" applyFont="1" applyFill="1" applyBorder="1" applyAlignment="1">
      <alignment horizontal="center" vertical="center" wrapText="1"/>
    </xf>
    <xf numFmtId="0" fontId="49" fillId="0" borderId="42" xfId="0" applyFont="1" applyFill="1" applyBorder="1" applyAlignment="1">
      <alignment horizontal="center" vertical="center" wrapText="1"/>
    </xf>
    <xf numFmtId="0" fontId="50" fillId="0" borderId="25" xfId="0" applyFont="1" applyFill="1" applyBorder="1" applyAlignment="1">
      <alignment horizontal="right" vertical="top" wrapText="1"/>
    </xf>
    <xf numFmtId="0" fontId="48" fillId="0" borderId="12" xfId="0" applyFont="1" applyFill="1" applyBorder="1" applyAlignment="1">
      <alignment horizontal="center" vertical="center" wrapText="1"/>
    </xf>
    <xf numFmtId="0" fontId="48" fillId="0" borderId="35" xfId="0" applyFont="1" applyFill="1" applyBorder="1" applyAlignment="1">
      <alignment horizontal="center" vertical="center" wrapText="1"/>
    </xf>
    <xf numFmtId="0" fontId="50" fillId="0" borderId="24" xfId="0" applyFont="1" applyFill="1" applyBorder="1" applyAlignment="1">
      <alignment horizontal="left" vertical="top" wrapText="1"/>
    </xf>
    <xf numFmtId="0" fontId="50" fillId="0" borderId="37" xfId="0" applyFont="1" applyFill="1" applyBorder="1" applyAlignment="1">
      <alignment horizontal="left" vertical="top" wrapText="1"/>
    </xf>
    <xf numFmtId="0" fontId="49" fillId="0" borderId="25" xfId="0" applyFont="1" applyFill="1" applyBorder="1" applyAlignment="1">
      <alignment horizontal="left" vertical="top" wrapText="1"/>
    </xf>
    <xf numFmtId="0" fontId="49" fillId="0" borderId="24" xfId="0" applyFont="1" applyFill="1" applyBorder="1" applyAlignment="1">
      <alignment horizontal="left" vertical="top" wrapText="1"/>
    </xf>
    <xf numFmtId="0" fontId="50" fillId="0" borderId="25" xfId="0" applyFont="1" applyFill="1" applyBorder="1" applyAlignment="1">
      <alignment horizontal="left" vertical="top" wrapText="1"/>
    </xf>
    <xf numFmtId="0" fontId="50" fillId="0" borderId="27" xfId="0" applyFont="1" applyFill="1" applyBorder="1" applyAlignment="1">
      <alignment horizontal="left" vertical="top" wrapText="1"/>
    </xf>
    <xf numFmtId="49" fontId="49" fillId="0" borderId="24" xfId="0" applyNumberFormat="1" applyFont="1" applyFill="1" applyBorder="1" applyAlignment="1">
      <alignment horizontal="center" vertical="top"/>
    </xf>
    <xf numFmtId="0" fontId="49" fillId="0" borderId="0" xfId="0" applyFont="1" applyAlignment="1">
      <alignment vertical="center" wrapText="1"/>
    </xf>
    <xf numFmtId="0" fontId="49" fillId="0" borderId="0" xfId="0" applyFont="1" applyAlignment="1">
      <alignment vertical="center"/>
    </xf>
    <xf numFmtId="0" fontId="49" fillId="0" borderId="37" xfId="0" applyFont="1" applyFill="1" applyBorder="1" applyAlignment="1">
      <alignment horizontal="left" vertical="top" wrapText="1"/>
    </xf>
    <xf numFmtId="0" fontId="49" fillId="0" borderId="45" xfId="0" applyFont="1" applyFill="1" applyBorder="1" applyAlignment="1">
      <alignment horizontal="left" vertical="top" wrapText="1"/>
    </xf>
    <xf numFmtId="0" fontId="49" fillId="0" borderId="27" xfId="0" applyFont="1" applyFill="1" applyBorder="1" applyAlignment="1">
      <alignment horizontal="left" vertical="top" wrapText="1"/>
    </xf>
    <xf numFmtId="0" fontId="49" fillId="0" borderId="13" xfId="0" applyFont="1" applyFill="1" applyBorder="1" applyAlignment="1">
      <alignment horizontal="left" vertical="top" wrapText="1"/>
    </xf>
    <xf numFmtId="175" fontId="111" fillId="2" borderId="2" xfId="1" applyNumberFormat="1" applyFont="1" applyFill="1" applyBorder="1" applyAlignment="1" applyProtection="1">
      <alignment vertical="center" wrapText="1"/>
    </xf>
    <xf numFmtId="175" fontId="89" fillId="50" borderId="1" xfId="1" quotePrefix="1" applyNumberFormat="1" applyFont="1" applyFill="1" applyBorder="1" applyAlignment="1" applyProtection="1">
      <alignment vertical="center" wrapText="1"/>
    </xf>
    <xf numFmtId="175" fontId="89" fillId="50" borderId="0" xfId="1" quotePrefix="1" applyNumberFormat="1" applyFont="1" applyFill="1" applyBorder="1" applyAlignment="1" applyProtection="1">
      <alignment vertical="center" wrapText="1"/>
    </xf>
    <xf numFmtId="175" fontId="89" fillId="50" borderId="6" xfId="1" quotePrefix="1" applyNumberFormat="1" applyFont="1" applyFill="1" applyBorder="1" applyAlignment="1" applyProtection="1">
      <alignment vertical="center" wrapText="1"/>
    </xf>
    <xf numFmtId="175" fontId="89" fillId="0" borderId="1" xfId="1" applyNumberFormat="1" applyFont="1" applyFill="1" applyBorder="1" applyAlignment="1" applyProtection="1">
      <alignment vertical="center" wrapText="1"/>
    </xf>
    <xf numFmtId="175" fontId="87" fillId="0" borderId="0" xfId="1" applyNumberFormat="1" applyFont="1" applyFill="1" applyBorder="1" applyAlignment="1" applyProtection="1">
      <alignment vertical="center" wrapText="1"/>
    </xf>
    <xf numFmtId="175" fontId="89" fillId="0" borderId="6" xfId="1" applyNumberFormat="1" applyFont="1" applyBorder="1" applyAlignment="1" applyProtection="1">
      <alignment vertical="center" wrapText="1"/>
    </xf>
    <xf numFmtId="175" fontId="89" fillId="50" borderId="1" xfId="0" applyNumberFormat="1" applyFont="1" applyFill="1" applyBorder="1" applyAlignment="1">
      <alignment horizontal="right" vertical="center"/>
    </xf>
    <xf numFmtId="175" fontId="89" fillId="50" borderId="0" xfId="0" applyNumberFormat="1" applyFont="1" applyFill="1" applyBorder="1" applyAlignment="1">
      <alignment horizontal="right" vertical="center"/>
    </xf>
    <xf numFmtId="175" fontId="89" fillId="50" borderId="6" xfId="1" applyNumberFormat="1" applyFont="1" applyFill="1" applyBorder="1" applyAlignment="1" applyProtection="1">
      <alignment vertical="center" wrapText="1"/>
    </xf>
    <xf numFmtId="175" fontId="87" fillId="0" borderId="1" xfId="0" applyNumberFormat="1" applyFont="1" applyBorder="1" applyAlignment="1">
      <alignment horizontal="right" vertical="center"/>
    </xf>
    <xf numFmtId="175" fontId="87" fillId="0" borderId="0" xfId="1" applyNumberFormat="1" applyFont="1" applyFill="1" applyBorder="1" applyAlignment="1" applyProtection="1">
      <alignment vertical="center" wrapText="1"/>
      <protection locked="0"/>
    </xf>
    <xf numFmtId="175" fontId="87" fillId="0" borderId="6" xfId="1" applyNumberFormat="1" applyFont="1" applyFill="1" applyBorder="1" applyAlignment="1" applyProtection="1">
      <alignment vertical="center" wrapText="1"/>
    </xf>
    <xf numFmtId="175" fontId="87" fillId="49" borderId="1" xfId="0" applyNumberFormat="1" applyFont="1" applyFill="1" applyBorder="1" applyAlignment="1">
      <alignment horizontal="right" vertical="center"/>
    </xf>
    <xf numFmtId="175" fontId="87" fillId="49" borderId="6" xfId="1" applyNumberFormat="1" applyFont="1" applyFill="1" applyBorder="1" applyAlignment="1" applyProtection="1">
      <alignment vertical="center" wrapText="1"/>
    </xf>
    <xf numFmtId="175" fontId="110" fillId="0" borderId="0" xfId="1" applyNumberFormat="1" applyFont="1" applyFill="1" applyBorder="1" applyAlignment="1" applyProtection="1">
      <alignment vertical="center" wrapText="1"/>
      <protection locked="0"/>
    </xf>
    <xf numFmtId="175" fontId="87" fillId="50" borderId="1" xfId="0" applyNumberFormat="1" applyFont="1" applyFill="1" applyBorder="1" applyAlignment="1">
      <alignment horizontal="right" vertical="center"/>
    </xf>
    <xf numFmtId="175" fontId="87" fillId="50" borderId="0" xfId="0" applyNumberFormat="1" applyFont="1" applyFill="1" applyBorder="1" applyAlignment="1">
      <alignment horizontal="right" vertical="center"/>
    </xf>
    <xf numFmtId="175" fontId="87" fillId="50" borderId="6" xfId="1" applyNumberFormat="1" applyFont="1" applyFill="1" applyBorder="1" applyAlignment="1" applyProtection="1">
      <alignment vertical="center" wrapText="1"/>
    </xf>
    <xf numFmtId="175" fontId="87" fillId="49" borderId="6" xfId="40" applyNumberFormat="1" applyFont="1" applyFill="1" applyBorder="1" applyAlignment="1" applyProtection="1">
      <alignment vertical="center" wrapText="1"/>
    </xf>
    <xf numFmtId="175" fontId="87" fillId="0" borderId="0" xfId="0" applyNumberFormat="1" applyFont="1" applyFill="1" applyBorder="1" applyAlignment="1" applyProtection="1">
      <alignment vertical="center" wrapText="1"/>
      <protection locked="0"/>
    </xf>
    <xf numFmtId="175" fontId="88" fillId="0" borderId="0" xfId="1" applyNumberFormat="1" applyFont="1" applyFill="1" applyBorder="1" applyAlignment="1" applyProtection="1">
      <alignment vertical="center" wrapText="1"/>
    </xf>
    <xf numFmtId="175" fontId="87" fillId="0" borderId="1" xfId="1" applyNumberFormat="1" applyFont="1" applyFill="1" applyBorder="1" applyAlignment="1" applyProtection="1">
      <alignment vertical="center" wrapText="1"/>
    </xf>
    <xf numFmtId="175" fontId="111" fillId="2" borderId="11" xfId="1" applyNumberFormat="1" applyFont="1" applyFill="1" applyBorder="1" applyAlignment="1" applyProtection="1">
      <alignment vertical="center" wrapText="1"/>
    </xf>
    <xf numFmtId="0" fontId="121" fillId="51" borderId="0" xfId="0" applyFont="1" applyFill="1" applyBorder="1"/>
    <xf numFmtId="49" fontId="108" fillId="51" borderId="0" xfId="0" applyNumberFormat="1" applyFont="1" applyFill="1" applyBorder="1"/>
    <xf numFmtId="0" fontId="108" fillId="51" borderId="0" xfId="0" applyFont="1" applyFill="1" applyBorder="1"/>
    <xf numFmtId="14" fontId="113" fillId="48" borderId="0" xfId="0" applyNumberFormat="1" applyFont="1" applyFill="1" applyAlignment="1">
      <alignment horizontal="right"/>
    </xf>
    <xf numFmtId="4" fontId="108" fillId="0" borderId="0" xfId="0" applyNumberFormat="1" applyFont="1" applyFill="1" applyBorder="1" applyAlignment="1">
      <alignment horizontal="center"/>
    </xf>
    <xf numFmtId="4" fontId="121" fillId="0" borderId="0" xfId="0" applyNumberFormat="1" applyFont="1" applyFill="1" applyBorder="1" applyAlignment="1">
      <alignment horizontal="center"/>
    </xf>
    <xf numFmtId="4" fontId="108" fillId="51" borderId="0" xfId="0" applyNumberFormat="1" applyFont="1" applyFill="1" applyBorder="1" applyAlignment="1">
      <alignment horizontal="center"/>
    </xf>
    <xf numFmtId="0" fontId="108" fillId="0" borderId="0" xfId="0" applyNumberFormat="1" applyFont="1" applyFill="1" applyBorder="1" applyAlignment="1">
      <alignment horizontal="center"/>
    </xf>
    <xf numFmtId="4" fontId="108" fillId="52" borderId="0" xfId="0" applyNumberFormat="1" applyFont="1" applyFill="1"/>
    <xf numFmtId="4" fontId="108" fillId="52" borderId="0" xfId="0" applyNumberFormat="1" applyFont="1" applyFill="1" applyBorder="1" applyAlignment="1">
      <alignment horizontal="right"/>
    </xf>
    <xf numFmtId="0" fontId="131" fillId="0" borderId="0" xfId="0" applyFont="1" applyFill="1" applyBorder="1"/>
    <xf numFmtId="165" fontId="108" fillId="0" borderId="0" xfId="1" applyFont="1" applyFill="1" applyBorder="1" applyAlignment="1">
      <alignment horizontal="left"/>
    </xf>
    <xf numFmtId="4" fontId="108" fillId="0" borderId="0" xfId="0" applyNumberFormat="1" applyFont="1" applyFill="1" applyBorder="1" applyAlignment="1">
      <alignment horizontal="left"/>
    </xf>
    <xf numFmtId="17" fontId="0" fillId="0" borderId="0" xfId="0" applyNumberFormat="1"/>
    <xf numFmtId="0" fontId="0" fillId="51" borderId="0" xfId="0" applyFill="1"/>
    <xf numFmtId="2" fontId="108" fillId="0" borderId="0" xfId="0" applyNumberFormat="1" applyFont="1"/>
    <xf numFmtId="167" fontId="67" fillId="6" borderId="48" xfId="0" applyNumberFormat="1" applyFont="1" applyFill="1" applyBorder="1" applyAlignment="1">
      <alignment horizontal="right" vertical="center"/>
    </xf>
    <xf numFmtId="167" fontId="67" fillId="6" borderId="50" xfId="0" applyNumberFormat="1" applyFont="1" applyFill="1" applyBorder="1" applyAlignment="1">
      <alignment horizontal="right" vertical="center"/>
    </xf>
    <xf numFmtId="0" fontId="67" fillId="6" borderId="42" xfId="0" applyFont="1" applyFill="1" applyBorder="1" applyAlignment="1">
      <alignment horizontal="center" vertical="center" wrapText="1"/>
    </xf>
    <xf numFmtId="0" fontId="67" fillId="6" borderId="47" xfId="0" applyFont="1" applyFill="1" applyBorder="1" applyAlignment="1">
      <alignment horizontal="center" vertical="center" wrapText="1"/>
    </xf>
    <xf numFmtId="167" fontId="19" fillId="0" borderId="47" xfId="0" applyNumberFormat="1" applyFont="1" applyFill="1" applyBorder="1" applyAlignment="1">
      <alignment horizontal="right" vertical="center"/>
    </xf>
    <xf numFmtId="0" fontId="67" fillId="0" borderId="42" xfId="0" applyFont="1" applyFill="1" applyBorder="1" applyAlignment="1">
      <alignment horizontal="center" vertical="center" wrapText="1"/>
    </xf>
    <xf numFmtId="0" fontId="67" fillId="0" borderId="47" xfId="0" applyFont="1" applyFill="1" applyBorder="1" applyAlignment="1">
      <alignment horizontal="center" vertical="center" wrapText="1"/>
    </xf>
    <xf numFmtId="167" fontId="19" fillId="0" borderId="24" xfId="0" applyNumberFormat="1" applyFont="1" applyFill="1" applyBorder="1" applyAlignment="1">
      <alignment horizontal="right" vertical="center"/>
    </xf>
    <xf numFmtId="167" fontId="67" fillId="0" borderId="48" xfId="0" applyNumberFormat="1" applyFont="1" applyFill="1" applyBorder="1" applyAlignment="1">
      <alignment horizontal="right" vertical="center"/>
    </xf>
    <xf numFmtId="167" fontId="67" fillId="0" borderId="50" xfId="0" applyNumberFormat="1" applyFont="1" applyFill="1" applyBorder="1" applyAlignment="1">
      <alignment horizontal="right" vertical="center"/>
    </xf>
    <xf numFmtId="167" fontId="19" fillId="0" borderId="24" xfId="15" applyNumberFormat="1" applyFont="1" applyFill="1" applyBorder="1" applyAlignment="1">
      <alignment horizontal="right" vertical="center"/>
    </xf>
    <xf numFmtId="167" fontId="19" fillId="0" borderId="27" xfId="15" applyNumberFormat="1" applyFont="1" applyFill="1" applyBorder="1" applyAlignment="1">
      <alignment horizontal="right" vertical="center"/>
    </xf>
    <xf numFmtId="167" fontId="19" fillId="0" borderId="37" xfId="15" applyNumberFormat="1" applyFont="1" applyFill="1" applyBorder="1" applyAlignment="1">
      <alignment horizontal="right" vertical="center"/>
    </xf>
    <xf numFmtId="167" fontId="19" fillId="0" borderId="51" xfId="0" applyNumberFormat="1" applyFont="1" applyFill="1" applyBorder="1" applyAlignment="1">
      <alignment horizontal="right" vertical="center"/>
    </xf>
    <xf numFmtId="167" fontId="19" fillId="0" borderId="14" xfId="0" applyNumberFormat="1" applyFont="1" applyFill="1" applyBorder="1" applyAlignment="1">
      <alignment horizontal="right" vertical="center"/>
    </xf>
    <xf numFmtId="167" fontId="67" fillId="6" borderId="60" xfId="0" applyNumberFormat="1" applyFont="1" applyFill="1" applyBorder="1" applyAlignment="1">
      <alignment horizontal="right" vertical="center"/>
    </xf>
    <xf numFmtId="167" fontId="67" fillId="6" borderId="47" xfId="0" applyNumberFormat="1" applyFont="1" applyFill="1" applyBorder="1" applyAlignment="1">
      <alignment horizontal="right" vertical="center"/>
    </xf>
    <xf numFmtId="167" fontId="67" fillId="6" borderId="71" xfId="0" applyNumberFormat="1" applyFont="1" applyFill="1" applyBorder="1" applyAlignment="1">
      <alignment horizontal="right" vertical="center"/>
    </xf>
    <xf numFmtId="167" fontId="67" fillId="6" borderId="21" xfId="0" applyNumberFormat="1" applyFont="1" applyFill="1" applyBorder="1" applyAlignment="1">
      <alignment horizontal="right" vertical="center"/>
    </xf>
    <xf numFmtId="167" fontId="67" fillId="0" borderId="47" xfId="0" applyNumberFormat="1" applyFont="1" applyFill="1" applyBorder="1" applyAlignment="1">
      <alignment horizontal="right" vertical="center"/>
    </xf>
    <xf numFmtId="167" fontId="67" fillId="0" borderId="24" xfId="0" applyNumberFormat="1" applyFont="1" applyFill="1" applyBorder="1" applyAlignment="1">
      <alignment horizontal="right" vertical="center"/>
    </xf>
    <xf numFmtId="167" fontId="19" fillId="0" borderId="27" xfId="8" applyNumberFormat="1" applyFont="1" applyFill="1" applyBorder="1" applyAlignment="1">
      <alignment horizontal="right" vertical="center"/>
    </xf>
    <xf numFmtId="167" fontId="19" fillId="0" borderId="24" xfId="8" applyNumberFormat="1" applyFont="1" applyFill="1" applyBorder="1" applyAlignment="1">
      <alignment horizontal="right" vertical="center"/>
    </xf>
    <xf numFmtId="1" fontId="67" fillId="0" borderId="24" xfId="0" applyNumberFormat="1" applyFont="1" applyFill="1" applyBorder="1" applyAlignment="1">
      <alignment horizontal="center" vertical="center"/>
    </xf>
    <xf numFmtId="0" fontId="67" fillId="0" borderId="24" xfId="0" applyFont="1" applyFill="1" applyBorder="1" applyAlignment="1">
      <alignment horizontal="center" wrapText="1"/>
    </xf>
    <xf numFmtId="0" fontId="67" fillId="0" borderId="35" xfId="0" applyFont="1" applyFill="1" applyBorder="1" applyAlignment="1">
      <alignment horizontal="center" vertical="center" wrapText="1"/>
    </xf>
    <xf numFmtId="0" fontId="67" fillId="0" borderId="24" xfId="0" applyFont="1" applyFill="1" applyBorder="1" applyAlignment="1">
      <alignment horizontal="center" vertical="center" wrapText="1"/>
    </xf>
    <xf numFmtId="0" fontId="67" fillId="0" borderId="25" xfId="0" applyFont="1" applyFill="1" applyBorder="1" applyAlignment="1">
      <alignment horizontal="left" vertical="top" wrapText="1"/>
    </xf>
    <xf numFmtId="0" fontId="67" fillId="0" borderId="24" xfId="0" applyFont="1" applyFill="1" applyBorder="1" applyAlignment="1">
      <alignment horizontal="left" vertical="top" wrapText="1"/>
    </xf>
    <xf numFmtId="49" fontId="67" fillId="0" borderId="26" xfId="0" applyNumberFormat="1" applyFont="1" applyFill="1" applyBorder="1" applyAlignment="1">
      <alignment horizontal="center" vertical="top"/>
    </xf>
    <xf numFmtId="49" fontId="67" fillId="0" borderId="27" xfId="0" applyNumberFormat="1" applyFont="1" applyFill="1" applyBorder="1" applyAlignment="1">
      <alignment horizontal="center" vertical="top"/>
    </xf>
    <xf numFmtId="49" fontId="67" fillId="0" borderId="24" xfId="0" applyNumberFormat="1" applyFont="1" applyFill="1" applyBorder="1" applyAlignment="1">
      <alignment horizontal="center" vertical="top"/>
    </xf>
    <xf numFmtId="0" fontId="67" fillId="0" borderId="12" xfId="0" applyFont="1" applyFill="1" applyBorder="1" applyAlignment="1">
      <alignment horizontal="center" vertical="center" wrapText="1"/>
    </xf>
    <xf numFmtId="0" fontId="67" fillId="0" borderId="25" xfId="0" applyFont="1" applyFill="1" applyBorder="1" applyAlignment="1">
      <alignment horizontal="center" vertical="center" wrapText="1"/>
    </xf>
    <xf numFmtId="0" fontId="67" fillId="0" borderId="25" xfId="0" applyFont="1" applyFill="1" applyBorder="1" applyAlignment="1">
      <alignment horizontal="left" vertical="center"/>
    </xf>
    <xf numFmtId="0" fontId="19" fillId="0" borderId="25" xfId="0" applyFont="1" applyFill="1" applyBorder="1" applyAlignment="1">
      <alignment horizontal="left" vertical="top" wrapText="1"/>
    </xf>
    <xf numFmtId="0" fontId="19" fillId="0" borderId="25" xfId="0" applyFont="1" applyBorder="1"/>
    <xf numFmtId="49" fontId="19" fillId="0" borderId="26" xfId="0" applyNumberFormat="1" applyFont="1" applyFill="1" applyBorder="1" applyAlignment="1">
      <alignment horizontal="center" vertical="top"/>
    </xf>
    <xf numFmtId="49" fontId="19" fillId="0" borderId="27" xfId="0" applyNumberFormat="1" applyFont="1" applyFill="1" applyBorder="1" applyAlignment="1">
      <alignment horizontal="center" vertical="top"/>
    </xf>
    <xf numFmtId="0" fontId="19" fillId="0" borderId="24" xfId="0" applyFont="1" applyFill="1" applyBorder="1" applyAlignment="1">
      <alignment horizontal="left" vertical="top" wrapText="1"/>
    </xf>
    <xf numFmtId="49" fontId="19" fillId="0" borderId="25" xfId="0" applyNumberFormat="1" applyFont="1" applyFill="1" applyBorder="1" applyAlignment="1">
      <alignment horizontal="right" vertical="top" wrapText="1"/>
    </xf>
    <xf numFmtId="0" fontId="19" fillId="0" borderId="25" xfId="0" applyFont="1" applyFill="1" applyBorder="1" applyAlignment="1">
      <alignment horizontal="right" vertical="top" wrapText="1"/>
    </xf>
    <xf numFmtId="167" fontId="67" fillId="0" borderId="26" xfId="0" applyNumberFormat="1" applyFont="1" applyFill="1" applyBorder="1" applyAlignment="1">
      <alignment horizontal="right" vertical="center"/>
    </xf>
    <xf numFmtId="167" fontId="19" fillId="0" borderId="49" xfId="0" applyNumberFormat="1" applyFont="1" applyFill="1" applyBorder="1" applyAlignment="1">
      <alignment horizontal="right" vertical="center"/>
    </xf>
    <xf numFmtId="0" fontId="19" fillId="0" borderId="43" xfId="0" applyFont="1" applyFill="1" applyBorder="1" applyAlignment="1">
      <alignment horizontal="left" vertical="top" wrapText="1"/>
    </xf>
    <xf numFmtId="0" fontId="19" fillId="0" borderId="26" xfId="0" applyFont="1" applyFill="1" applyBorder="1" applyAlignment="1">
      <alignment horizontal="left" vertical="top" wrapText="1"/>
    </xf>
    <xf numFmtId="49" fontId="19" fillId="0" borderId="29" xfId="0" applyNumberFormat="1" applyFont="1" applyFill="1" applyBorder="1" applyAlignment="1">
      <alignment horizontal="center" vertical="top"/>
    </xf>
    <xf numFmtId="49" fontId="19" fillId="0" borderId="24" xfId="0" applyNumberFormat="1" applyFont="1" applyFill="1" applyBorder="1" applyAlignment="1">
      <alignment horizontal="center" vertical="top"/>
    </xf>
    <xf numFmtId="167" fontId="19" fillId="0" borderId="26" xfId="0" applyNumberFormat="1" applyFont="1" applyFill="1" applyBorder="1" applyAlignment="1">
      <alignment horizontal="right" vertical="center"/>
    </xf>
    <xf numFmtId="167" fontId="19" fillId="0" borderId="27" xfId="0" applyNumberFormat="1" applyFont="1" applyFill="1" applyBorder="1" applyAlignment="1">
      <alignment horizontal="right" vertical="center"/>
    </xf>
    <xf numFmtId="0" fontId="19" fillId="0" borderId="45" xfId="0" applyFont="1" applyFill="1" applyBorder="1" applyAlignment="1">
      <alignment horizontal="right" vertical="top" wrapText="1"/>
    </xf>
    <xf numFmtId="0" fontId="19" fillId="0" borderId="27" xfId="0" applyFont="1" applyFill="1" applyBorder="1" applyAlignment="1">
      <alignment horizontal="left" vertical="top" wrapText="1"/>
    </xf>
    <xf numFmtId="0" fontId="19" fillId="0" borderId="25" xfId="0" applyFont="1" applyFill="1" applyBorder="1" applyAlignment="1">
      <alignment horizontal="center" vertical="top" wrapText="1"/>
    </xf>
    <xf numFmtId="0" fontId="19" fillId="0" borderId="24" xfId="0" applyFont="1" applyFill="1" applyBorder="1" applyAlignment="1">
      <alignment horizontal="left" vertical="center" wrapText="1"/>
    </xf>
    <xf numFmtId="0" fontId="19" fillId="0" borderId="27" xfId="0" applyFont="1" applyFill="1" applyBorder="1" applyAlignment="1">
      <alignment horizontal="left" vertical="center" wrapText="1"/>
    </xf>
    <xf numFmtId="167" fontId="19" fillId="0" borderId="49" xfId="0" applyNumberFormat="1" applyFont="1" applyFill="1" applyBorder="1" applyAlignment="1">
      <alignment horizontal="center" vertical="center"/>
    </xf>
    <xf numFmtId="167" fontId="19" fillId="0" borderId="51" xfId="0" applyNumberFormat="1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top" wrapText="1"/>
    </xf>
    <xf numFmtId="0" fontId="19" fillId="0" borderId="45" xfId="0" applyFont="1" applyFill="1" applyBorder="1" applyAlignment="1">
      <alignment horizontal="center" vertical="top" wrapText="1"/>
    </xf>
    <xf numFmtId="167" fontId="19" fillId="0" borderId="10" xfId="0" applyNumberFormat="1" applyFont="1" applyFill="1" applyBorder="1" applyAlignment="1">
      <alignment horizontal="center" vertical="center"/>
    </xf>
    <xf numFmtId="167" fontId="19" fillId="0" borderId="2" xfId="0" applyNumberFormat="1" applyFont="1" applyFill="1" applyBorder="1" applyAlignment="1">
      <alignment horizontal="center" vertical="center"/>
    </xf>
    <xf numFmtId="167" fontId="19" fillId="0" borderId="11" xfId="0" applyNumberFormat="1" applyFont="1" applyFill="1" applyBorder="1" applyAlignment="1">
      <alignment horizontal="center" vertical="center"/>
    </xf>
    <xf numFmtId="167" fontId="19" fillId="0" borderId="59" xfId="0" applyNumberFormat="1" applyFont="1" applyFill="1" applyBorder="1" applyAlignment="1">
      <alignment horizontal="right" vertical="center"/>
    </xf>
    <xf numFmtId="0" fontId="19" fillId="0" borderId="13" xfId="0" applyFont="1" applyFill="1" applyBorder="1" applyAlignment="1">
      <alignment horizontal="right" vertical="top" wrapText="1"/>
    </xf>
    <xf numFmtId="0" fontId="19" fillId="0" borderId="37" xfId="0" applyFont="1" applyFill="1" applyBorder="1" applyAlignment="1">
      <alignment horizontal="left" vertical="top" wrapText="1"/>
    </xf>
    <xf numFmtId="49" fontId="19" fillId="0" borderId="37" xfId="0" applyNumberFormat="1" applyFont="1" applyFill="1" applyBorder="1" applyAlignment="1">
      <alignment horizontal="center" vertical="top"/>
    </xf>
    <xf numFmtId="167" fontId="19" fillId="0" borderId="37" xfId="0" applyNumberFormat="1" applyFont="1" applyFill="1" applyBorder="1" applyAlignment="1">
      <alignment horizontal="right" vertical="center"/>
    </xf>
    <xf numFmtId="0" fontId="67" fillId="0" borderId="25" xfId="0" applyFont="1" applyFill="1" applyBorder="1" applyAlignment="1">
      <alignment horizontal="right" vertical="top" wrapText="1"/>
    </xf>
    <xf numFmtId="0" fontId="19" fillId="0" borderId="45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70" xfId="0" applyFont="1" applyFill="1" applyBorder="1" applyAlignment="1">
      <alignment horizontal="left" vertical="top" wrapText="1"/>
    </xf>
    <xf numFmtId="0" fontId="67" fillId="0" borderId="35" xfId="0" applyFont="1" applyFill="1" applyBorder="1" applyAlignment="1">
      <alignment horizontal="center" wrapText="1"/>
    </xf>
    <xf numFmtId="0" fontId="67" fillId="0" borderId="27" xfId="0" applyFont="1" applyFill="1" applyBorder="1" applyAlignment="1">
      <alignment horizontal="center" wrapText="1"/>
    </xf>
    <xf numFmtId="0" fontId="49" fillId="0" borderId="40" xfId="0" applyFont="1" applyFill="1" applyBorder="1" applyAlignment="1">
      <alignment horizontal="center" vertical="center" wrapText="1"/>
    </xf>
    <xf numFmtId="0" fontId="49" fillId="0" borderId="61" xfId="0" applyFont="1" applyFill="1" applyBorder="1" applyAlignment="1">
      <alignment horizontal="center" vertical="center" wrapText="1"/>
    </xf>
    <xf numFmtId="0" fontId="51" fillId="0" borderId="22" xfId="0" applyFont="1" applyBorder="1" applyAlignment="1">
      <alignment horizontal="left" vertical="top" wrapText="1"/>
    </xf>
    <xf numFmtId="0" fontId="51" fillId="0" borderId="23" xfId="0" applyFont="1" applyBorder="1" applyAlignment="1">
      <alignment horizontal="left" vertical="top" wrapText="1"/>
    </xf>
    <xf numFmtId="0" fontId="51" fillId="0" borderId="0" xfId="0" applyFont="1" applyBorder="1" applyAlignment="1">
      <alignment horizontal="left" vertical="top" wrapText="1"/>
    </xf>
    <xf numFmtId="0" fontId="51" fillId="0" borderId="18" xfId="0" applyFont="1" applyBorder="1" applyAlignment="1">
      <alignment horizontal="left" vertical="top" wrapText="1"/>
    </xf>
    <xf numFmtId="0" fontId="51" fillId="0" borderId="72" xfId="0" applyFont="1" applyBorder="1" applyAlignment="1">
      <alignment horizontal="left" vertical="top" wrapText="1"/>
    </xf>
    <xf numFmtId="0" fontId="51" fillId="0" borderId="1" xfId="0" applyFont="1" applyBorder="1" applyAlignment="1">
      <alignment horizontal="left" vertical="top" wrapText="1"/>
    </xf>
    <xf numFmtId="0" fontId="51" fillId="0" borderId="22" xfId="0" applyFont="1" applyBorder="1" applyAlignment="1">
      <alignment horizontal="left" vertical="center" wrapText="1"/>
    </xf>
    <xf numFmtId="0" fontId="51" fillId="0" borderId="62" xfId="0" applyFont="1" applyBorder="1" applyAlignment="1">
      <alignment horizontal="left" vertical="center" wrapText="1"/>
    </xf>
    <xf numFmtId="0" fontId="51" fillId="0" borderId="0" xfId="0" applyFont="1" applyBorder="1" applyAlignment="1">
      <alignment horizontal="left" vertical="center" wrapText="1"/>
    </xf>
    <xf numFmtId="0" fontId="51" fillId="0" borderId="6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49" fillId="0" borderId="35" xfId="0" applyFont="1" applyFill="1" applyBorder="1" applyAlignment="1">
      <alignment horizontal="center" vertical="center" wrapText="1"/>
    </xf>
    <xf numFmtId="167" fontId="57" fillId="0" borderId="24" xfId="0" applyNumberFormat="1" applyFont="1" applyFill="1" applyBorder="1" applyAlignment="1">
      <alignment horizontal="right" vertical="center"/>
    </xf>
    <xf numFmtId="167" fontId="57" fillId="0" borderId="37" xfId="0" applyNumberFormat="1" applyFont="1" applyFill="1" applyBorder="1" applyAlignment="1">
      <alignment horizontal="right" vertical="center"/>
    </xf>
    <xf numFmtId="0" fontId="52" fillId="0" borderId="24" xfId="0" applyFont="1" applyFill="1" applyBorder="1" applyAlignment="1">
      <alignment horizontal="left" vertical="top" wrapText="1"/>
    </xf>
    <xf numFmtId="0" fontId="55" fillId="0" borderId="24" xfId="0" applyFont="1" applyFill="1" applyBorder="1" applyAlignment="1">
      <alignment horizontal="left" vertical="top" wrapText="1"/>
    </xf>
    <xf numFmtId="0" fontId="52" fillId="0" borderId="37" xfId="0" applyFont="1" applyFill="1" applyBorder="1" applyAlignment="1">
      <alignment horizontal="left" vertical="top" wrapText="1"/>
    </xf>
    <xf numFmtId="167" fontId="18" fillId="0" borderId="24" xfId="0" applyNumberFormat="1" applyFont="1" applyFill="1" applyBorder="1" applyAlignment="1">
      <alignment horizontal="right" vertical="center"/>
    </xf>
    <xf numFmtId="167" fontId="18" fillId="0" borderId="37" xfId="0" applyNumberFormat="1" applyFont="1" applyFill="1" applyBorder="1" applyAlignment="1">
      <alignment horizontal="right" vertical="center"/>
    </xf>
    <xf numFmtId="0" fontId="49" fillId="0" borderId="24" xfId="0" applyFont="1" applyFill="1" applyBorder="1" applyAlignment="1">
      <alignment horizontal="center" vertical="center" wrapText="1"/>
    </xf>
    <xf numFmtId="0" fontId="55" fillId="0" borderId="37" xfId="0" applyFont="1" applyFill="1" applyBorder="1" applyAlignment="1">
      <alignment horizontal="left" vertical="top" wrapText="1"/>
    </xf>
    <xf numFmtId="167" fontId="57" fillId="0" borderId="47" xfId="0" applyNumberFormat="1" applyFont="1" applyFill="1" applyBorder="1" applyAlignment="1">
      <alignment horizontal="right" vertical="center"/>
    </xf>
    <xf numFmtId="167" fontId="57" fillId="0" borderId="14" xfId="0" applyNumberFormat="1" applyFont="1" applyFill="1" applyBorder="1" applyAlignment="1">
      <alignment horizontal="right" vertical="center"/>
    </xf>
    <xf numFmtId="0" fontId="50" fillId="0" borderId="25" xfId="0" applyFont="1" applyFill="1" applyBorder="1" applyAlignment="1">
      <alignment horizontal="right" vertical="top" wrapText="1"/>
    </xf>
    <xf numFmtId="0" fontId="50" fillId="0" borderId="13" xfId="0" applyFont="1" applyFill="1" applyBorder="1" applyAlignment="1">
      <alignment horizontal="right" vertical="top" wrapText="1"/>
    </xf>
    <xf numFmtId="0" fontId="48" fillId="0" borderId="12" xfId="0" applyFont="1" applyFill="1" applyBorder="1" applyAlignment="1">
      <alignment horizontal="center" vertical="center" wrapText="1"/>
    </xf>
    <xf numFmtId="0" fontId="48" fillId="0" borderId="25" xfId="0" applyFont="1" applyFill="1" applyBorder="1" applyAlignment="1">
      <alignment horizontal="center" vertical="center" wrapText="1"/>
    </xf>
    <xf numFmtId="0" fontId="48" fillId="0" borderId="35" xfId="0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center" vertical="center" wrapText="1"/>
    </xf>
    <xf numFmtId="0" fontId="50" fillId="0" borderId="24" xfId="0" applyFont="1" applyFill="1" applyBorder="1" applyAlignment="1">
      <alignment horizontal="left" vertical="top" wrapText="1"/>
    </xf>
    <xf numFmtId="0" fontId="50" fillId="0" borderId="37" xfId="0" applyFont="1" applyFill="1" applyBorder="1" applyAlignment="1">
      <alignment horizontal="left" vertical="top" wrapText="1"/>
    </xf>
    <xf numFmtId="49" fontId="55" fillId="0" borderId="24" xfId="0" applyNumberFormat="1" applyFont="1" applyFill="1" applyBorder="1" applyAlignment="1">
      <alignment horizontal="center" vertical="top"/>
    </xf>
    <xf numFmtId="49" fontId="55" fillId="0" borderId="37" xfId="0" applyNumberFormat="1" applyFont="1" applyFill="1" applyBorder="1" applyAlignment="1">
      <alignment horizontal="center" vertical="top"/>
    </xf>
    <xf numFmtId="0" fontId="52" fillId="0" borderId="25" xfId="0" applyFont="1" applyFill="1" applyBorder="1" applyAlignment="1">
      <alignment horizontal="left" vertical="top" wrapText="1"/>
    </xf>
    <xf numFmtId="49" fontId="52" fillId="0" borderId="24" xfId="0" applyNumberFormat="1" applyFont="1" applyFill="1" applyBorder="1" applyAlignment="1">
      <alignment horizontal="center" vertical="top"/>
    </xf>
    <xf numFmtId="0" fontId="49" fillId="0" borderId="25" xfId="0" applyFont="1" applyFill="1" applyBorder="1" applyAlignment="1">
      <alignment horizontal="left" vertical="top" wrapText="1"/>
    </xf>
    <xf numFmtId="0" fontId="49" fillId="0" borderId="24" xfId="0" applyFont="1" applyFill="1" applyBorder="1" applyAlignment="1">
      <alignment horizontal="left" vertical="top" wrapText="1"/>
    </xf>
    <xf numFmtId="0" fontId="50" fillId="0" borderId="25" xfId="0" applyFont="1" applyFill="1" applyBorder="1" applyAlignment="1">
      <alignment horizontal="left" vertical="top" wrapText="1"/>
    </xf>
    <xf numFmtId="167" fontId="18" fillId="0" borderId="47" xfId="0" applyNumberFormat="1" applyFont="1" applyFill="1" applyBorder="1" applyAlignment="1">
      <alignment horizontal="right" vertical="center"/>
    </xf>
    <xf numFmtId="167" fontId="57" fillId="0" borderId="49" xfId="0" applyNumberFormat="1" applyFont="1" applyFill="1" applyBorder="1" applyAlignment="1">
      <alignment horizontal="right" vertical="center"/>
    </xf>
    <xf numFmtId="167" fontId="57" fillId="0" borderId="51" xfId="0" applyNumberFormat="1" applyFont="1" applyFill="1" applyBorder="1" applyAlignment="1">
      <alignment horizontal="right" vertical="center"/>
    </xf>
    <xf numFmtId="0" fontId="49" fillId="0" borderId="42" xfId="0" applyFont="1" applyFill="1" applyBorder="1" applyAlignment="1">
      <alignment horizontal="center" vertical="center" wrapText="1"/>
    </xf>
    <xf numFmtId="0" fontId="49" fillId="0" borderId="47" xfId="0" applyFont="1" applyFill="1" applyBorder="1" applyAlignment="1">
      <alignment horizontal="center" vertical="center" wrapText="1"/>
    </xf>
    <xf numFmtId="1" fontId="49" fillId="0" borderId="24" xfId="0" applyNumberFormat="1" applyFont="1" applyFill="1" applyBorder="1" applyAlignment="1">
      <alignment horizontal="center" vertical="center"/>
    </xf>
    <xf numFmtId="0" fontId="49" fillId="0" borderId="24" xfId="0" applyFont="1" applyFill="1" applyBorder="1" applyAlignment="1">
      <alignment horizontal="center" wrapText="1"/>
    </xf>
    <xf numFmtId="167" fontId="18" fillId="0" borderId="14" xfId="0" applyNumberFormat="1" applyFont="1" applyFill="1" applyBorder="1" applyAlignment="1">
      <alignment horizontal="right" vertical="center"/>
    </xf>
    <xf numFmtId="0" fontId="52" fillId="0" borderId="25" xfId="0" applyFont="1" applyFill="1" applyBorder="1" applyAlignment="1">
      <alignment horizontal="right" vertical="top" wrapText="1"/>
    </xf>
    <xf numFmtId="0" fontId="52" fillId="0" borderId="13" xfId="0" applyFont="1" applyFill="1" applyBorder="1" applyAlignment="1">
      <alignment horizontal="right" vertical="top" wrapText="1"/>
    </xf>
    <xf numFmtId="49" fontId="52" fillId="0" borderId="37" xfId="0" applyNumberFormat="1" applyFont="1" applyFill="1" applyBorder="1" applyAlignment="1">
      <alignment horizontal="center" vertical="top"/>
    </xf>
    <xf numFmtId="0" fontId="50" fillId="0" borderId="24" xfId="0" applyFont="1" applyFill="1" applyBorder="1" applyAlignment="1">
      <alignment horizontal="left" vertical="center" wrapText="1"/>
    </xf>
    <xf numFmtId="0" fontId="50" fillId="0" borderId="25" xfId="0" applyFont="1" applyFill="1" applyBorder="1" applyAlignment="1">
      <alignment horizontal="center" vertical="top" wrapText="1"/>
    </xf>
    <xf numFmtId="0" fontId="50" fillId="0" borderId="26" xfId="0" applyFont="1" applyFill="1" applyBorder="1" applyAlignment="1">
      <alignment horizontal="left" vertical="top" wrapText="1"/>
    </xf>
    <xf numFmtId="0" fontId="50" fillId="0" borderId="27" xfId="0" applyFont="1" applyFill="1" applyBorder="1" applyAlignment="1">
      <alignment horizontal="left" vertical="top" wrapText="1"/>
    </xf>
    <xf numFmtId="0" fontId="55" fillId="0" borderId="25" xfId="0" applyFont="1" applyFill="1" applyBorder="1" applyAlignment="1">
      <alignment horizontal="right" vertical="top" wrapText="1"/>
    </xf>
    <xf numFmtId="0" fontId="55" fillId="0" borderId="25" xfId="0" applyFont="1" applyFill="1" applyBorder="1" applyAlignment="1">
      <alignment horizontal="left" vertical="top" wrapText="1"/>
    </xf>
    <xf numFmtId="0" fontId="55" fillId="0" borderId="13" xfId="0" applyFont="1" applyFill="1" applyBorder="1" applyAlignment="1">
      <alignment horizontal="left" vertical="top" wrapText="1"/>
    </xf>
    <xf numFmtId="0" fontId="55" fillId="0" borderId="13" xfId="0" applyFont="1" applyFill="1" applyBorder="1" applyAlignment="1">
      <alignment horizontal="right" vertical="top" wrapText="1"/>
    </xf>
    <xf numFmtId="0" fontId="55" fillId="0" borderId="25" xfId="0" applyFont="1" applyFill="1" applyBorder="1" applyAlignment="1">
      <alignment horizontal="center" vertical="top" wrapText="1"/>
    </xf>
    <xf numFmtId="0" fontId="55" fillId="0" borderId="25" xfId="0" applyFont="1" applyBorder="1"/>
    <xf numFmtId="49" fontId="55" fillId="0" borderId="25" xfId="0" applyNumberFormat="1" applyFont="1" applyFill="1" applyBorder="1" applyAlignment="1">
      <alignment horizontal="right" vertical="top" wrapText="1"/>
    </xf>
    <xf numFmtId="0" fontId="52" fillId="0" borderId="25" xfId="0" applyFont="1" applyFill="1" applyBorder="1" applyAlignment="1">
      <alignment horizontal="left" vertical="center"/>
    </xf>
    <xf numFmtId="0" fontId="86" fillId="0" borderId="0" xfId="0" applyFont="1" applyAlignment="1">
      <alignment horizontal="center" vertical="center" wrapText="1"/>
    </xf>
    <xf numFmtId="0" fontId="86" fillId="0" borderId="20" xfId="0" applyFont="1" applyBorder="1" applyAlignment="1">
      <alignment horizontal="center" vertical="center" wrapText="1"/>
    </xf>
    <xf numFmtId="0" fontId="55" fillId="0" borderId="24" xfId="0" applyFont="1" applyFill="1" applyBorder="1" applyAlignment="1">
      <alignment horizontal="left" vertical="center" wrapText="1"/>
    </xf>
    <xf numFmtId="0" fontId="52" fillId="0" borderId="24" xfId="0" applyFont="1" applyFill="1" applyBorder="1" applyAlignment="1">
      <alignment horizontal="left" vertical="center" wrapText="1"/>
    </xf>
    <xf numFmtId="0" fontId="52" fillId="0" borderId="35" xfId="0" applyFont="1" applyFill="1" applyBorder="1" applyAlignment="1">
      <alignment horizontal="center" wrapText="1"/>
    </xf>
    <xf numFmtId="3" fontId="5" fillId="3" borderId="26" xfId="1" applyNumberFormat="1" applyFont="1" applyFill="1" applyBorder="1" applyAlignment="1">
      <alignment horizontal="center" vertical="center" wrapText="1"/>
    </xf>
    <xf numFmtId="3" fontId="5" fillId="3" borderId="27" xfId="1" applyNumberFormat="1" applyFont="1" applyFill="1" applyBorder="1" applyAlignment="1">
      <alignment horizontal="center" vertical="center" wrapText="1"/>
    </xf>
    <xf numFmtId="37" fontId="20" fillId="13" borderId="35" xfId="3" applyNumberFormat="1" applyFont="1" applyFill="1" applyBorder="1" applyAlignment="1" applyProtection="1">
      <alignment horizontal="center" vertical="center" wrapText="1"/>
    </xf>
    <xf numFmtId="37" fontId="20" fillId="13" borderId="37" xfId="3" applyNumberFormat="1" applyFont="1" applyFill="1" applyBorder="1" applyAlignment="1" applyProtection="1">
      <alignment horizontal="center" vertical="center" wrapText="1"/>
    </xf>
    <xf numFmtId="37" fontId="17" fillId="7" borderId="38" xfId="3" applyNumberFormat="1" applyFont="1" applyFill="1" applyBorder="1" applyAlignment="1" applyProtection="1">
      <alignment horizontal="center" vertical="center" wrapText="1"/>
    </xf>
    <xf numFmtId="37" fontId="17" fillId="7" borderId="48" xfId="3" applyNumberFormat="1" applyFont="1" applyFill="1" applyBorder="1" applyAlignment="1" applyProtection="1">
      <alignment horizontal="center" vertical="center" wrapText="1"/>
    </xf>
    <xf numFmtId="37" fontId="20" fillId="13" borderId="12" xfId="3" applyNumberFormat="1" applyFont="1" applyFill="1" applyBorder="1" applyAlignment="1" applyProtection="1">
      <alignment horizontal="center" vertical="center" wrapText="1"/>
    </xf>
    <xf numFmtId="37" fontId="20" fillId="13" borderId="13" xfId="3" applyNumberFormat="1" applyFont="1" applyFill="1" applyBorder="1" applyAlignment="1" applyProtection="1">
      <alignment horizontal="center" vertical="center" wrapText="1"/>
    </xf>
    <xf numFmtId="37" fontId="20" fillId="13" borderId="35" xfId="3" quotePrefix="1" applyNumberFormat="1" applyFont="1" applyFill="1" applyBorder="1" applyAlignment="1" applyProtection="1">
      <alignment horizontal="center" vertical="center" wrapText="1"/>
    </xf>
    <xf numFmtId="37" fontId="20" fillId="13" borderId="37" xfId="3" quotePrefix="1" applyNumberFormat="1" applyFont="1" applyFill="1" applyBorder="1" applyAlignment="1" applyProtection="1">
      <alignment horizontal="center" vertical="center" wrapText="1"/>
    </xf>
    <xf numFmtId="37" fontId="20" fillId="13" borderId="42" xfId="3" applyNumberFormat="1" applyFont="1" applyFill="1" applyBorder="1" applyAlignment="1" applyProtection="1">
      <alignment horizontal="center" vertical="center" wrapText="1"/>
    </xf>
    <xf numFmtId="37" fontId="20" fillId="13" borderId="14" xfId="3" applyNumberFormat="1" applyFont="1" applyFill="1" applyBorder="1" applyAlignment="1" applyProtection="1">
      <alignment horizontal="center" vertical="center" wrapText="1"/>
    </xf>
    <xf numFmtId="37" fontId="20" fillId="4" borderId="15" xfId="3" applyNumberFormat="1" applyFont="1" applyFill="1" applyBorder="1" applyAlignment="1" applyProtection="1">
      <alignment wrapText="1"/>
    </xf>
    <xf numFmtId="37" fontId="20" fillId="4" borderId="61" xfId="3" applyNumberFormat="1" applyFont="1" applyFill="1" applyBorder="1" applyAlignment="1" applyProtection="1">
      <alignment wrapText="1"/>
    </xf>
    <xf numFmtId="37" fontId="20" fillId="13" borderId="53" xfId="3" applyNumberFormat="1" applyFont="1" applyFill="1" applyBorder="1" applyAlignment="1" applyProtection="1">
      <alignment horizontal="center" vertical="center" wrapText="1"/>
    </xf>
    <xf numFmtId="37" fontId="20" fillId="13" borderId="55" xfId="3" applyNumberFormat="1" applyFont="1" applyFill="1" applyBorder="1" applyAlignment="1" applyProtection="1">
      <alignment horizontal="center" vertical="center" wrapText="1"/>
    </xf>
    <xf numFmtId="37" fontId="20" fillId="13" borderId="34" xfId="3" applyNumberFormat="1" applyFont="1" applyFill="1" applyBorder="1" applyAlignment="1" applyProtection="1">
      <alignment horizontal="center" vertical="center" wrapText="1"/>
    </xf>
    <xf numFmtId="37" fontId="20" fillId="13" borderId="36" xfId="3" applyNumberFormat="1" applyFont="1" applyFill="1" applyBorder="1" applyAlignment="1" applyProtection="1">
      <alignment horizontal="center" vertical="center" wrapText="1"/>
    </xf>
    <xf numFmtId="37" fontId="41" fillId="6" borderId="28" xfId="3" applyNumberFormat="1" applyFont="1" applyFill="1" applyBorder="1" applyAlignment="1" applyProtection="1">
      <alignment horizontal="center" vertical="center" wrapText="1"/>
    </xf>
    <xf numFmtId="37" fontId="41" fillId="6" borderId="23" xfId="3" applyNumberFormat="1" applyFont="1" applyFill="1" applyBorder="1" applyAlignment="1" applyProtection="1">
      <alignment horizontal="center" vertical="center" wrapText="1"/>
    </xf>
    <xf numFmtId="37" fontId="41" fillId="6" borderId="19" xfId="3" applyNumberFormat="1" applyFont="1" applyFill="1" applyBorder="1" applyAlignment="1" applyProtection="1">
      <alignment horizontal="center" vertical="center" wrapText="1"/>
    </xf>
    <xf numFmtId="37" fontId="41" fillId="6" borderId="21" xfId="3" applyNumberFormat="1" applyFont="1" applyFill="1" applyBorder="1" applyAlignment="1" applyProtection="1">
      <alignment horizontal="center" vertical="center" wrapText="1"/>
    </xf>
    <xf numFmtId="37" fontId="20" fillId="7" borderId="38" xfId="3" applyNumberFormat="1" applyFont="1" applyFill="1" applyBorder="1" applyAlignment="1" applyProtection="1">
      <alignment horizontal="center" vertical="center" wrapText="1"/>
    </xf>
    <xf numFmtId="37" fontId="20" fillId="7" borderId="39" xfId="3" applyNumberFormat="1" applyFont="1" applyFill="1" applyBorder="1" applyAlignment="1" applyProtection="1">
      <alignment horizontal="center" vertical="center" wrapText="1"/>
    </xf>
  </cellXfs>
  <cellStyles count="56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ad" xfId="14" builtinId="27" customBuiltin="1"/>
    <cellStyle name="Calculation" xfId="18" builtinId="22" customBuiltin="1"/>
    <cellStyle name="Comma" xfId="1" builtinId="3"/>
    <cellStyle name="Currency_New FS 2003 - B&amp;W" xfId="2"/>
    <cellStyle name="čiarky 2" xfId="55"/>
    <cellStyle name="Explanatory Text" xfId="22" builtinId="53" customBuiltin="1"/>
    <cellStyle name="Good" xfId="8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Check Cell" xfId="20" builtinId="23" customBuiltin="1"/>
    <cellStyle name="Input" xfId="16" builtinId="20" customBuiltin="1"/>
    <cellStyle name="Linked Cell" xfId="19" builtinId="24" customBuiltin="1"/>
    <cellStyle name="Neutral" xfId="15" builtinId="28" customBuiltin="1"/>
    <cellStyle name="Normal" xfId="0" builtinId="0"/>
    <cellStyle name="Normal 2" xfId="48"/>
    <cellStyle name="Normal 3" xfId="52"/>
    <cellStyle name="Normal 4" xfId="50"/>
    <cellStyle name="Normal_~0056256" xfId="3"/>
    <cellStyle name="Normal_~1768091" xfId="4"/>
    <cellStyle name="Normal_New FS 2003 - B&amp;W" xfId="5"/>
    <cellStyle name="Normal_TSS report template v4" xfId="6"/>
    <cellStyle name="normálne 3" xfId="54"/>
    <cellStyle name="normální_VysSuv_1" xfId="7"/>
    <cellStyle name="Note 2" xfId="53"/>
    <cellStyle name="Note 3" xfId="49"/>
    <cellStyle name="Note 4" xfId="51"/>
    <cellStyle name="Output" xfId="17" builtinId="21" customBuiltin="1"/>
    <cellStyle name="Title" xfId="9" builtinId="15" customBuiltin="1"/>
    <cellStyle name="Total" xfId="23" builtinId="25" customBuiltin="1"/>
    <cellStyle name="Warning Text" xfId="21" builtinId="11" customBuiltin="1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1876425</xdr:colOff>
      <xdr:row>29</xdr:row>
      <xdr:rowOff>0</xdr:rowOff>
    </xdr:from>
    <xdr:to>
      <xdr:col>1</xdr:col>
      <xdr:colOff>914400</xdr:colOff>
      <xdr:row>29</xdr:row>
      <xdr:rowOff>0</xdr:rowOff>
    </xdr:to>
    <xdr:sp macro="" textlink="">
      <xdr:nvSpPr>
        <xdr:cNvPr id="36978" name="Line 1">
          <a:extLst>
            <a:ext uri="{FF2B5EF4-FFF2-40B4-BE49-F238E27FC236}">
              <a16:creationId xmlns:a16="http://schemas.microsoft.com/office/drawing/2014/main" id="{00000000-0008-0000-1500-000072900000}"/>
            </a:ext>
          </a:extLst>
        </xdr:cNvPr>
        <xdr:cNvSpPr>
          <a:spLocks noChangeShapeType="1"/>
        </xdr:cNvSpPr>
      </xdr:nvSpPr>
      <xdr:spPr bwMode="auto">
        <a:xfrm flipH="1">
          <a:off x="2971800" y="4543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1876425</xdr:colOff>
      <xdr:row>29</xdr:row>
      <xdr:rowOff>0</xdr:rowOff>
    </xdr:from>
    <xdr:to>
      <xdr:col>1</xdr:col>
      <xdr:colOff>914400</xdr:colOff>
      <xdr:row>29</xdr:row>
      <xdr:rowOff>0</xdr:rowOff>
    </xdr:to>
    <xdr:sp macro="" textlink="">
      <xdr:nvSpPr>
        <xdr:cNvPr id="36979" name="Line 2">
          <a:extLst>
            <a:ext uri="{FF2B5EF4-FFF2-40B4-BE49-F238E27FC236}">
              <a16:creationId xmlns:a16="http://schemas.microsoft.com/office/drawing/2014/main" id="{00000000-0008-0000-1500-000073900000}"/>
            </a:ext>
          </a:extLst>
        </xdr:cNvPr>
        <xdr:cNvSpPr>
          <a:spLocks noChangeShapeType="1"/>
        </xdr:cNvSpPr>
      </xdr:nvSpPr>
      <xdr:spPr bwMode="auto">
        <a:xfrm>
          <a:off x="2971800" y="4543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1876425</xdr:colOff>
      <xdr:row>29</xdr:row>
      <xdr:rowOff>0</xdr:rowOff>
    </xdr:from>
    <xdr:to>
      <xdr:col>1</xdr:col>
      <xdr:colOff>914400</xdr:colOff>
      <xdr:row>29</xdr:row>
      <xdr:rowOff>0</xdr:rowOff>
    </xdr:to>
    <xdr:sp macro="" textlink="">
      <xdr:nvSpPr>
        <xdr:cNvPr id="36980" name="Line 3">
          <a:extLst>
            <a:ext uri="{FF2B5EF4-FFF2-40B4-BE49-F238E27FC236}">
              <a16:creationId xmlns:a16="http://schemas.microsoft.com/office/drawing/2014/main" id="{00000000-0008-0000-1500-000074900000}"/>
            </a:ext>
          </a:extLst>
        </xdr:cNvPr>
        <xdr:cNvSpPr>
          <a:spLocks noChangeShapeType="1"/>
        </xdr:cNvSpPr>
      </xdr:nvSpPr>
      <xdr:spPr bwMode="auto">
        <a:xfrm>
          <a:off x="2971800" y="4543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rnkp\LOCALS~1\Temp\notes42C9D0\smigi\test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AMBRO~1\LOCALS~1\Temp\notesA2D7B5\FS%202007%20v%20fig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GL-2007"/>
      <sheetName val="Ratio Analysis"/>
      <sheetName val="AR in ths SKK"/>
      <sheetName val="AR in mio SKK"/>
      <sheetName val="SUD-2007"/>
      <sheetName val="BS-SK"/>
      <sheetName val="IS-SK"/>
      <sheetName val="SK-BS"/>
      <sheetName val="SK-P&amp;L"/>
      <sheetName val="BS-E"/>
      <sheetName val="IS-E"/>
      <sheetName val="E-BS"/>
      <sheetName val="E-P&amp;L"/>
      <sheetName val="BS-G"/>
      <sheetName val="IS-G"/>
      <sheetName val="G-BS"/>
      <sheetName val="G-P&amp;L"/>
      <sheetName val="BS-SK CS"/>
      <sheetName val="IS-SK CS"/>
      <sheetName val="BS-E CS"/>
      <sheetName val="IS-E CS"/>
      <sheetName val="BS-G CS"/>
      <sheetName val="IS-G CS"/>
      <sheetName val="Checks"/>
      <sheetName val="CASH FLOW"/>
      <sheetName val="ADJ of CF"/>
      <sheetName val="ListofTables"/>
      <sheetName val="SK-Tables"/>
      <sheetName val="EN-Tables"/>
      <sheetName val="GR-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V4" t="str">
            <v>(in tausend SKK)</v>
          </cell>
        </row>
        <row r="11">
          <cell r="W11" t="str">
            <v>Für period</v>
          </cell>
        </row>
        <row r="14">
          <cell r="W14" t="str">
            <v>Vorjahr</v>
          </cell>
        </row>
      </sheetData>
      <sheetData sheetId="23">
        <row r="1">
          <cell r="N1" t="str">
            <v>GEWINN- UND VERLUSTRECHNUNG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F12" sqref="B12:F13"/>
    </sheetView>
  </sheetViews>
  <sheetFormatPr defaultRowHeight="13.2" x14ac:dyDescent="0.25"/>
  <cols>
    <col min="4" max="4" width="12.21875" customWidth="1"/>
    <col min="7" max="7" width="11.6640625" customWidth="1"/>
  </cols>
  <sheetData>
    <row r="1" spans="1:7" x14ac:dyDescent="0.25">
      <c r="B1" t="s">
        <v>3149</v>
      </c>
      <c r="C1" t="s">
        <v>3150</v>
      </c>
      <c r="D1" t="s">
        <v>3151</v>
      </c>
      <c r="E1" t="s">
        <v>3164</v>
      </c>
      <c r="F1" t="s">
        <v>3173</v>
      </c>
      <c r="G1" t="s">
        <v>3171</v>
      </c>
    </row>
    <row r="2" spans="1:7" x14ac:dyDescent="0.25">
      <c r="A2" t="s">
        <v>3163</v>
      </c>
      <c r="B2">
        <v>7.91</v>
      </c>
      <c r="C2">
        <v>45.36</v>
      </c>
      <c r="F2">
        <f>1.58+9.07</f>
        <v>10.65</v>
      </c>
      <c r="G2" t="s">
        <v>3170</v>
      </c>
    </row>
    <row r="3" spans="1:7" x14ac:dyDescent="0.25">
      <c r="A3" s="856" t="s">
        <v>3153</v>
      </c>
      <c r="B3">
        <v>7.54</v>
      </c>
      <c r="C3">
        <v>60.5</v>
      </c>
      <c r="F3">
        <f>1.51+12.1</f>
        <v>13.61</v>
      </c>
      <c r="G3" t="s">
        <v>3170</v>
      </c>
    </row>
    <row r="4" spans="1:7" x14ac:dyDescent="0.25">
      <c r="A4" t="s">
        <v>3154</v>
      </c>
      <c r="B4">
        <v>7.55</v>
      </c>
      <c r="C4">
        <v>37.630000000000003</v>
      </c>
      <c r="D4">
        <v>5</v>
      </c>
      <c r="F4">
        <f>1.51+7.53</f>
        <v>9.0400000000000009</v>
      </c>
      <c r="G4" t="s">
        <v>3170</v>
      </c>
    </row>
    <row r="5" spans="1:7" x14ac:dyDescent="0.25">
      <c r="A5" t="s">
        <v>3155</v>
      </c>
      <c r="B5">
        <v>7.62</v>
      </c>
      <c r="F5">
        <v>1.52</v>
      </c>
      <c r="G5" t="s">
        <v>3170</v>
      </c>
    </row>
    <row r="6" spans="1:7" x14ac:dyDescent="0.25">
      <c r="A6" t="s">
        <v>3156</v>
      </c>
      <c r="B6" s="857">
        <v>15.24</v>
      </c>
      <c r="C6">
        <v>47.58</v>
      </c>
      <c r="E6">
        <v>6.75</v>
      </c>
      <c r="F6">
        <v>1.35</v>
      </c>
      <c r="G6" t="s">
        <v>3170</v>
      </c>
    </row>
    <row r="7" spans="1:7" x14ac:dyDescent="0.25">
      <c r="A7" t="s">
        <v>3157</v>
      </c>
      <c r="B7">
        <v>11.24</v>
      </c>
      <c r="C7">
        <v>52.23</v>
      </c>
      <c r="D7">
        <v>5</v>
      </c>
      <c r="F7">
        <f>2.25+10.45</f>
        <v>12.7</v>
      </c>
      <c r="G7" t="s">
        <v>3170</v>
      </c>
    </row>
    <row r="8" spans="1:7" x14ac:dyDescent="0.25">
      <c r="A8" t="s">
        <v>3158</v>
      </c>
      <c r="B8">
        <v>14.47</v>
      </c>
      <c r="C8">
        <v>37.5</v>
      </c>
      <c r="F8">
        <f>2.89+7.5</f>
        <v>10.39</v>
      </c>
      <c r="G8" t="s">
        <v>3170</v>
      </c>
    </row>
    <row r="9" spans="1:7" x14ac:dyDescent="0.25">
      <c r="A9" t="s">
        <v>3152</v>
      </c>
      <c r="B9">
        <v>10.92</v>
      </c>
      <c r="F9">
        <v>2.1800000000000002</v>
      </c>
      <c r="G9" t="s">
        <v>3170</v>
      </c>
    </row>
    <row r="10" spans="1:7" x14ac:dyDescent="0.25">
      <c r="A10" t="s">
        <v>3159</v>
      </c>
      <c r="B10">
        <v>8.24</v>
      </c>
      <c r="F10">
        <v>1.65</v>
      </c>
      <c r="G10" t="s">
        <v>3170</v>
      </c>
    </row>
    <row r="11" spans="1:7" x14ac:dyDescent="0.25">
      <c r="A11" t="s">
        <v>3160</v>
      </c>
      <c r="B11">
        <v>13.78</v>
      </c>
      <c r="F11">
        <v>2.76</v>
      </c>
      <c r="G11" t="s">
        <v>3170</v>
      </c>
    </row>
    <row r="12" spans="1:7" x14ac:dyDescent="0.25">
      <c r="A12" t="s">
        <v>3161</v>
      </c>
      <c r="B12">
        <v>7.54</v>
      </c>
      <c r="F12">
        <v>1.51</v>
      </c>
    </row>
    <row r="13" spans="1:7" x14ac:dyDescent="0.25">
      <c r="A13" t="s">
        <v>3162</v>
      </c>
      <c r="B13">
        <v>8.99</v>
      </c>
      <c r="D13">
        <v>10</v>
      </c>
      <c r="F13">
        <v>1.8</v>
      </c>
    </row>
    <row r="14" spans="1:7" x14ac:dyDescent="0.25">
      <c r="B14">
        <f>SUM(B2:B13)</f>
        <v>121.04</v>
      </c>
      <c r="C14">
        <f t="shared" ref="C14:F14" si="0">SUM(C2:C13)</f>
        <v>280.79999999999995</v>
      </c>
      <c r="D14">
        <f t="shared" si="0"/>
        <v>20</v>
      </c>
      <c r="E14">
        <f t="shared" si="0"/>
        <v>6.75</v>
      </c>
      <c r="F14">
        <f t="shared" si="0"/>
        <v>69.160000000000011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indexed="43"/>
    <outlinePr summaryBelow="0" summaryRight="0"/>
  </sheetPr>
  <dimension ref="A1:AP51"/>
  <sheetViews>
    <sheetView workbookViewId="0"/>
  </sheetViews>
  <sheetFormatPr defaultColWidth="9.109375" defaultRowHeight="13.2" x14ac:dyDescent="0.25"/>
  <cols>
    <col min="1" max="41" width="2.5546875" style="327" customWidth="1"/>
    <col min="42" max="42" width="9.109375" style="327"/>
    <col min="43" max="45" width="2.5546875" style="327" customWidth="1"/>
    <col min="46" max="46" width="7.6640625" style="327" customWidth="1"/>
    <col min="47" max="61" width="2.5546875" style="327" customWidth="1"/>
    <col min="62" max="16384" width="9.109375" style="327"/>
  </cols>
  <sheetData>
    <row r="1" spans="1:37" s="320" customFormat="1" ht="10.5" customHeight="1" thickBot="1" x14ac:dyDescent="0.3">
      <c r="B1" s="321" t="s">
        <v>564</v>
      </c>
      <c r="N1" s="944" t="s">
        <v>2703</v>
      </c>
      <c r="O1" s="944"/>
      <c r="P1" s="944"/>
      <c r="Q1" s="944"/>
      <c r="R1" s="944"/>
      <c r="S1" s="944"/>
      <c r="T1" s="944"/>
      <c r="U1" s="944"/>
      <c r="V1" s="944"/>
      <c r="W1" s="944"/>
    </row>
    <row r="2" spans="1:37" s="322" customFormat="1" ht="21" customHeight="1" thickBot="1" x14ac:dyDescent="0.3">
      <c r="B2" s="323" t="s">
        <v>18</v>
      </c>
      <c r="C2" s="324"/>
      <c r="D2" s="324"/>
      <c r="E2" s="324"/>
      <c r="F2" s="324"/>
      <c r="G2" s="324"/>
      <c r="H2" s="324"/>
      <c r="I2" s="324"/>
      <c r="J2" s="325"/>
      <c r="K2" s="324"/>
      <c r="L2" s="324"/>
      <c r="M2" s="412"/>
      <c r="N2" s="944"/>
      <c r="O2" s="944"/>
      <c r="P2" s="944"/>
      <c r="Q2" s="944"/>
      <c r="R2" s="944"/>
      <c r="S2" s="944"/>
      <c r="T2" s="944"/>
      <c r="U2" s="944"/>
      <c r="V2" s="944"/>
      <c r="W2" s="944"/>
    </row>
    <row r="3" spans="1:37" ht="13.8" thickBot="1" x14ac:dyDescent="0.3">
      <c r="N3" s="945"/>
      <c r="O3" s="945"/>
      <c r="P3" s="945"/>
      <c r="Q3" s="945"/>
      <c r="R3" s="945"/>
      <c r="S3" s="945"/>
      <c r="T3" s="945"/>
      <c r="U3" s="945"/>
      <c r="V3" s="945"/>
      <c r="W3" s="945"/>
    </row>
    <row r="4" spans="1:37" ht="28.5" customHeight="1" thickBot="1" x14ac:dyDescent="0.3">
      <c r="K4" s="328" t="s">
        <v>2047</v>
      </c>
      <c r="L4" s="432" t="e">
        <f>+MID(#REF!,1,1)</f>
        <v>#REF!</v>
      </c>
      <c r="M4" s="432" t="e">
        <f>+MID(#REF!,2,1)</f>
        <v>#REF!</v>
      </c>
      <c r="N4" s="433" t="s">
        <v>2687</v>
      </c>
      <c r="O4" s="432" t="e">
        <f>LEFT(#REF!,1)</f>
        <v>#REF!</v>
      </c>
      <c r="P4" s="432" t="e">
        <f>RIGHT(#REF!,1)</f>
        <v>#REF!</v>
      </c>
      <c r="Q4" s="433" t="s">
        <v>2687</v>
      </c>
      <c r="R4" s="432" t="e">
        <f>+LEFT(#REF!,1)</f>
        <v>#REF!</v>
      </c>
      <c r="S4" s="432" t="e">
        <f>+MID(#REF!,2,1)</f>
        <v>#REF!</v>
      </c>
      <c r="T4" s="432" t="e">
        <f>+MID(#REF!,3,1)</f>
        <v>#REF!</v>
      </c>
      <c r="U4" s="432" t="e">
        <f>+MID(#REF!,4,1)</f>
        <v>#REF!</v>
      </c>
      <c r="V4" s="533" t="s">
        <v>858</v>
      </c>
      <c r="W4" s="329"/>
      <c r="X4" s="329"/>
      <c r="Y4" s="329"/>
      <c r="Z4" s="330"/>
    </row>
    <row r="5" spans="1:37" ht="7.5" customHeight="1" thickBot="1" x14ac:dyDescent="0.3"/>
    <row r="6" spans="1:37" s="334" customFormat="1" ht="14.25" customHeight="1" x14ac:dyDescent="0.25">
      <c r="A6" s="331" t="s">
        <v>1222</v>
      </c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3"/>
      <c r="T6" s="332"/>
      <c r="U6" s="332"/>
      <c r="V6" s="332"/>
      <c r="W6" s="332"/>
      <c r="X6" s="332"/>
      <c r="Y6" s="332"/>
      <c r="Z6" s="332"/>
      <c r="AA6" s="332"/>
      <c r="AB6" s="332"/>
      <c r="AC6" s="332"/>
      <c r="AD6" s="332"/>
      <c r="AE6" s="332"/>
      <c r="AF6" s="332"/>
      <c r="AG6" s="332"/>
      <c r="AH6" s="332"/>
      <c r="AI6" s="332"/>
      <c r="AJ6" s="332"/>
      <c r="AK6" s="333"/>
    </row>
    <row r="7" spans="1:37" s="338" customFormat="1" ht="15" customHeight="1" x14ac:dyDescent="0.25">
      <c r="A7" s="335" t="s">
        <v>1223</v>
      </c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7"/>
    </row>
    <row r="8" spans="1:37" s="342" customFormat="1" ht="18" customHeight="1" thickBot="1" x14ac:dyDescent="0.3">
      <c r="A8" s="339" t="s">
        <v>1186</v>
      </c>
      <c r="B8" s="340"/>
      <c r="C8" s="340"/>
      <c r="D8" s="340"/>
      <c r="E8" s="339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1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0"/>
      <c r="AE8" s="340"/>
      <c r="AF8" s="340"/>
      <c r="AG8" s="340"/>
      <c r="AH8" s="340"/>
      <c r="AI8" s="340"/>
      <c r="AJ8" s="340"/>
      <c r="AK8" s="341"/>
    </row>
    <row r="9" spans="1:37" s="343" customFormat="1" ht="3.75" customHeight="1" thickBot="1" x14ac:dyDescent="0.3"/>
    <row r="10" spans="1:37" s="343" customFormat="1" ht="14.25" customHeight="1" x14ac:dyDescent="0.25">
      <c r="A10" s="344" t="s">
        <v>601</v>
      </c>
      <c r="B10" s="345"/>
      <c r="C10" s="345"/>
      <c r="D10" s="345"/>
      <c r="E10" s="345"/>
      <c r="F10" s="345"/>
      <c r="G10" s="345"/>
      <c r="H10" s="345"/>
      <c r="I10" s="346"/>
      <c r="J10" s="347"/>
      <c r="K10" s="348" t="s">
        <v>1271</v>
      </c>
      <c r="L10" s="345"/>
      <c r="M10" s="349"/>
      <c r="N10" s="349"/>
      <c r="O10" s="349"/>
      <c r="P10" s="345"/>
      <c r="Q10" s="348" t="s">
        <v>1271</v>
      </c>
      <c r="R10" s="345"/>
      <c r="S10" s="346"/>
      <c r="T10" s="345"/>
      <c r="U10" s="345"/>
      <c r="V10" s="350"/>
      <c r="W10" s="345"/>
      <c r="X10" s="345"/>
      <c r="Y10" s="345"/>
      <c r="Z10" s="345"/>
      <c r="AA10" s="345"/>
      <c r="AB10" s="345"/>
      <c r="AC10" s="345"/>
      <c r="AD10" s="348" t="s">
        <v>833</v>
      </c>
      <c r="AE10" s="348"/>
      <c r="AF10" s="348"/>
      <c r="AG10" s="348" t="s">
        <v>862</v>
      </c>
      <c r="AH10" s="345"/>
      <c r="AI10" s="345"/>
      <c r="AJ10" s="345"/>
      <c r="AK10" s="351"/>
    </row>
    <row r="11" spans="1:37" s="343" customFormat="1" ht="19.5" customHeight="1" x14ac:dyDescent="0.2">
      <c r="A11" s="425" t="e">
        <f>LEFT(#REF!,1)</f>
        <v>#REF!</v>
      </c>
      <c r="B11" s="426" t="e">
        <f>MID(#REF!,2,1)</f>
        <v>#REF!</v>
      </c>
      <c r="C11" s="424" t="e">
        <f>MID(#REF!,3,1)</f>
        <v>#REF!</v>
      </c>
      <c r="D11" s="424" t="e">
        <f>MID(#REF!,4,1)</f>
        <v>#REF!</v>
      </c>
      <c r="E11" s="424" t="e">
        <f>MID(#REF!,5,1)</f>
        <v>#REF!</v>
      </c>
      <c r="F11" s="424" t="e">
        <f>MID(#REF!,6,1)</f>
        <v>#REF!</v>
      </c>
      <c r="G11" s="424" t="e">
        <f>MID(#REF!,7,1)</f>
        <v>#REF!</v>
      </c>
      <c r="H11" s="424" t="e">
        <f>MID(#REF!,8,1)</f>
        <v>#REF!</v>
      </c>
      <c r="I11" s="424" t="e">
        <f>MID(#REF!,9,1)</f>
        <v>#REF!</v>
      </c>
      <c r="J11" s="424" t="e">
        <f>MID(#REF!,10,1)</f>
        <v>#REF!</v>
      </c>
      <c r="K11" s="353"/>
      <c r="L11" s="354"/>
      <c r="M11" s="354"/>
      <c r="N11" s="354"/>
      <c r="O11" s="354"/>
      <c r="P11" s="354"/>
      <c r="Q11" s="354"/>
      <c r="R11" s="354"/>
      <c r="S11" s="354"/>
      <c r="T11" s="354"/>
      <c r="U11" s="354"/>
      <c r="V11" s="355"/>
      <c r="W11" s="356" t="s">
        <v>860</v>
      </c>
      <c r="X11" s="354"/>
      <c r="Y11" s="354"/>
      <c r="Z11" s="354"/>
      <c r="AA11" s="354"/>
      <c r="AB11" s="356" t="s">
        <v>861</v>
      </c>
      <c r="AC11" s="354"/>
      <c r="AD11" s="424" t="e">
        <f>MID(#REF!,1,1)</f>
        <v>#REF!</v>
      </c>
      <c r="AE11" s="424" t="e">
        <f>MID(#REF!,2,1)</f>
        <v>#REF!</v>
      </c>
      <c r="AF11" s="427"/>
      <c r="AG11" s="424" t="e">
        <f>MID(#REF!,1,1)</f>
        <v>#REF!</v>
      </c>
      <c r="AH11" s="424" t="e">
        <f>MID(#REF!,2,1)</f>
        <v>#REF!</v>
      </c>
      <c r="AI11" s="424" t="e">
        <f>MID(#REF!,3,1)</f>
        <v>#REF!</v>
      </c>
      <c r="AJ11" s="424" t="e">
        <f>MID(#REF!,4,1)</f>
        <v>#REF!</v>
      </c>
      <c r="AK11" s="357"/>
    </row>
    <row r="12" spans="1:37" s="343" customFormat="1" ht="19.5" customHeight="1" x14ac:dyDescent="0.3">
      <c r="A12" s="358"/>
      <c r="B12" s="354"/>
      <c r="C12" s="354"/>
      <c r="D12" s="354"/>
      <c r="E12" s="354"/>
      <c r="F12" s="354"/>
      <c r="G12" s="354"/>
      <c r="H12" s="354"/>
      <c r="I12" s="353"/>
      <c r="J12" s="359"/>
      <c r="K12" s="353"/>
      <c r="L12" s="434" t="e">
        <f>IF(#REF!="X","X"," ")</f>
        <v>#REF!</v>
      </c>
      <c r="M12" s="356" t="s">
        <v>1102</v>
      </c>
      <c r="N12" s="360"/>
      <c r="O12" s="360"/>
      <c r="P12" s="360"/>
      <c r="Q12" s="360"/>
      <c r="R12" s="434" t="e">
        <f>IF(#REF!="X","X"," ")</f>
        <v>#REF!</v>
      </c>
      <c r="S12" s="356" t="s">
        <v>1210</v>
      </c>
      <c r="T12" s="354"/>
      <c r="U12" s="354"/>
      <c r="V12" s="355"/>
      <c r="W12" s="362"/>
      <c r="X12" s="363"/>
      <c r="Y12" s="363"/>
      <c r="Z12" s="363"/>
      <c r="AA12" s="363"/>
      <c r="AB12" s="364" t="s">
        <v>1206</v>
      </c>
      <c r="AC12" s="363"/>
      <c r="AD12" s="424" t="e">
        <f>MID(#REF!,1,1)</f>
        <v>#REF!</v>
      </c>
      <c r="AE12" s="424" t="e">
        <f>MID(#REF!,2,1)</f>
        <v>#REF!</v>
      </c>
      <c r="AF12" s="428"/>
      <c r="AG12" s="424" t="e">
        <f>MID(#REF!,1,1)</f>
        <v>#REF!</v>
      </c>
      <c r="AH12" s="424" t="e">
        <f>MID(#REF!,2,1)</f>
        <v>#REF!</v>
      </c>
      <c r="AI12" s="424" t="e">
        <f>MID(#REF!,3,1)</f>
        <v>#REF!</v>
      </c>
      <c r="AJ12" s="424" t="e">
        <f>MID(#REF!,4,1)</f>
        <v>#REF!</v>
      </c>
      <c r="AK12" s="365"/>
    </row>
    <row r="13" spans="1:37" s="343" customFormat="1" ht="19.5" customHeight="1" x14ac:dyDescent="0.25">
      <c r="A13" s="540" t="s">
        <v>1209</v>
      </c>
      <c r="B13" s="354"/>
      <c r="C13" s="354"/>
      <c r="D13" s="354"/>
      <c r="E13" s="354"/>
      <c r="F13" s="354"/>
      <c r="G13" s="354"/>
      <c r="H13" s="353"/>
      <c r="I13" s="353"/>
      <c r="J13" s="359"/>
      <c r="K13" s="353"/>
      <c r="L13" s="352" t="e">
        <f>IF(#REF!="X",#NAME?, "")</f>
        <v>#REF!</v>
      </c>
      <c r="M13" s="356" t="s">
        <v>567</v>
      </c>
      <c r="N13" s="360"/>
      <c r="O13" s="360"/>
      <c r="P13" s="360"/>
      <c r="Q13" s="360"/>
      <c r="R13" s="361" t="e">
        <f>IF(#REF!="X","X"," ")</f>
        <v>#REF!</v>
      </c>
      <c r="S13" s="356" t="s">
        <v>1211</v>
      </c>
      <c r="T13" s="354"/>
      <c r="U13" s="354"/>
      <c r="V13" s="355"/>
      <c r="W13" s="356"/>
      <c r="X13" s="354"/>
      <c r="Y13" s="366"/>
      <c r="Z13" s="353"/>
      <c r="AA13" s="353"/>
      <c r="AB13" s="360"/>
      <c r="AC13" s="353"/>
      <c r="AD13" s="427"/>
      <c r="AE13" s="427"/>
      <c r="AF13" s="427"/>
      <c r="AG13" s="427"/>
      <c r="AH13" s="427"/>
      <c r="AI13" s="427"/>
      <c r="AJ13" s="427"/>
      <c r="AK13" s="367"/>
    </row>
    <row r="14" spans="1:37" s="343" customFormat="1" ht="19.5" customHeight="1" x14ac:dyDescent="0.25">
      <c r="A14" s="425" t="e">
        <f>LEFT(#REF!,1)</f>
        <v>#REF!</v>
      </c>
      <c r="B14" s="426" t="e">
        <f>MID(#REF!,2,1)</f>
        <v>#REF!</v>
      </c>
      <c r="C14" s="424" t="e">
        <f>MID(#REF!,3,1)</f>
        <v>#REF!</v>
      </c>
      <c r="D14" s="424" t="e">
        <f>MID(#REF!,4,1)</f>
        <v>#REF!</v>
      </c>
      <c r="E14" s="424" t="e">
        <f>MID(#REF!,5,1)</f>
        <v>#REF!</v>
      </c>
      <c r="F14" s="424" t="e">
        <f>MID(#REF!,6,1)</f>
        <v>#REF!</v>
      </c>
      <c r="G14" s="424" t="e">
        <f>MID(#REF!,7,1)</f>
        <v>#REF!</v>
      </c>
      <c r="H14" s="424" t="e">
        <f>MID(#REF!,8,1)</f>
        <v>#REF!</v>
      </c>
      <c r="I14" s="353"/>
      <c r="J14" s="359"/>
      <c r="K14" s="353"/>
      <c r="L14" s="352" t="e">
        <f>IF(#REF!="X",#NAME?, "")</f>
        <v>#REF!</v>
      </c>
      <c r="M14" s="356" t="s">
        <v>1674</v>
      </c>
      <c r="N14" s="360"/>
      <c r="O14" s="360"/>
      <c r="P14" s="360"/>
      <c r="Q14" s="360"/>
      <c r="R14" s="368" t="s">
        <v>859</v>
      </c>
      <c r="S14" s="360"/>
      <c r="T14" s="354"/>
      <c r="U14" s="354"/>
      <c r="V14" s="355"/>
      <c r="W14" s="356" t="s">
        <v>586</v>
      </c>
      <c r="X14" s="354"/>
      <c r="Y14" s="366"/>
      <c r="Z14" s="353"/>
      <c r="AA14" s="353"/>
      <c r="AB14" s="356" t="s">
        <v>861</v>
      </c>
      <c r="AC14" s="353"/>
      <c r="AD14" s="424" t="e">
        <f>MID(#REF!,1,1)</f>
        <v>#REF!</v>
      </c>
      <c r="AE14" s="424" t="e">
        <f>MID(#REF!,2,1)</f>
        <v>#REF!</v>
      </c>
      <c r="AF14" s="427"/>
      <c r="AG14" s="424" t="e">
        <f>MID(#REF!,1,1)</f>
        <v>#REF!</v>
      </c>
      <c r="AH14" s="424" t="e">
        <f>MID(#REF!,2,1)</f>
        <v>#REF!</v>
      </c>
      <c r="AI14" s="424" t="e">
        <f>MID(#REF!,3,1)</f>
        <v>#REF!</v>
      </c>
      <c r="AJ14" s="424" t="e">
        <f>MID(#REF!,4,1)</f>
        <v>#REF!</v>
      </c>
      <c r="AK14" s="367"/>
    </row>
    <row r="15" spans="1:37" s="343" customFormat="1" ht="19.5" customHeight="1" thickBot="1" x14ac:dyDescent="0.25">
      <c r="A15" s="369"/>
      <c r="B15" s="370"/>
      <c r="C15" s="370"/>
      <c r="D15" s="370"/>
      <c r="E15" s="370"/>
      <c r="F15" s="370"/>
      <c r="G15" s="370"/>
      <c r="H15" s="371"/>
      <c r="I15" s="371"/>
      <c r="J15" s="372"/>
      <c r="K15" s="371"/>
      <c r="L15" s="371"/>
      <c r="M15" s="371"/>
      <c r="N15" s="371"/>
      <c r="O15" s="371"/>
      <c r="P15" s="371"/>
      <c r="Q15" s="371"/>
      <c r="R15" s="371"/>
      <c r="S15" s="371"/>
      <c r="T15" s="370"/>
      <c r="U15" s="370"/>
      <c r="V15" s="420"/>
      <c r="W15" s="421" t="s">
        <v>2048</v>
      </c>
      <c r="X15" s="370"/>
      <c r="Y15" s="422"/>
      <c r="Z15" s="371"/>
      <c r="AA15" s="371"/>
      <c r="AB15" s="421" t="s">
        <v>1206</v>
      </c>
      <c r="AC15" s="371"/>
      <c r="AD15" s="429" t="e">
        <f>MID(#REF!,1,1)</f>
        <v>#REF!</v>
      </c>
      <c r="AE15" s="429" t="e">
        <f>MID(#REF!,2,1)</f>
        <v>#REF!</v>
      </c>
      <c r="AF15" s="430"/>
      <c r="AG15" s="429" t="e">
        <f>MID(#REF!,1,1)</f>
        <v>#REF!</v>
      </c>
      <c r="AH15" s="429" t="e">
        <f>MID(#REF!,2,1)</f>
        <v>#REF!</v>
      </c>
      <c r="AI15" s="429" t="e">
        <f>MID(#REF!,3,1)</f>
        <v>#REF!</v>
      </c>
      <c r="AJ15" s="429" t="e">
        <f>MID(#REF!,4,1)</f>
        <v>#REF!</v>
      </c>
      <c r="AK15" s="373"/>
    </row>
    <row r="16" spans="1:37" s="343" customFormat="1" ht="4.5" customHeight="1" x14ac:dyDescent="0.25">
      <c r="A16" s="354"/>
      <c r="B16" s="354"/>
      <c r="C16" s="354"/>
      <c r="D16" s="354"/>
      <c r="E16" s="354"/>
      <c r="F16" s="354"/>
      <c r="G16" s="354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4"/>
      <c r="U16" s="354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</row>
    <row r="17" spans="1:37" s="343" customFormat="1" ht="3" customHeight="1" thickBot="1" x14ac:dyDescent="0.3"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</row>
    <row r="18" spans="1:37" s="343" customFormat="1" ht="16.2" x14ac:dyDescent="0.25">
      <c r="A18" s="375" t="s">
        <v>866</v>
      </c>
      <c r="B18" s="345"/>
      <c r="C18" s="345"/>
      <c r="D18" s="345"/>
      <c r="E18" s="345"/>
      <c r="F18" s="345"/>
      <c r="G18" s="345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5"/>
      <c r="U18" s="345"/>
      <c r="V18" s="345"/>
      <c r="W18" s="346"/>
      <c r="X18" s="346"/>
      <c r="Y18" s="346"/>
      <c r="Z18" s="346"/>
      <c r="AA18" s="346"/>
      <c r="AB18" s="346"/>
      <c r="AC18" s="346"/>
      <c r="AD18" s="346"/>
      <c r="AE18" s="346"/>
      <c r="AF18" s="346"/>
      <c r="AG18" s="346"/>
      <c r="AH18" s="346"/>
      <c r="AI18" s="346"/>
      <c r="AJ18" s="346"/>
      <c r="AK18" s="376"/>
    </row>
    <row r="19" spans="1:37" s="374" customFormat="1" ht="19.5" customHeight="1" x14ac:dyDescent="0.25">
      <c r="A19" s="423" t="e">
        <f>+LEFT(#REF!,1)</f>
        <v>#REF!</v>
      </c>
      <c r="B19" s="424" t="e">
        <f>+MID(#REF!,2,1)</f>
        <v>#REF!</v>
      </c>
      <c r="C19" s="424" t="e">
        <f>+MID(#REF!,3,1)</f>
        <v>#REF!</v>
      </c>
      <c r="D19" s="424" t="e">
        <f>+MID(#REF!,4,1)</f>
        <v>#REF!</v>
      </c>
      <c r="E19" s="424" t="e">
        <f>+MID(#REF!,5,1)</f>
        <v>#REF!</v>
      </c>
      <c r="F19" s="424" t="e">
        <f>+MID(#REF!,6,1)</f>
        <v>#REF!</v>
      </c>
      <c r="G19" s="424" t="e">
        <f>+MID(#REF!,7,1)</f>
        <v>#REF!</v>
      </c>
      <c r="H19" s="424" t="e">
        <f>+MID(#REF!,8,1)</f>
        <v>#REF!</v>
      </c>
      <c r="I19" s="424" t="e">
        <f>+MID(#REF!,9,1)</f>
        <v>#REF!</v>
      </c>
      <c r="J19" s="424" t="e">
        <f>+MID(#REF!,10,1)</f>
        <v>#REF!</v>
      </c>
      <c r="K19" s="424" t="e">
        <f>+MID(#REF!,11,1)</f>
        <v>#REF!</v>
      </c>
      <c r="L19" s="424" t="e">
        <f>+MID(#REF!,12,1)</f>
        <v>#REF!</v>
      </c>
      <c r="M19" s="424" t="e">
        <f>+MID(#REF!,13,1)</f>
        <v>#REF!</v>
      </c>
      <c r="N19" s="424" t="e">
        <f>+MID(#REF!,14,1)</f>
        <v>#REF!</v>
      </c>
      <c r="O19" s="424" t="e">
        <f>+MID(#REF!,15,1)</f>
        <v>#REF!</v>
      </c>
      <c r="P19" s="424" t="e">
        <f>+MID(#REF!,16,1)</f>
        <v>#REF!</v>
      </c>
      <c r="Q19" s="424" t="e">
        <f>+MID(#REF!,17,1)</f>
        <v>#REF!</v>
      </c>
      <c r="R19" s="424" t="e">
        <f>+MID(#REF!,18,1)</f>
        <v>#REF!</v>
      </c>
      <c r="S19" s="424" t="e">
        <f>+MID(#REF!,19,1)</f>
        <v>#REF!</v>
      </c>
      <c r="T19" s="424" t="e">
        <f>+MID(#REF!,20,1)</f>
        <v>#REF!</v>
      </c>
      <c r="U19" s="424" t="e">
        <f>+MID(#REF!,21,1)</f>
        <v>#REF!</v>
      </c>
      <c r="V19" s="424" t="e">
        <f>+MID(#REF!,22,1)</f>
        <v>#REF!</v>
      </c>
      <c r="W19" s="424" t="e">
        <f>+MID(#REF!,23,1)</f>
        <v>#REF!</v>
      </c>
      <c r="X19" s="424" t="e">
        <f>+MID(#REF!,24,1)</f>
        <v>#REF!</v>
      </c>
      <c r="Y19" s="424" t="e">
        <f>+MID(#REF!,25,1)</f>
        <v>#REF!</v>
      </c>
      <c r="Z19" s="424" t="e">
        <f>+MID(#REF!,26,1)</f>
        <v>#REF!</v>
      </c>
      <c r="AA19" s="424" t="e">
        <f>+MID(#REF!,27,1)</f>
        <v>#REF!</v>
      </c>
      <c r="AB19" s="424" t="e">
        <f>+MID(#REF!,28,1)</f>
        <v>#REF!</v>
      </c>
      <c r="AC19" s="424" t="e">
        <f>+MID(#REF!,29,1)</f>
        <v>#REF!</v>
      </c>
      <c r="AD19" s="424" t="e">
        <f>+MID(#REF!,30,1)</f>
        <v>#REF!</v>
      </c>
      <c r="AE19" s="424" t="e">
        <f>+MID(#REF!,31,1)</f>
        <v>#REF!</v>
      </c>
      <c r="AF19" s="424" t="e">
        <f>+MID(#REF!,32,1)</f>
        <v>#REF!</v>
      </c>
      <c r="AG19" s="424" t="e">
        <f>+MID(#REF!,33,1)</f>
        <v>#REF!</v>
      </c>
      <c r="AH19" s="424" t="e">
        <f>+MID(#REF!,34,1)</f>
        <v>#REF!</v>
      </c>
      <c r="AI19" s="424" t="e">
        <f>+MID(#REF!,35,1)</f>
        <v>#REF!</v>
      </c>
      <c r="AJ19" s="424" t="e">
        <f>+MID(#REF!,36,1)</f>
        <v>#REF!</v>
      </c>
      <c r="AK19" s="501" t="e">
        <f>+MID(#REF!,37,1)</f>
        <v>#REF!</v>
      </c>
    </row>
    <row r="20" spans="1:37" s="504" customFormat="1" ht="19.5" customHeight="1" x14ac:dyDescent="0.25">
      <c r="A20" s="423" t="e">
        <f>+MID(#REF!,38,1)</f>
        <v>#REF!</v>
      </c>
      <c r="B20" s="424" t="e">
        <f>+MID(#REF!,39,1)</f>
        <v>#REF!</v>
      </c>
      <c r="C20" s="424" t="e">
        <f>+MID(#REF!,40,1)</f>
        <v>#REF!</v>
      </c>
      <c r="D20" s="424" t="e">
        <f>+MID(#REF!,41,1)</f>
        <v>#REF!</v>
      </c>
      <c r="E20" s="424" t="e">
        <f>+MID(#REF!,42,1)</f>
        <v>#REF!</v>
      </c>
      <c r="F20" s="424" t="e">
        <f>+MID(#REF!,43,1)</f>
        <v>#REF!</v>
      </c>
      <c r="G20" s="424" t="e">
        <f>+MID(#REF!,44,1)</f>
        <v>#REF!</v>
      </c>
      <c r="H20" s="424" t="e">
        <f>+MID(#REF!,45,1)</f>
        <v>#REF!</v>
      </c>
      <c r="I20" s="424" t="e">
        <f>+MID(#REF!,46,1)</f>
        <v>#REF!</v>
      </c>
      <c r="J20" s="424" t="e">
        <f>+MID(#REF!,47,1)</f>
        <v>#REF!</v>
      </c>
      <c r="K20" s="424" t="e">
        <f>+MID(#REF!,48,1)</f>
        <v>#REF!</v>
      </c>
      <c r="L20" s="424" t="e">
        <f>+MID(#REF!,49,1)</f>
        <v>#REF!</v>
      </c>
      <c r="M20" s="424" t="e">
        <f>+MID(#REF!,50,1)</f>
        <v>#REF!</v>
      </c>
      <c r="N20" s="424" t="e">
        <f>+MID(#REF!,51,1)</f>
        <v>#REF!</v>
      </c>
      <c r="O20" s="424" t="e">
        <f>+MID(#REF!,52,1)</f>
        <v>#REF!</v>
      </c>
      <c r="P20" s="424" t="e">
        <f>+MID(#REF!,53,1)</f>
        <v>#REF!</v>
      </c>
      <c r="Q20" s="424" t="e">
        <f>+MID(#REF!,54,1)</f>
        <v>#REF!</v>
      </c>
      <c r="R20" s="424" t="e">
        <f>+MID(#REF!,55,1)</f>
        <v>#REF!</v>
      </c>
      <c r="S20" s="424" t="e">
        <f>+MID(#REF!,56,1)</f>
        <v>#REF!</v>
      </c>
      <c r="T20" s="424" t="e">
        <f>+MID(#REF!,57,1)</f>
        <v>#REF!</v>
      </c>
      <c r="U20" s="424" t="e">
        <f>+MID(#REF!,58,1)</f>
        <v>#REF!</v>
      </c>
      <c r="V20" s="424" t="e">
        <f>+MID(#REF!,59,1)</f>
        <v>#REF!</v>
      </c>
      <c r="W20" s="424" t="e">
        <f>+MID(#REF!,60,1)</f>
        <v>#REF!</v>
      </c>
      <c r="X20" s="424" t="e">
        <f>+MID(#REF!,61,1)</f>
        <v>#REF!</v>
      </c>
      <c r="Y20" s="424" t="e">
        <f>+MID(#REF!,62,1)</f>
        <v>#REF!</v>
      </c>
      <c r="Z20" s="424" t="e">
        <f>+MID(#REF!,63,1)</f>
        <v>#REF!</v>
      </c>
      <c r="AA20" s="424" t="e">
        <f>+MID(#REF!,64,1)</f>
        <v>#REF!</v>
      </c>
      <c r="AB20" s="424" t="e">
        <f>+MID(#REF!,65,1)</f>
        <v>#REF!</v>
      </c>
      <c r="AC20" s="424" t="e">
        <f>+MID(#REF!,66,1)</f>
        <v>#REF!</v>
      </c>
      <c r="AD20" s="424" t="e">
        <f>+MID(#REF!,67,1)</f>
        <v>#REF!</v>
      </c>
      <c r="AE20" s="424" t="e">
        <f>+MID(#REF!,68,1)</f>
        <v>#REF!</v>
      </c>
      <c r="AF20" s="424" t="e">
        <f>+MID(#REF!,69,1)</f>
        <v>#REF!</v>
      </c>
      <c r="AG20" s="424" t="e">
        <f>+MID(#REF!,70,1)</f>
        <v>#REF!</v>
      </c>
      <c r="AH20" s="424" t="e">
        <f>+MID(#REF!,71,1)</f>
        <v>#REF!</v>
      </c>
      <c r="AI20" s="424" t="e">
        <f>+MID(#REF!,72,1)</f>
        <v>#REF!</v>
      </c>
      <c r="AJ20" s="424" t="e">
        <f>+MID(#REF!,73,1)</f>
        <v>#REF!</v>
      </c>
      <c r="AK20" s="501" t="e">
        <f>+MID(#REF!,74,1)</f>
        <v>#REF!</v>
      </c>
    </row>
    <row r="21" spans="1:37" ht="14.25" customHeight="1" x14ac:dyDescent="0.25">
      <c r="A21" s="377" t="s">
        <v>865</v>
      </c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367"/>
    </row>
    <row r="22" spans="1:37" s="504" customFormat="1" ht="19.5" customHeight="1" x14ac:dyDescent="0.25">
      <c r="A22" s="423" t="e">
        <f>+LEFT(#REF!,1)</f>
        <v>#REF!</v>
      </c>
      <c r="B22" s="424" t="e">
        <f>+MID(#REF!,2,1)</f>
        <v>#REF!</v>
      </c>
      <c r="C22" s="424" t="e">
        <f>+MID(#REF!,3,1)</f>
        <v>#REF!</v>
      </c>
      <c r="D22" s="424" t="e">
        <f>+MID(#REF!,4,1)</f>
        <v>#REF!</v>
      </c>
      <c r="E22" s="424" t="e">
        <f>+MID(#REF!,5,1)</f>
        <v>#REF!</v>
      </c>
      <c r="F22" s="424" t="e">
        <f>+MID(#REF!,6,1)</f>
        <v>#REF!</v>
      </c>
      <c r="G22" s="424" t="e">
        <f>+MID(#REF!,7,1)</f>
        <v>#REF!</v>
      </c>
      <c r="H22" s="424" t="e">
        <f>+MID(#REF!,8,1)</f>
        <v>#REF!</v>
      </c>
      <c r="I22" s="424" t="e">
        <f>+MID(#REF!,9,1)</f>
        <v>#REF!</v>
      </c>
      <c r="J22" s="424" t="e">
        <f>+MID(#REF!,10,1)</f>
        <v>#REF!</v>
      </c>
      <c r="K22" s="424" t="e">
        <f>+MID(#REF!,11,1)</f>
        <v>#REF!</v>
      </c>
      <c r="L22" s="424" t="e">
        <f>+MID(#REF!,12,1)</f>
        <v>#REF!</v>
      </c>
      <c r="M22" s="424" t="e">
        <f>+MID(#REF!,13,1)</f>
        <v>#REF!</v>
      </c>
      <c r="N22" s="424" t="e">
        <f>+MID(#REF!,14,1)</f>
        <v>#REF!</v>
      </c>
      <c r="O22" s="424" t="e">
        <f>+MID(#REF!,15,1)</f>
        <v>#REF!</v>
      </c>
      <c r="P22" s="424" t="e">
        <f>+MID(#REF!,16,1)</f>
        <v>#REF!</v>
      </c>
      <c r="Q22" s="424" t="e">
        <f>+MID(#REF!,17,1)</f>
        <v>#REF!</v>
      </c>
      <c r="R22" s="424" t="e">
        <f>+MID(#REF!,18,1)</f>
        <v>#REF!</v>
      </c>
      <c r="S22" s="424" t="e">
        <f>+MID(#REF!,19,1)</f>
        <v>#REF!</v>
      </c>
      <c r="T22" s="424" t="e">
        <f>+MID(#REF!,20,1)</f>
        <v>#REF!</v>
      </c>
      <c r="U22" s="424" t="e">
        <f>+MID(#REF!,21,1)</f>
        <v>#REF!</v>
      </c>
      <c r="V22" s="424" t="e">
        <f>+MID(#REF!,22,1)</f>
        <v>#REF!</v>
      </c>
      <c r="W22" s="424" t="e">
        <f>+MID(#REF!,23,1)</f>
        <v>#REF!</v>
      </c>
      <c r="X22" s="424" t="e">
        <f>+MID(#REF!,24,1)</f>
        <v>#REF!</v>
      </c>
      <c r="Y22" s="424" t="e">
        <f>+MID(#REF!,25,1)</f>
        <v>#REF!</v>
      </c>
      <c r="Z22" s="424" t="e">
        <f>+MID(#REF!,26,1)</f>
        <v>#REF!</v>
      </c>
      <c r="AA22" s="424" t="e">
        <f>+MID(#REF!,27,1)</f>
        <v>#REF!</v>
      </c>
      <c r="AB22" s="424" t="e">
        <f>+MID(#REF!,28,1)</f>
        <v>#REF!</v>
      </c>
      <c r="AC22" s="424" t="e">
        <f>+MID(#REF!,29,1)</f>
        <v>#REF!</v>
      </c>
      <c r="AD22" s="424" t="e">
        <f>+MID(#REF!,30,1)</f>
        <v>#REF!</v>
      </c>
      <c r="AE22" s="424" t="e">
        <f>+MID(#REF!,31,1)</f>
        <v>#REF!</v>
      </c>
      <c r="AF22" s="424" t="e">
        <f>+MID(#REF!,32,1)</f>
        <v>#REF!</v>
      </c>
      <c r="AG22" s="424" t="e">
        <f>+MID(#REF!,33,1)</f>
        <v>#REF!</v>
      </c>
      <c r="AH22" s="424" t="e">
        <f>+MID(#REF!,34,1)</f>
        <v>#REF!</v>
      </c>
      <c r="AI22" s="424" t="e">
        <f>+MID(#REF!,35,1)</f>
        <v>#REF!</v>
      </c>
      <c r="AJ22" s="424" t="e">
        <f>+MID(#REF!,36,1)</f>
        <v>#REF!</v>
      </c>
      <c r="AK22" s="501" t="e">
        <f>+MID(#REF!,37,1)</f>
        <v>#REF!</v>
      </c>
    </row>
    <row r="23" spans="1:37" s="299" customFormat="1" ht="14.25" customHeight="1" x14ac:dyDescent="0.25">
      <c r="A23" s="379" t="s">
        <v>863</v>
      </c>
      <c r="B23" s="380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1"/>
      <c r="X23" s="381"/>
      <c r="Y23" s="381"/>
      <c r="Z23" s="381"/>
      <c r="AA23" s="381"/>
      <c r="AB23" s="381"/>
      <c r="AC23" s="381"/>
      <c r="AD23" s="381"/>
      <c r="AE23" s="381"/>
      <c r="AF23" s="381"/>
      <c r="AG23" s="381"/>
      <c r="AH23" s="381"/>
      <c r="AI23" s="381"/>
      <c r="AJ23" s="381"/>
      <c r="AK23" s="382"/>
    </row>
    <row r="24" spans="1:37" x14ac:dyDescent="0.25">
      <c r="A24" s="377" t="s">
        <v>864</v>
      </c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53"/>
      <c r="X24" s="353"/>
      <c r="Y24" s="353"/>
      <c r="Z24" s="353"/>
      <c r="AA24" s="353"/>
      <c r="AB24" s="366" t="s">
        <v>867</v>
      </c>
      <c r="AC24" s="353"/>
      <c r="AD24" s="353"/>
      <c r="AE24" s="353"/>
      <c r="AF24" s="353"/>
      <c r="AG24" s="353"/>
      <c r="AH24" s="353"/>
      <c r="AI24" s="353"/>
      <c r="AJ24" s="353"/>
      <c r="AK24" s="367"/>
    </row>
    <row r="25" spans="1:37" s="504" customFormat="1" ht="19.5" customHeight="1" x14ac:dyDescent="0.25">
      <c r="A25" s="423" t="e">
        <f>+LEFT(#REF!,1)</f>
        <v>#REF!</v>
      </c>
      <c r="B25" s="424" t="e">
        <f>+MID(#REF!,2,1)</f>
        <v>#REF!</v>
      </c>
      <c r="C25" s="424" t="e">
        <f>+MID(#REF!,3,1)</f>
        <v>#REF!</v>
      </c>
      <c r="D25" s="424" t="e">
        <f>+MID(#REF!,4,1)</f>
        <v>#REF!</v>
      </c>
      <c r="E25" s="424" t="e">
        <f>+MID(#REF!,5,1)</f>
        <v>#REF!</v>
      </c>
      <c r="F25" s="424" t="e">
        <f>+MID(#REF!,6,1)</f>
        <v>#REF!</v>
      </c>
      <c r="G25" s="424" t="e">
        <f>+MID(#REF!,7,1)</f>
        <v>#REF!</v>
      </c>
      <c r="H25" s="424" t="e">
        <f>+MID(#REF!,8,1)</f>
        <v>#REF!</v>
      </c>
      <c r="I25" s="424" t="e">
        <f>+MID(#REF!,9,1)</f>
        <v>#REF!</v>
      </c>
      <c r="J25" s="424" t="e">
        <f>+MID(#REF!,10,1)</f>
        <v>#REF!</v>
      </c>
      <c r="K25" s="424" t="e">
        <f>+MID(#REF!,11,1)</f>
        <v>#REF!</v>
      </c>
      <c r="L25" s="424" t="e">
        <f>+MID(#REF!,12,1)</f>
        <v>#REF!</v>
      </c>
      <c r="M25" s="424" t="e">
        <f>+MID(#REF!,13,1)</f>
        <v>#REF!</v>
      </c>
      <c r="N25" s="424" t="e">
        <f>+MID(#REF!,14,1)</f>
        <v>#REF!</v>
      </c>
      <c r="O25" s="424" t="e">
        <f>+MID(#REF!,15,1)</f>
        <v>#REF!</v>
      </c>
      <c r="P25" s="424" t="e">
        <f>+MID(#REF!,16,1)</f>
        <v>#REF!</v>
      </c>
      <c r="Q25" s="424" t="e">
        <f>+MID(#REF!,17,1)</f>
        <v>#REF!</v>
      </c>
      <c r="R25" s="424" t="e">
        <f>+MID(#REF!,18,1)</f>
        <v>#REF!</v>
      </c>
      <c r="S25" s="424" t="e">
        <f>+MID(#REF!,19,1)</f>
        <v>#REF!</v>
      </c>
      <c r="T25" s="424" t="e">
        <f>+MID(#REF!,20,1)</f>
        <v>#REF!</v>
      </c>
      <c r="U25" s="424" t="e">
        <f>+MID(#REF!,21,1)</f>
        <v>#REF!</v>
      </c>
      <c r="V25" s="424" t="e">
        <f>+MID(#REF!,22,1)</f>
        <v>#REF!</v>
      </c>
      <c r="W25" s="424" t="e">
        <f>+MID(#REF!,23,1)</f>
        <v>#REF!</v>
      </c>
      <c r="X25" s="424" t="e">
        <f>+MID(#REF!,24,1)</f>
        <v>#REF!</v>
      </c>
      <c r="Y25" s="424" t="e">
        <f>+MID(#REF!,25,1)</f>
        <v>#REF!</v>
      </c>
      <c r="Z25" s="424" t="e">
        <f>+MID(#REF!,26,1)</f>
        <v>#REF!</v>
      </c>
      <c r="AA25" s="427" t="s">
        <v>179</v>
      </c>
      <c r="AB25" s="424" t="e">
        <f>+LEFT(#REF!,1)</f>
        <v>#REF!</v>
      </c>
      <c r="AC25" s="424" t="e">
        <f>+MID(#REF!,2,1)</f>
        <v>#REF!</v>
      </c>
      <c r="AD25" s="424" t="e">
        <f>+MID(#REF!,3,1)</f>
        <v>#REF!</v>
      </c>
      <c r="AE25" s="424" t="e">
        <f>+MID(#REF!,4,1)</f>
        <v>#REF!</v>
      </c>
      <c r="AF25" s="424" t="e">
        <f>+MID(#REF!,5,1)</f>
        <v>#REF!</v>
      </c>
      <c r="AG25" s="424" t="e">
        <f>+MID(#REF!,6,1)</f>
        <v>#REF!</v>
      </c>
      <c r="AH25" s="424" t="e">
        <f>+MID(#REF!,7,1)</f>
        <v>#REF!</v>
      </c>
      <c r="AI25" s="499" t="e">
        <f>+MID(#REF!,8,1)</f>
        <v>#REF!</v>
      </c>
      <c r="AJ25" s="499" t="e">
        <f>+MID(#REF!,9,1)</f>
        <v>#REF!</v>
      </c>
      <c r="AK25" s="500" t="e">
        <f>+MID(#REF!,10,1)</f>
        <v>#REF!</v>
      </c>
    </row>
    <row r="26" spans="1:37" x14ac:dyDescent="0.25">
      <c r="A26" s="377" t="s">
        <v>1103</v>
      </c>
      <c r="B26" s="378"/>
      <c r="C26" s="378"/>
      <c r="D26" s="378"/>
      <c r="E26" s="378"/>
      <c r="F26" s="378"/>
      <c r="G26" s="383" t="s">
        <v>1104</v>
      </c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3"/>
      <c r="S26" s="383"/>
      <c r="T26" s="383"/>
      <c r="U26" s="383"/>
      <c r="V26" s="383"/>
      <c r="W26" s="383"/>
      <c r="X26" s="383"/>
      <c r="Y26" s="383"/>
      <c r="Z26" s="383"/>
      <c r="AA26" s="383"/>
      <c r="AB26" s="383"/>
      <c r="AC26" s="383"/>
      <c r="AD26" s="383"/>
      <c r="AE26" s="353"/>
      <c r="AF26" s="353"/>
      <c r="AG26" s="353"/>
      <c r="AH26" s="353"/>
      <c r="AI26" s="353"/>
      <c r="AJ26" s="353"/>
      <c r="AK26" s="367"/>
    </row>
    <row r="27" spans="1:37" s="504" customFormat="1" ht="19.5" customHeight="1" x14ac:dyDescent="0.25">
      <c r="A27" s="423" t="e">
        <f>+LEFT(#REF!,1)</f>
        <v>#REF!</v>
      </c>
      <c r="B27" s="424" t="e">
        <f>+MID(#REF!,2,1)</f>
        <v>#REF!</v>
      </c>
      <c r="C27" s="424" t="e">
        <f>+MID(#REF!,3,1)</f>
        <v>#REF!</v>
      </c>
      <c r="D27" s="424" t="e">
        <f>+MID(#REF!,4,1)</f>
        <v>#REF!</v>
      </c>
      <c r="E27" s="424" t="e">
        <f>+MID(#REF!,5,1)</f>
        <v>#REF!</v>
      </c>
      <c r="F27" s="427"/>
      <c r="G27" s="424" t="e">
        <f>+LEFT(#REF!,1)</f>
        <v>#REF!</v>
      </c>
      <c r="H27" s="424" t="e">
        <f>+MID(#REF!,2,1)</f>
        <v>#REF!</v>
      </c>
      <c r="I27" s="424" t="e">
        <f>+MID(#REF!,3,1)</f>
        <v>#REF!</v>
      </c>
      <c r="J27" s="424" t="e">
        <f>+MID(#REF!,4,1)</f>
        <v>#REF!</v>
      </c>
      <c r="K27" s="424" t="e">
        <f>+MID(#REF!,5,1)</f>
        <v>#REF!</v>
      </c>
      <c r="L27" s="424" t="e">
        <f>+MID(#REF!,6,1)</f>
        <v>#REF!</v>
      </c>
      <c r="M27" s="424" t="e">
        <f>+MID(#REF!,7,1)</f>
        <v>#REF!</v>
      </c>
      <c r="N27" s="424" t="e">
        <f>+MID(#REF!,8,1)</f>
        <v>#REF!</v>
      </c>
      <c r="O27" s="424" t="e">
        <f>+MID(#REF!,9,1)</f>
        <v>#REF!</v>
      </c>
      <c r="P27" s="424" t="e">
        <f>+MID(#REF!,10,1)</f>
        <v>#REF!</v>
      </c>
      <c r="Q27" s="424" t="e">
        <f>+MID(#REF!,11,1)</f>
        <v>#REF!</v>
      </c>
      <c r="R27" s="424" t="e">
        <f>+MID(#REF!,12,1)</f>
        <v>#REF!</v>
      </c>
      <c r="S27" s="424" t="e">
        <f>+MID(#REF!,13,1)</f>
        <v>#REF!</v>
      </c>
      <c r="T27" s="424" t="e">
        <f>+MID(#REF!,14,1)</f>
        <v>#REF!</v>
      </c>
      <c r="U27" s="424" t="e">
        <f>+MID(#REF!,15,1)</f>
        <v>#REF!</v>
      </c>
      <c r="V27" s="424" t="e">
        <f>+MID(#REF!,16,1)</f>
        <v>#REF!</v>
      </c>
      <c r="W27" s="424" t="e">
        <f>+MID(#REF!,17,1)</f>
        <v>#REF!</v>
      </c>
      <c r="X27" s="424" t="e">
        <f>+MID(#REF!,18,1)</f>
        <v>#REF!</v>
      </c>
      <c r="Y27" s="424" t="e">
        <f>+MID(#REF!,19,1)</f>
        <v>#REF!</v>
      </c>
      <c r="Z27" s="424" t="e">
        <f>+MID(#REF!,20,1)</f>
        <v>#REF!</v>
      </c>
      <c r="AA27" s="424" t="e">
        <f>+MID(#REF!,21,1)</f>
        <v>#REF!</v>
      </c>
      <c r="AB27" s="424" t="e">
        <f>+MID(#REF!,22,1)</f>
        <v>#REF!</v>
      </c>
      <c r="AC27" s="424" t="e">
        <f>+MID(#REF!,23,1)</f>
        <v>#REF!</v>
      </c>
      <c r="AD27" s="424" t="e">
        <f>+MID(#REF!,24,1)</f>
        <v>#REF!</v>
      </c>
      <c r="AE27" s="424" t="e">
        <f>+MID(#REF!,25,1)</f>
        <v>#REF!</v>
      </c>
      <c r="AF27" s="424" t="e">
        <f>+MID(#REF!,26,1)</f>
        <v>#REF!</v>
      </c>
      <c r="AG27" s="424" t="e">
        <f>+MID(#REF!,27,1)</f>
        <v>#REF!</v>
      </c>
      <c r="AH27" s="424" t="e">
        <f>+MID(#REF!,28,1)</f>
        <v>#REF!</v>
      </c>
      <c r="AI27" s="424" t="e">
        <f>+MID(#REF!,29,1)</f>
        <v>#REF!</v>
      </c>
      <c r="AJ27" s="424" t="e">
        <f>+MID(#REF!,30,1)</f>
        <v>#REF!</v>
      </c>
      <c r="AK27" s="501" t="e">
        <f>+MID(#REF!,31,1)</f>
        <v>#REF!</v>
      </c>
    </row>
    <row r="28" spans="1:37" x14ac:dyDescent="0.25">
      <c r="A28" s="377" t="s">
        <v>1105</v>
      </c>
      <c r="B28" s="378"/>
      <c r="C28" s="378"/>
      <c r="D28" s="378"/>
      <c r="E28" s="378"/>
      <c r="F28" s="378"/>
      <c r="G28" s="383"/>
      <c r="H28" s="383"/>
      <c r="I28" s="383"/>
      <c r="J28" s="383"/>
      <c r="K28" s="383"/>
      <c r="L28" s="383"/>
      <c r="M28" s="383"/>
      <c r="N28" s="378"/>
      <c r="O28" s="383" t="s">
        <v>370</v>
      </c>
      <c r="P28" s="383"/>
      <c r="Q28" s="383"/>
      <c r="R28" s="383"/>
      <c r="S28" s="383"/>
      <c r="T28" s="383"/>
      <c r="U28" s="383"/>
      <c r="V28" s="383"/>
      <c r="W28" s="383"/>
      <c r="X28" s="383"/>
      <c r="Y28" s="383"/>
      <c r="Z28" s="383"/>
      <c r="AA28" s="383"/>
      <c r="AB28" s="383"/>
      <c r="AC28" s="383"/>
      <c r="AD28" s="383"/>
      <c r="AE28" s="353"/>
      <c r="AF28" s="353"/>
      <c r="AG28" s="353"/>
      <c r="AH28" s="353"/>
      <c r="AI28" s="353"/>
      <c r="AJ28" s="353"/>
      <c r="AK28" s="367"/>
    </row>
    <row r="29" spans="1:37" s="504" customFormat="1" ht="19.5" customHeight="1" x14ac:dyDescent="0.25">
      <c r="A29" s="423" t="e">
        <f>+LEFT(#REF!,1)</f>
        <v>#REF!</v>
      </c>
      <c r="B29" s="424" t="e">
        <f>+MID(#REF!,2,1)</f>
        <v>#REF!</v>
      </c>
      <c r="C29" s="424" t="e">
        <f>+MID(#REF!,3,1)</f>
        <v>#REF!</v>
      </c>
      <c r="D29" s="424" t="e">
        <f>+MID(#REF!,4,1)</f>
        <v>#REF!</v>
      </c>
      <c r="E29" s="424" t="e">
        <f>+MID(#REF!,5,1)</f>
        <v>#REF!</v>
      </c>
      <c r="F29" s="427" t="s">
        <v>1187</v>
      </c>
      <c r="G29" s="424" t="e">
        <f>+LEFT(#REF!,1)</f>
        <v>#REF!</v>
      </c>
      <c r="H29" s="424" t="e">
        <f>+MID(#REF!,2,1)</f>
        <v>#REF!</v>
      </c>
      <c r="I29" s="424" t="e">
        <f>+MID(#REF!,3,1)</f>
        <v>#REF!</v>
      </c>
      <c r="J29" s="424" t="e">
        <f>+MID(#REF!,4,1)</f>
        <v>#REF!</v>
      </c>
      <c r="K29" s="424" t="e">
        <f>+MID(#REF!,5,1)</f>
        <v>#REF!</v>
      </c>
      <c r="L29" s="424" t="e">
        <f>+MID(#REF!,6,1)</f>
        <v>#REF!</v>
      </c>
      <c r="M29" s="424" t="e">
        <f>+MID(#REF!,7,1)</f>
        <v>#REF!</v>
      </c>
      <c r="N29" s="424" t="e">
        <f>+MID(#REF!,8,1)</f>
        <v>#REF!</v>
      </c>
      <c r="O29" s="427"/>
      <c r="P29" s="424" t="e">
        <f>+LEFT(#REF!,1)</f>
        <v>#REF!</v>
      </c>
      <c r="Q29" s="424" t="e">
        <f>+MID(#REF!,2,1)</f>
        <v>#REF!</v>
      </c>
      <c r="R29" s="424" t="e">
        <f>+MID(#REF!,3,1)</f>
        <v>#REF!</v>
      </c>
      <c r="S29" s="424" t="e">
        <f>+MID(#REF!,4,1)</f>
        <v>#REF!</v>
      </c>
      <c r="T29" s="424" t="e">
        <f>+MID(#REF!,5,1)</f>
        <v>#REF!</v>
      </c>
      <c r="U29" s="427" t="s">
        <v>1187</v>
      </c>
      <c r="V29" s="424" t="e">
        <f>+LEFT(#REF!,1)</f>
        <v>#REF!</v>
      </c>
      <c r="W29" s="424" t="e">
        <f>+MID(#REF!,2,1)</f>
        <v>#REF!</v>
      </c>
      <c r="X29" s="424" t="e">
        <f>+MID(#REF!,3,1)</f>
        <v>#REF!</v>
      </c>
      <c r="Y29" s="424" t="e">
        <f>+MID(#REF!,4,1)</f>
        <v>#REF!</v>
      </c>
      <c r="Z29" s="424" t="e">
        <f>+MID(#REF!,5,1)</f>
        <v>#REF!</v>
      </c>
      <c r="AA29" s="424" t="e">
        <f>+MID(#REF!,6,1)</f>
        <v>#REF!</v>
      </c>
      <c r="AB29" s="424" t="e">
        <f>+MID(#REF!,7,1)</f>
        <v>#REF!</v>
      </c>
      <c r="AC29" s="424" t="e">
        <f>+MID(#REF!,8,1)</f>
        <v>#REF!</v>
      </c>
      <c r="AD29" s="427"/>
      <c r="AE29" s="353"/>
      <c r="AF29" s="353"/>
      <c r="AG29" s="353"/>
      <c r="AH29" s="353"/>
      <c r="AI29" s="353"/>
      <c r="AJ29" s="353"/>
      <c r="AK29" s="367"/>
    </row>
    <row r="30" spans="1:37" s="338" customFormat="1" x14ac:dyDescent="0.25">
      <c r="A30" s="335" t="s">
        <v>1188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336"/>
      <c r="W30" s="353"/>
      <c r="X30" s="353"/>
      <c r="Y30" s="353"/>
      <c r="Z30" s="353"/>
      <c r="AA30" s="353"/>
      <c r="AB30" s="353"/>
      <c r="AC30" s="353"/>
      <c r="AD30" s="353"/>
      <c r="AE30" s="353"/>
      <c r="AF30" s="353"/>
      <c r="AG30" s="353"/>
      <c r="AH30" s="353"/>
      <c r="AI30" s="353"/>
      <c r="AJ30" s="353"/>
      <c r="AK30" s="367"/>
    </row>
    <row r="31" spans="1:37" s="504" customFormat="1" ht="19.5" customHeight="1" thickBot="1" x14ac:dyDescent="0.3">
      <c r="A31" s="502" t="e">
        <f>+LEFT(#REF!,1)</f>
        <v>#REF!</v>
      </c>
      <c r="B31" s="429" t="e">
        <f>+MID(#REF!,2,1)</f>
        <v>#REF!</v>
      </c>
      <c r="C31" s="429" t="e">
        <f>+MID(#REF!,3,1)</f>
        <v>#REF!</v>
      </c>
      <c r="D31" s="429" t="e">
        <f>+MID(#REF!,4,1)</f>
        <v>#REF!</v>
      </c>
      <c r="E31" s="429" t="e">
        <f>+MID(#REF!,5,1)</f>
        <v>#REF!</v>
      </c>
      <c r="F31" s="429" t="e">
        <f>+MID(#REF!,6,1)</f>
        <v>#REF!</v>
      </c>
      <c r="G31" s="429" t="e">
        <f>+MID(#REF!,7,1)</f>
        <v>#REF!</v>
      </c>
      <c r="H31" s="429" t="e">
        <f>+MID(#REF!,8,1)</f>
        <v>#REF!</v>
      </c>
      <c r="I31" s="429" t="e">
        <f>+MID(#REF!,9,1)</f>
        <v>#REF!</v>
      </c>
      <c r="J31" s="429" t="e">
        <f>+MID(#REF!,10,1)</f>
        <v>#REF!</v>
      </c>
      <c r="K31" s="429" t="e">
        <f>+MID(#REF!,11,1)</f>
        <v>#REF!</v>
      </c>
      <c r="L31" s="429" t="e">
        <f>+MID(#REF!,12,1)</f>
        <v>#REF!</v>
      </c>
      <c r="M31" s="429" t="e">
        <f>+MID(#REF!,13,1)</f>
        <v>#REF!</v>
      </c>
      <c r="N31" s="429" t="e">
        <f>+MID(#REF!,14,1)</f>
        <v>#REF!</v>
      </c>
      <c r="O31" s="429" t="e">
        <f>+MID(#REF!,15,1)</f>
        <v>#REF!</v>
      </c>
      <c r="P31" s="429" t="e">
        <f>+MID(#REF!,16,1)</f>
        <v>#REF!</v>
      </c>
      <c r="Q31" s="429" t="e">
        <f>+MID(#REF!,17,1)</f>
        <v>#REF!</v>
      </c>
      <c r="R31" s="429" t="e">
        <f>+MID(#REF!,18,1)</f>
        <v>#REF!</v>
      </c>
      <c r="S31" s="429" t="e">
        <f>+MID(#REF!,19,1)</f>
        <v>#REF!</v>
      </c>
      <c r="T31" s="429" t="e">
        <f>+MID(#REF!,20,1)</f>
        <v>#REF!</v>
      </c>
      <c r="U31" s="429" t="e">
        <f>+MID(#REF!,21,1)</f>
        <v>#REF!</v>
      </c>
      <c r="V31" s="429" t="e">
        <f>+MID(#REF!,22,1)</f>
        <v>#REF!</v>
      </c>
      <c r="W31" s="429" t="e">
        <f>+MID(#REF!,23,1)</f>
        <v>#REF!</v>
      </c>
      <c r="X31" s="429" t="e">
        <f>+MID(#REF!,24,1)</f>
        <v>#REF!</v>
      </c>
      <c r="Y31" s="429" t="e">
        <f>+MID(#REF!,25,1)</f>
        <v>#REF!</v>
      </c>
      <c r="Z31" s="429" t="e">
        <f>+MID(#REF!,26,1)</f>
        <v>#REF!</v>
      </c>
      <c r="AA31" s="429" t="e">
        <f>+MID(#REF!,27,1)</f>
        <v>#REF!</v>
      </c>
      <c r="AB31" s="429" t="e">
        <f>+MID(#REF!,28,1)</f>
        <v>#REF!</v>
      </c>
      <c r="AC31" s="429" t="e">
        <f>+MID(#REF!,29,1)</f>
        <v>#REF!</v>
      </c>
      <c r="AD31" s="429" t="e">
        <f>+MID(#REF!,30,1)</f>
        <v>#REF!</v>
      </c>
      <c r="AE31" s="429" t="e">
        <f>+MID(#REF!,31,1)</f>
        <v>#REF!</v>
      </c>
      <c r="AF31" s="429" t="e">
        <f>+MID(#REF!,32,1)</f>
        <v>#REF!</v>
      </c>
      <c r="AG31" s="429" t="e">
        <f>+MID(#REF!,33,1)</f>
        <v>#REF!</v>
      </c>
      <c r="AH31" s="429" t="e">
        <f>+MID(#REF!,34,1)</f>
        <v>#REF!</v>
      </c>
      <c r="AI31" s="429" t="e">
        <f>+MID(#REF!,35,1)</f>
        <v>#REF!</v>
      </c>
      <c r="AJ31" s="429" t="e">
        <f>+MID(#REF!,36,1)</f>
        <v>#REF!</v>
      </c>
      <c r="AK31" s="498" t="e">
        <f>+MID(#REF!,37,1)</f>
        <v>#REF!</v>
      </c>
    </row>
    <row r="32" spans="1:37" s="338" customFormat="1" ht="4.5" customHeight="1" thickBot="1" x14ac:dyDescent="0.3">
      <c r="W32" s="374"/>
      <c r="X32" s="374"/>
      <c r="Y32" s="374"/>
      <c r="Z32" s="374"/>
      <c r="AA32" s="374"/>
      <c r="AB32" s="374"/>
      <c r="AC32" s="374"/>
      <c r="AD32" s="374"/>
      <c r="AE32" s="374"/>
      <c r="AF32" s="374"/>
      <c r="AG32" s="374"/>
      <c r="AH32" s="374"/>
      <c r="AI32" s="374"/>
      <c r="AJ32" s="374"/>
      <c r="AK32" s="374"/>
    </row>
    <row r="33" spans="1:42" s="390" customFormat="1" ht="12.75" customHeight="1" x14ac:dyDescent="0.25">
      <c r="A33" s="385" t="s">
        <v>1208</v>
      </c>
      <c r="B33" s="386"/>
      <c r="C33" s="386"/>
      <c r="D33" s="386"/>
      <c r="E33" s="386"/>
      <c r="F33" s="386"/>
      <c r="G33" s="386"/>
      <c r="H33" s="386"/>
      <c r="I33" s="386"/>
      <c r="J33" s="386"/>
      <c r="K33" s="387"/>
      <c r="L33" s="388"/>
      <c r="M33" s="940" t="s">
        <v>1643</v>
      </c>
      <c r="N33" s="940"/>
      <c r="O33" s="940"/>
      <c r="P33" s="940"/>
      <c r="Q33" s="940"/>
      <c r="R33" s="940"/>
      <c r="S33" s="940"/>
      <c r="T33" s="940"/>
      <c r="U33" s="941"/>
      <c r="V33" s="938" t="s">
        <v>1644</v>
      </c>
      <c r="W33" s="934"/>
      <c r="X33" s="934"/>
      <c r="Y33" s="934"/>
      <c r="Z33" s="934"/>
      <c r="AA33" s="934"/>
      <c r="AB33" s="934"/>
      <c r="AC33" s="389"/>
      <c r="AD33" s="934" t="s">
        <v>1645</v>
      </c>
      <c r="AE33" s="934"/>
      <c r="AF33" s="934"/>
      <c r="AG33" s="934"/>
      <c r="AH33" s="934"/>
      <c r="AI33" s="934"/>
      <c r="AJ33" s="934"/>
      <c r="AK33" s="935"/>
    </row>
    <row r="34" spans="1:42" s="338" customFormat="1" ht="19.5" customHeight="1" x14ac:dyDescent="0.25">
      <c r="A34" s="455" t="e">
        <f>LEFT(TEXT(#REF!,"dd.m.yyyy"),1)</f>
        <v>#REF!</v>
      </c>
      <c r="B34" s="454" t="e">
        <f>MID(TEXT(#REF!,"dd.mm.yyyy"),2,1)</f>
        <v>#REF!</v>
      </c>
      <c r="C34" s="452" t="s">
        <v>179</v>
      </c>
      <c r="D34" s="454" t="e">
        <f>MID(TEXT(#REF!,"dd.mm.yyyy"),4,1)</f>
        <v>#REF!</v>
      </c>
      <c r="E34" s="454" t="e">
        <f>MID(TEXT(#REF!,"dd.mm.yyyy"),5,1)</f>
        <v>#REF!</v>
      </c>
      <c r="F34" s="452" t="s">
        <v>179</v>
      </c>
      <c r="G34" s="454" t="e">
        <f>MID(TEXT(#REF!,"dd.mm.yyyy"),7,1)</f>
        <v>#REF!</v>
      </c>
      <c r="H34" s="454" t="e">
        <f>MID(TEXT(#REF!,"dd.mm.yyyy"),8,1)</f>
        <v>#REF!</v>
      </c>
      <c r="I34" s="454" t="e">
        <f>MID(TEXT(#REF!,"dd.mm.yyyy"),9,1)</f>
        <v>#REF!</v>
      </c>
      <c r="J34" s="454" t="e">
        <f>MID(TEXT(#REF!,"dd.mm.yyyy"),10,1)</f>
        <v>#REF!</v>
      </c>
      <c r="K34" s="431"/>
      <c r="L34" s="392"/>
      <c r="M34" s="942"/>
      <c r="N34" s="942"/>
      <c r="O34" s="942"/>
      <c r="P34" s="942"/>
      <c r="Q34" s="942"/>
      <c r="R34" s="942"/>
      <c r="S34" s="942"/>
      <c r="T34" s="942"/>
      <c r="U34" s="943"/>
      <c r="V34" s="939"/>
      <c r="W34" s="936"/>
      <c r="X34" s="936"/>
      <c r="Y34" s="936"/>
      <c r="Z34" s="936"/>
      <c r="AA34" s="936"/>
      <c r="AB34" s="936"/>
      <c r="AC34" s="393"/>
      <c r="AD34" s="936"/>
      <c r="AE34" s="936"/>
      <c r="AF34" s="936"/>
      <c r="AG34" s="936"/>
      <c r="AH34" s="936"/>
      <c r="AI34" s="936"/>
      <c r="AJ34" s="936"/>
      <c r="AK34" s="937"/>
      <c r="AP34" s="453"/>
    </row>
    <row r="35" spans="1:42" s="338" customFormat="1" ht="12.75" customHeight="1" x14ac:dyDescent="0.25">
      <c r="A35" s="394"/>
      <c r="B35" s="395"/>
      <c r="C35" s="395"/>
      <c r="D35" s="395"/>
      <c r="E35" s="395"/>
      <c r="F35" s="395"/>
      <c r="G35" s="395"/>
      <c r="H35" s="395"/>
      <c r="I35" s="395"/>
      <c r="J35" s="395"/>
      <c r="K35" s="396"/>
      <c r="L35" s="397"/>
      <c r="M35" s="942"/>
      <c r="N35" s="942"/>
      <c r="O35" s="942"/>
      <c r="P35" s="942"/>
      <c r="Q35" s="942"/>
      <c r="R35" s="942"/>
      <c r="S35" s="942"/>
      <c r="T35" s="942"/>
      <c r="U35" s="943"/>
      <c r="V35" s="939"/>
      <c r="W35" s="936"/>
      <c r="X35" s="936"/>
      <c r="Y35" s="936"/>
      <c r="Z35" s="936"/>
      <c r="AA35" s="936"/>
      <c r="AB35" s="936"/>
      <c r="AC35" s="393"/>
      <c r="AD35" s="936"/>
      <c r="AE35" s="936"/>
      <c r="AF35" s="936"/>
      <c r="AG35" s="936"/>
      <c r="AH35" s="936"/>
      <c r="AI35" s="936"/>
      <c r="AJ35" s="936"/>
      <c r="AK35" s="937"/>
    </row>
    <row r="36" spans="1:42" s="338" customFormat="1" x14ac:dyDescent="0.25">
      <c r="A36" s="335" t="s">
        <v>1207</v>
      </c>
      <c r="B36" s="336"/>
      <c r="C36" s="336"/>
      <c r="D36" s="336"/>
      <c r="E36" s="336"/>
      <c r="F36" s="336"/>
      <c r="G36" s="336"/>
      <c r="H36" s="336"/>
      <c r="I36" s="336"/>
      <c r="J36" s="336"/>
      <c r="K36" s="391"/>
      <c r="L36" s="392"/>
      <c r="M36" s="391"/>
      <c r="N36" s="391"/>
      <c r="O36" s="391"/>
      <c r="P36" s="391"/>
      <c r="Q36" s="391"/>
      <c r="R36" s="391"/>
      <c r="S36" s="336"/>
      <c r="T36" s="398"/>
      <c r="U36" s="398"/>
      <c r="V36" s="399"/>
      <c r="W36" s="398"/>
      <c r="X36" s="398"/>
      <c r="Y36" s="398"/>
      <c r="Z36" s="398"/>
      <c r="AA36" s="353"/>
      <c r="AB36" s="398"/>
      <c r="AC36" s="393"/>
      <c r="AD36" s="398"/>
      <c r="AE36" s="398"/>
      <c r="AF36" s="398"/>
      <c r="AG36" s="398"/>
      <c r="AH36" s="398"/>
      <c r="AI36" s="353"/>
      <c r="AJ36" s="353"/>
      <c r="AK36" s="367"/>
    </row>
    <row r="37" spans="1:42" s="338" customFormat="1" ht="19.5" customHeight="1" x14ac:dyDescent="0.25">
      <c r="A37" s="455" t="e">
        <f>LEFT(TEXT(#REF!,"dd.mm.yyyy"),1)</f>
        <v>#REF!</v>
      </c>
      <c r="B37" s="454" t="e">
        <f>MID(TEXT(#REF!,"dd.mm.yyyy"),2,1)</f>
        <v>#REF!</v>
      </c>
      <c r="C37" s="452" t="s">
        <v>179</v>
      </c>
      <c r="D37" s="454" t="e">
        <f>MID(TEXT(#REF!,"dd.mm.yyyy"),4,1)</f>
        <v>#REF!</v>
      </c>
      <c r="E37" s="454" t="e">
        <f>MID(TEXT(#REF!,"dd.mm.yyyy"),5,1)</f>
        <v>#REF!</v>
      </c>
      <c r="F37" s="452" t="s">
        <v>179</v>
      </c>
      <c r="G37" s="454" t="e">
        <f>MID(TEXT(#REF!,"dd.mm.yyyy"),7,1)</f>
        <v>#REF!</v>
      </c>
      <c r="H37" s="454" t="e">
        <f>MID(TEXT(#REF!,"dd.mm.yyyy"),8,1)</f>
        <v>#REF!</v>
      </c>
      <c r="I37" s="454" t="e">
        <f>MID(TEXT(#REF!,"dd.mm.yyyy"),9,1)</f>
        <v>#REF!</v>
      </c>
      <c r="J37" s="454" t="e">
        <f>MID(TEXT(#REF!,"dd.mm.yyyy"),10,1)</f>
        <v>#REF!</v>
      </c>
      <c r="K37" s="503"/>
      <c r="L37" s="400"/>
      <c r="M37" s="336"/>
      <c r="N37" s="336"/>
      <c r="O37" s="336"/>
      <c r="P37" s="336"/>
      <c r="Q37" s="336"/>
      <c r="R37" s="336"/>
      <c r="S37" s="336"/>
      <c r="T37" s="336"/>
      <c r="U37" s="336"/>
      <c r="V37" s="401"/>
      <c r="W37" s="353"/>
      <c r="X37" s="353"/>
      <c r="Y37" s="353"/>
      <c r="Z37" s="353"/>
      <c r="AA37" s="353"/>
      <c r="AB37" s="353"/>
      <c r="AC37" s="359"/>
      <c r="AD37" s="353"/>
      <c r="AE37" s="353"/>
      <c r="AF37" s="353"/>
      <c r="AG37" s="353"/>
      <c r="AH37" s="353"/>
      <c r="AI37" s="353"/>
      <c r="AJ37" s="353"/>
      <c r="AK37" s="367"/>
    </row>
    <row r="38" spans="1:42" s="322" customFormat="1" ht="13.8" thickBot="1" x14ac:dyDescent="0.3">
      <c r="A38" s="402"/>
      <c r="B38" s="403"/>
      <c r="C38" s="403"/>
      <c r="D38" s="403"/>
      <c r="E38" s="403"/>
      <c r="F38" s="403"/>
      <c r="G38" s="403"/>
      <c r="H38" s="403"/>
      <c r="I38" s="403"/>
      <c r="J38" s="403"/>
      <c r="K38" s="403"/>
      <c r="L38" s="404"/>
      <c r="M38" s="403"/>
      <c r="N38" s="403"/>
      <c r="O38" s="403"/>
      <c r="P38" s="403"/>
      <c r="Q38" s="403"/>
      <c r="R38" s="403"/>
      <c r="S38" s="403"/>
      <c r="T38" s="403"/>
      <c r="U38" s="403"/>
      <c r="V38" s="405"/>
      <c r="W38" s="371"/>
      <c r="X38" s="371"/>
      <c r="Y38" s="371"/>
      <c r="Z38" s="371"/>
      <c r="AA38" s="371"/>
      <c r="AB38" s="371"/>
      <c r="AC38" s="372"/>
      <c r="AD38" s="371"/>
      <c r="AE38" s="371"/>
      <c r="AF38" s="371"/>
      <c r="AG38" s="371"/>
      <c r="AH38" s="371"/>
      <c r="AI38" s="371"/>
      <c r="AJ38" s="371"/>
      <c r="AK38" s="373"/>
    </row>
    <row r="39" spans="1:42" s="322" customFormat="1" x14ac:dyDescent="0.25">
      <c r="W39" s="374"/>
      <c r="X39" s="374"/>
      <c r="Y39" s="374"/>
      <c r="Z39" s="374"/>
      <c r="AA39" s="374"/>
      <c r="AB39" s="374"/>
      <c r="AC39" s="374"/>
      <c r="AD39" s="374"/>
      <c r="AE39" s="374"/>
      <c r="AF39" s="374"/>
      <c r="AG39" s="374"/>
      <c r="AH39" s="374"/>
      <c r="AI39" s="374"/>
      <c r="AJ39" s="374"/>
      <c r="AK39" s="374"/>
    </row>
    <row r="40" spans="1:42" ht="13.8" thickBot="1" x14ac:dyDescent="0.3">
      <c r="W40" s="374"/>
      <c r="X40" s="374"/>
      <c r="Y40" s="374"/>
      <c r="Z40" s="374"/>
      <c r="AA40" s="374"/>
      <c r="AB40" s="374"/>
      <c r="AC40" s="374"/>
      <c r="AD40" s="374"/>
      <c r="AE40" s="374"/>
      <c r="AF40" s="374"/>
      <c r="AG40" s="374"/>
      <c r="AH40" s="374"/>
      <c r="AI40" s="374"/>
      <c r="AJ40" s="374"/>
      <c r="AK40" s="374"/>
    </row>
    <row r="41" spans="1:42" s="322" customFormat="1" x14ac:dyDescent="0.25">
      <c r="B41" s="406" t="s">
        <v>1224</v>
      </c>
      <c r="C41" s="407"/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346"/>
      <c r="X41" s="346"/>
      <c r="Y41" s="346"/>
      <c r="Z41" s="346"/>
      <c r="AA41" s="346"/>
      <c r="AB41" s="346"/>
      <c r="AC41" s="346"/>
      <c r="AD41" s="346"/>
      <c r="AE41" s="346"/>
      <c r="AF41" s="346"/>
      <c r="AG41" s="346"/>
      <c r="AH41" s="346"/>
      <c r="AI41" s="346"/>
      <c r="AJ41" s="376"/>
      <c r="AK41" s="374"/>
    </row>
    <row r="42" spans="1:42" s="322" customFormat="1" x14ac:dyDescent="0.25">
      <c r="B42" s="408"/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9"/>
      <c r="S42" s="409"/>
      <c r="T42" s="409"/>
      <c r="U42" s="409"/>
      <c r="V42" s="409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  <c r="AH42" s="353"/>
      <c r="AI42" s="353"/>
      <c r="AJ42" s="367"/>
      <c r="AK42" s="374"/>
    </row>
    <row r="43" spans="1:42" x14ac:dyDescent="0.25">
      <c r="B43" s="384"/>
      <c r="C43" s="378"/>
      <c r="D43" s="378"/>
      <c r="E43" s="378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8"/>
      <c r="Q43" s="378"/>
      <c r="R43" s="378"/>
      <c r="S43" s="378"/>
      <c r="T43" s="378"/>
      <c r="U43" s="378"/>
      <c r="V43" s="378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3"/>
      <c r="AJ43" s="367"/>
      <c r="AK43" s="374"/>
    </row>
    <row r="44" spans="1:42" s="322" customFormat="1" x14ac:dyDescent="0.25">
      <c r="B44" s="408"/>
      <c r="C44" s="409"/>
      <c r="D44" s="409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  <c r="P44" s="409"/>
      <c r="Q44" s="409"/>
      <c r="R44" s="409"/>
      <c r="S44" s="409"/>
      <c r="T44" s="409"/>
      <c r="U44" s="409"/>
      <c r="V44" s="409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67"/>
      <c r="AK44" s="374"/>
    </row>
    <row r="45" spans="1:42" s="338" customFormat="1" x14ac:dyDescent="0.25">
      <c r="B45" s="335"/>
      <c r="C45" s="336"/>
      <c r="D45" s="336"/>
      <c r="E45" s="336"/>
      <c r="F45" s="336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6"/>
      <c r="R45" s="336"/>
      <c r="S45" s="336"/>
      <c r="T45" s="336"/>
      <c r="U45" s="336"/>
      <c r="V45" s="336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67"/>
      <c r="AK45" s="374"/>
    </row>
    <row r="46" spans="1:42" s="338" customFormat="1" x14ac:dyDescent="0.25">
      <c r="B46" s="335"/>
      <c r="C46" s="336"/>
      <c r="D46" s="336"/>
      <c r="E46" s="336"/>
      <c r="F46" s="336"/>
      <c r="G46" s="336"/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6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67"/>
      <c r="AK46" s="374"/>
    </row>
    <row r="47" spans="1:42" s="322" customFormat="1" x14ac:dyDescent="0.25">
      <c r="B47" s="408"/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  <c r="V47" s="409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67"/>
      <c r="AK47" s="374"/>
    </row>
    <row r="48" spans="1:42" s="322" customFormat="1" x14ac:dyDescent="0.25">
      <c r="B48" s="408"/>
      <c r="C48" s="409"/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09"/>
      <c r="P48" s="409"/>
      <c r="Q48" s="409"/>
      <c r="R48" s="409"/>
      <c r="S48" s="409"/>
      <c r="T48" s="409"/>
      <c r="U48" s="409"/>
      <c r="V48" s="409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67"/>
      <c r="AK48" s="374"/>
    </row>
    <row r="49" spans="2:37" s="322" customFormat="1" x14ac:dyDescent="0.25">
      <c r="B49" s="408"/>
      <c r="C49" s="409"/>
      <c r="D49" s="409"/>
      <c r="E49" s="409"/>
      <c r="F49" s="409"/>
      <c r="G49" s="409"/>
      <c r="H49" s="409"/>
      <c r="I49" s="409"/>
      <c r="J49" s="409"/>
      <c r="K49" s="409"/>
      <c r="L49" s="409"/>
      <c r="M49" s="409"/>
      <c r="N49" s="409"/>
      <c r="O49" s="409"/>
      <c r="P49" s="409"/>
      <c r="Q49" s="409"/>
      <c r="R49" s="409"/>
      <c r="S49" s="409"/>
      <c r="T49" s="409"/>
      <c r="U49" s="409"/>
      <c r="V49" s="409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67"/>
      <c r="AK49" s="374"/>
    </row>
    <row r="50" spans="2:37" s="322" customFormat="1" x14ac:dyDescent="0.25">
      <c r="B50" s="408"/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09"/>
      <c r="T50" s="409"/>
      <c r="U50" s="409"/>
      <c r="V50" s="409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67"/>
      <c r="AK50" s="374"/>
    </row>
    <row r="51" spans="2:37" s="338" customFormat="1" ht="13.8" thickBot="1" x14ac:dyDescent="0.3">
      <c r="B51" s="410"/>
      <c r="C51" s="411"/>
      <c r="D51" s="411"/>
      <c r="E51" s="411"/>
      <c r="F51" s="411"/>
      <c r="G51" s="411" t="s">
        <v>1225</v>
      </c>
      <c r="H51" s="411"/>
      <c r="I51" s="411"/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 t="s">
        <v>1226</v>
      </c>
      <c r="V51" s="411"/>
      <c r="W51" s="371"/>
      <c r="X51" s="371"/>
      <c r="Y51" s="371"/>
      <c r="Z51" s="371"/>
      <c r="AA51" s="371"/>
      <c r="AB51" s="371"/>
      <c r="AC51" s="371"/>
      <c r="AD51" s="371"/>
      <c r="AE51" s="371"/>
      <c r="AF51" s="371"/>
      <c r="AG51" s="371"/>
      <c r="AH51" s="371"/>
      <c r="AI51" s="371"/>
      <c r="AJ51" s="373"/>
      <c r="AK51" s="374"/>
    </row>
  </sheetData>
  <mergeCells count="4">
    <mergeCell ref="AD33:AK35"/>
    <mergeCell ref="V33:AB35"/>
    <mergeCell ref="M33:U35"/>
    <mergeCell ref="N1:W3"/>
  </mergeCells>
  <phoneticPr fontId="7" type="noConversion"/>
  <pageMargins left="0.39370078740157483" right="0.39370078740157483" top="0.35433070866141736" bottom="0.35433070866141736" header="0.23622047244094491" footer="0.23622047244094491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3"/>
  </sheetPr>
  <dimension ref="A1:L165"/>
  <sheetViews>
    <sheetView workbookViewId="0"/>
  </sheetViews>
  <sheetFormatPr defaultColWidth="9.109375" defaultRowHeight="10.199999999999999" x14ac:dyDescent="0.2"/>
  <cols>
    <col min="1" max="1" width="3.44140625" style="18" customWidth="1"/>
    <col min="2" max="2" width="4.88671875" style="20" bestFit="1" customWidth="1"/>
    <col min="3" max="3" width="2.6640625" style="21" bestFit="1" customWidth="1"/>
    <col min="4" max="4" width="52.109375" style="18" customWidth="1"/>
    <col min="5" max="5" width="5.109375" style="456" customWidth="1"/>
    <col min="6" max="7" width="11.6640625" style="456" bestFit="1" customWidth="1"/>
    <col min="8" max="9" width="11.44140625" style="456" bestFit="1" customWidth="1"/>
    <col min="10" max="16384" width="9.109375" style="456"/>
  </cols>
  <sheetData>
    <row r="1" spans="1:12" ht="17.399999999999999" x14ac:dyDescent="0.3">
      <c r="B1" s="25"/>
      <c r="C1" s="26"/>
      <c r="D1" s="78" t="s">
        <v>1555</v>
      </c>
      <c r="G1" s="477"/>
      <c r="H1" s="477"/>
      <c r="I1" s="477"/>
      <c r="J1" s="477"/>
    </row>
    <row r="2" spans="1:12" ht="15.6" x14ac:dyDescent="0.3">
      <c r="B2" s="19"/>
      <c r="C2" s="22"/>
      <c r="D2" s="496" t="e">
        <f>'BS-SK format'!D2</f>
        <v>#REF!</v>
      </c>
      <c r="F2" s="478"/>
      <c r="G2" s="477"/>
      <c r="H2" s="479"/>
      <c r="I2" s="479"/>
      <c r="J2" s="479"/>
    </row>
    <row r="3" spans="1:12" x14ac:dyDescent="0.2">
      <c r="A3" s="15"/>
      <c r="B3" s="19"/>
      <c r="C3" s="22"/>
      <c r="D3" s="497" t="e">
        <f>'BS-SK format'!D3</f>
        <v>#REF!</v>
      </c>
      <c r="G3" s="477"/>
      <c r="H3" s="477"/>
      <c r="I3" s="477"/>
      <c r="J3" s="477"/>
    </row>
    <row r="4" spans="1:12" x14ac:dyDescent="0.2">
      <c r="A4" s="12"/>
      <c r="B4" s="19"/>
      <c r="C4" s="22"/>
      <c r="D4" s="13"/>
      <c r="E4" s="477"/>
      <c r="F4" s="477"/>
      <c r="G4" s="477"/>
      <c r="H4" s="477"/>
      <c r="I4" s="472"/>
    </row>
    <row r="5" spans="1:12" s="15" customFormat="1" x14ac:dyDescent="0.2">
      <c r="A5" s="19"/>
      <c r="B5" s="22"/>
      <c r="C5" s="13"/>
      <c r="D5" s="510"/>
      <c r="E5" s="480" t="s">
        <v>2306</v>
      </c>
      <c r="F5" s="480" t="s">
        <v>1759</v>
      </c>
      <c r="G5" s="480" t="s">
        <v>1760</v>
      </c>
      <c r="H5" s="480" t="s">
        <v>694</v>
      </c>
      <c r="I5" s="480" t="s">
        <v>695</v>
      </c>
      <c r="J5" s="511"/>
    </row>
    <row r="6" spans="1:12" s="15" customFormat="1" x14ac:dyDescent="0.2">
      <c r="A6" s="19"/>
      <c r="B6" s="23"/>
      <c r="C6" s="14"/>
      <c r="D6" s="510"/>
      <c r="E6" s="480"/>
      <c r="F6" s="481" t="s">
        <v>696</v>
      </c>
      <c r="G6" s="481" t="s">
        <v>696</v>
      </c>
      <c r="H6" s="481" t="s">
        <v>696</v>
      </c>
      <c r="I6" s="481" t="s">
        <v>696</v>
      </c>
      <c r="J6" s="511"/>
    </row>
    <row r="7" spans="1:12" x14ac:dyDescent="0.2">
      <c r="A7" s="19"/>
      <c r="B7" s="23"/>
      <c r="C7" s="14"/>
      <c r="D7" s="510"/>
      <c r="E7" s="471"/>
      <c r="F7" s="471"/>
      <c r="G7" s="471"/>
      <c r="H7" s="471"/>
      <c r="I7" s="471"/>
    </row>
    <row r="8" spans="1:12" s="475" customFormat="1" ht="11.25" customHeight="1" x14ac:dyDescent="0.2">
      <c r="A8" s="17"/>
      <c r="B8" s="27"/>
      <c r="C8" s="24"/>
      <c r="D8" s="512" t="s">
        <v>1945</v>
      </c>
      <c r="E8" s="541" t="s">
        <v>433</v>
      </c>
      <c r="F8" s="542">
        <f>F10+F12+F45+F80</f>
        <v>9087.01</v>
      </c>
      <c r="G8" s="542">
        <f>G10+G12+G45+G80</f>
        <v>0</v>
      </c>
      <c r="H8" s="542">
        <f>H10+H12+H45+H80</f>
        <v>9087.01</v>
      </c>
      <c r="I8" s="542" t="e">
        <f>I10+I12+I45+I80</f>
        <v>#REF!</v>
      </c>
      <c r="K8" s="467"/>
      <c r="L8" s="467"/>
    </row>
    <row r="9" spans="1:12" s="475" customFormat="1" ht="11.25" customHeight="1" x14ac:dyDescent="0.2">
      <c r="A9" s="17"/>
      <c r="B9" s="27"/>
      <c r="C9" s="24"/>
      <c r="D9" s="514"/>
      <c r="E9" s="465"/>
      <c r="F9" s="467"/>
      <c r="G9" s="467"/>
      <c r="H9" s="467"/>
      <c r="I9" s="467"/>
      <c r="K9" s="467"/>
      <c r="L9" s="467"/>
    </row>
    <row r="10" spans="1:12" s="475" customFormat="1" ht="11.25" customHeight="1" x14ac:dyDescent="0.2">
      <c r="A10" s="24" t="s">
        <v>932</v>
      </c>
      <c r="B10" s="27"/>
      <c r="C10" s="28"/>
      <c r="D10" s="512" t="s">
        <v>1761</v>
      </c>
      <c r="E10" s="507" t="s">
        <v>434</v>
      </c>
      <c r="F10" s="508">
        <f>'kontrola LD'!G251</f>
        <v>0</v>
      </c>
      <c r="G10" s="508"/>
      <c r="H10" s="508">
        <f>F10-G10</f>
        <v>0</v>
      </c>
      <c r="I10" s="508">
        <f>'kontrola LD'!H251</f>
        <v>0</v>
      </c>
      <c r="K10" s="467"/>
      <c r="L10" s="467"/>
    </row>
    <row r="11" spans="1:12" s="475" customFormat="1" ht="11.25" customHeight="1" x14ac:dyDescent="0.2">
      <c r="A11" s="24"/>
      <c r="B11" s="27"/>
      <c r="C11" s="28"/>
      <c r="D11" s="514"/>
      <c r="E11" s="465"/>
      <c r="F11" s="467"/>
      <c r="G11" s="467"/>
      <c r="H11" s="467"/>
      <c r="I11" s="467"/>
      <c r="K11" s="467"/>
      <c r="L11" s="467"/>
    </row>
    <row r="12" spans="1:12" s="475" customFormat="1" ht="11.25" customHeight="1" x14ac:dyDescent="0.2">
      <c r="A12" s="24" t="s">
        <v>933</v>
      </c>
      <c r="B12" s="27"/>
      <c r="C12" s="28"/>
      <c r="D12" s="512" t="s">
        <v>1762</v>
      </c>
      <c r="E12" s="541" t="s">
        <v>435</v>
      </c>
      <c r="F12" s="542">
        <f>F14+F24+F35</f>
        <v>0</v>
      </c>
      <c r="G12" s="542">
        <f>G14+G24+G35</f>
        <v>0</v>
      </c>
      <c r="H12" s="542">
        <f>H14+H24+H35</f>
        <v>0</v>
      </c>
      <c r="I12" s="542">
        <f>I14+I24+I35</f>
        <v>0</v>
      </c>
      <c r="K12" s="467"/>
      <c r="L12" s="467"/>
    </row>
    <row r="13" spans="1:12" s="475" customFormat="1" ht="11.25" customHeight="1" x14ac:dyDescent="0.2">
      <c r="A13" s="24"/>
      <c r="B13" s="27"/>
      <c r="C13" s="28"/>
      <c r="D13" s="514"/>
      <c r="E13" s="465"/>
      <c r="F13" s="467"/>
      <c r="G13" s="467"/>
      <c r="H13" s="467"/>
      <c r="I13" s="467"/>
      <c r="K13" s="467"/>
      <c r="L13" s="467"/>
    </row>
    <row r="14" spans="1:12" s="475" customFormat="1" ht="11.25" customHeight="1" x14ac:dyDescent="0.2">
      <c r="A14" s="17"/>
      <c r="B14" s="24" t="s">
        <v>942</v>
      </c>
      <c r="C14" s="28"/>
      <c r="D14" s="512" t="s">
        <v>1953</v>
      </c>
      <c r="E14" s="541" t="s">
        <v>436</v>
      </c>
      <c r="F14" s="542">
        <f>F15+F16+F17+F18+F19+F20+F21+F22</f>
        <v>0</v>
      </c>
      <c r="G14" s="542">
        <f>G15+G16+G17+G18+G19+G20+G21+G22</f>
        <v>0</v>
      </c>
      <c r="H14" s="542">
        <f>H15+H16+H17+H18+H19+H20+H21+H22</f>
        <v>0</v>
      </c>
      <c r="I14" s="542">
        <f>I15+I16+I17+I18+I19+I20+I21+I22</f>
        <v>0</v>
      </c>
      <c r="K14" s="467"/>
      <c r="L14" s="467"/>
    </row>
    <row r="15" spans="1:12" s="475" customFormat="1" ht="11.25" customHeight="1" x14ac:dyDescent="0.2">
      <c r="A15" s="17"/>
      <c r="B15" s="27"/>
      <c r="C15" s="29" t="s">
        <v>935</v>
      </c>
      <c r="D15" s="514" t="s">
        <v>2319</v>
      </c>
      <c r="E15" s="461" t="s">
        <v>437</v>
      </c>
      <c r="F15" s="463">
        <f>'kontrola LD'!G12</f>
        <v>0</v>
      </c>
      <c r="G15" s="463">
        <f>-'kontrola LD'!G54-'kontrola LD'!G70</f>
        <v>0</v>
      </c>
      <c r="H15" s="463">
        <f t="shared" ref="H15:H22" si="0">F15-G15</f>
        <v>0</v>
      </c>
      <c r="I15" s="463">
        <f>'kontrola LD'!H12+'kontrola LD'!H54+'kontrola LD'!H70</f>
        <v>0</v>
      </c>
      <c r="J15" s="482"/>
      <c r="K15" s="464"/>
      <c r="L15" s="464"/>
    </row>
    <row r="16" spans="1:12" s="475" customFormat="1" ht="11.25" customHeight="1" x14ac:dyDescent="0.2">
      <c r="A16" s="17"/>
      <c r="B16" s="27"/>
      <c r="C16" s="29" t="s">
        <v>937</v>
      </c>
      <c r="D16" s="514" t="s">
        <v>2320</v>
      </c>
      <c r="E16" s="461" t="s">
        <v>438</v>
      </c>
      <c r="F16" s="463">
        <f>'kontrola LD'!G13</f>
        <v>0</v>
      </c>
      <c r="G16" s="463">
        <f>-'kontrola LD'!G55-'kontrola LD'!G71</f>
        <v>0</v>
      </c>
      <c r="H16" s="463">
        <f t="shared" si="0"/>
        <v>0</v>
      </c>
      <c r="I16" s="463">
        <f>'kontrola LD'!H13+'kontrola LD'!H55+'kontrola LD'!H71</f>
        <v>0</v>
      </c>
      <c r="K16" s="464"/>
      <c r="L16" s="464"/>
    </row>
    <row r="17" spans="1:12" s="475" customFormat="1" ht="11.25" customHeight="1" x14ac:dyDescent="0.2">
      <c r="A17" s="17"/>
      <c r="B17" s="27"/>
      <c r="C17" s="29" t="s">
        <v>938</v>
      </c>
      <c r="D17" s="514" t="s">
        <v>2321</v>
      </c>
      <c r="E17" s="461" t="s">
        <v>439</v>
      </c>
      <c r="F17" s="463">
        <f>'kontrola LD'!G14</f>
        <v>0</v>
      </c>
      <c r="G17" s="463">
        <f>-'kontrola LD'!G56-'kontrola LD'!G72</f>
        <v>0</v>
      </c>
      <c r="H17" s="463">
        <f t="shared" si="0"/>
        <v>0</v>
      </c>
      <c r="I17" s="463">
        <f>'kontrola LD'!H14+'kontrola LD'!H56+'kontrola LD'!H72</f>
        <v>0</v>
      </c>
      <c r="K17" s="464"/>
      <c r="L17" s="464"/>
    </row>
    <row r="18" spans="1:12" s="475" customFormat="1" ht="11.25" customHeight="1" x14ac:dyDescent="0.2">
      <c r="A18" s="17"/>
      <c r="B18" s="27"/>
      <c r="C18" s="29" t="s">
        <v>432</v>
      </c>
      <c r="D18" s="514" t="s">
        <v>2088</v>
      </c>
      <c r="E18" s="461" t="s">
        <v>440</v>
      </c>
      <c r="F18" s="463">
        <f>'kontrola LD'!G15</f>
        <v>0</v>
      </c>
      <c r="G18" s="463">
        <f>-'kontrola LD'!G57-'kontrola LD'!G73</f>
        <v>0</v>
      </c>
      <c r="H18" s="463">
        <f t="shared" si="0"/>
        <v>0</v>
      </c>
      <c r="I18" s="463">
        <f>'kontrola LD'!H15+'kontrola LD'!H57+'kontrola LD'!H73</f>
        <v>0</v>
      </c>
      <c r="K18" s="464"/>
      <c r="L18" s="464"/>
    </row>
    <row r="19" spans="1:12" s="475" customFormat="1" ht="11.25" customHeight="1" x14ac:dyDescent="0.2">
      <c r="A19" s="17"/>
      <c r="B19" s="27"/>
      <c r="C19" s="29" t="s">
        <v>1089</v>
      </c>
      <c r="D19" s="514" t="s">
        <v>2089</v>
      </c>
      <c r="E19" s="461" t="s">
        <v>441</v>
      </c>
      <c r="F19" s="463">
        <f>'kontrola LD'!G16</f>
        <v>0</v>
      </c>
      <c r="G19" s="463">
        <f>-'kontrola LD'!G58-'kontrola LD'!G74</f>
        <v>0</v>
      </c>
      <c r="H19" s="463">
        <f t="shared" si="0"/>
        <v>0</v>
      </c>
      <c r="I19" s="463">
        <f>'kontrola LD'!H16+'kontrola LD'!H58+'kontrola LD'!H74</f>
        <v>0</v>
      </c>
      <c r="K19" s="464"/>
      <c r="L19" s="464"/>
    </row>
    <row r="20" spans="1:12" s="475" customFormat="1" ht="11.25" customHeight="1" x14ac:dyDescent="0.2">
      <c r="A20" s="17"/>
      <c r="B20" s="27"/>
      <c r="C20" s="29" t="s">
        <v>939</v>
      </c>
      <c r="D20" s="514" t="s">
        <v>2090</v>
      </c>
      <c r="E20" s="461" t="s">
        <v>1567</v>
      </c>
      <c r="F20" s="463">
        <f>'kontrola LD'!G17</f>
        <v>0</v>
      </c>
      <c r="G20" s="463">
        <f>-'kontrola LD'!G59-'kontrola LD'!G75</f>
        <v>0</v>
      </c>
      <c r="H20" s="463">
        <f t="shared" si="0"/>
        <v>0</v>
      </c>
      <c r="I20" s="463">
        <f>'kontrola LD'!H17+'kontrola LD'!H59+'kontrola LD'!H75</f>
        <v>0</v>
      </c>
      <c r="K20" s="464"/>
      <c r="L20" s="464"/>
    </row>
    <row r="21" spans="1:12" s="475" customFormat="1" ht="11.25" customHeight="1" x14ac:dyDescent="0.2">
      <c r="A21" s="17"/>
      <c r="B21" s="27"/>
      <c r="C21" s="29" t="s">
        <v>940</v>
      </c>
      <c r="D21" s="514" t="s">
        <v>2091</v>
      </c>
      <c r="E21" s="461" t="s">
        <v>2697</v>
      </c>
      <c r="F21" s="463">
        <f>'kontrola LD'!G31</f>
        <v>0</v>
      </c>
      <c r="G21" s="463">
        <f>-'kontrola LD'!G83</f>
        <v>0</v>
      </c>
      <c r="H21" s="463">
        <f t="shared" si="0"/>
        <v>0</v>
      </c>
      <c r="I21" s="463">
        <f>'kontrola LD'!H31+'kontrola LD'!H83</f>
        <v>0</v>
      </c>
      <c r="K21" s="464"/>
      <c r="L21" s="464"/>
    </row>
    <row r="22" spans="1:12" s="475" customFormat="1" ht="11.25" customHeight="1" x14ac:dyDescent="0.2">
      <c r="A22" s="17"/>
      <c r="B22" s="27"/>
      <c r="C22" s="29" t="s">
        <v>936</v>
      </c>
      <c r="D22" s="514" t="s">
        <v>2092</v>
      </c>
      <c r="E22" s="461" t="s">
        <v>2699</v>
      </c>
      <c r="F22" s="463">
        <f>'kontrola LD'!G36</f>
        <v>0</v>
      </c>
      <c r="G22" s="463">
        <f>-'kontrola LD'!G86</f>
        <v>0</v>
      </c>
      <c r="H22" s="463">
        <f t="shared" si="0"/>
        <v>0</v>
      </c>
      <c r="I22" s="463">
        <f>'kontrola LD'!H36+'kontrola LD'!H86</f>
        <v>0</v>
      </c>
      <c r="K22" s="464"/>
      <c r="L22" s="464"/>
    </row>
    <row r="23" spans="1:12" s="475" customFormat="1" ht="11.25" customHeight="1" x14ac:dyDescent="0.2">
      <c r="A23" s="17"/>
      <c r="B23" s="27"/>
      <c r="C23" s="29"/>
      <c r="D23" s="514"/>
      <c r="E23" s="460"/>
      <c r="F23" s="464"/>
      <c r="G23" s="464"/>
      <c r="H23" s="464"/>
      <c r="I23" s="464"/>
      <c r="K23" s="464"/>
      <c r="L23" s="464"/>
    </row>
    <row r="24" spans="1:12" s="475" customFormat="1" ht="11.25" customHeight="1" x14ac:dyDescent="0.2">
      <c r="A24" s="17"/>
      <c r="B24" s="24" t="s">
        <v>943</v>
      </c>
      <c r="C24" s="28"/>
      <c r="D24" s="512" t="s">
        <v>1954</v>
      </c>
      <c r="E24" s="541" t="s">
        <v>262</v>
      </c>
      <c r="F24" s="542">
        <f>F25+F26+F27+F28+F29+F30+F31+F32+F33</f>
        <v>0</v>
      </c>
      <c r="G24" s="542">
        <f>G25+G26+G27+G28+G29+G30+G31+G32+G33</f>
        <v>0</v>
      </c>
      <c r="H24" s="542">
        <f>H25+H26+H27+H28+H29+H30+H31+H32+H33</f>
        <v>0</v>
      </c>
      <c r="I24" s="542">
        <f>I25+I26+I27+I28+I29+I30+I31+I32+I33</f>
        <v>0</v>
      </c>
      <c r="K24" s="467"/>
      <c r="L24" s="467"/>
    </row>
    <row r="25" spans="1:12" s="475" customFormat="1" ht="11.25" customHeight="1" x14ac:dyDescent="0.2">
      <c r="A25" s="17"/>
      <c r="B25" s="27"/>
      <c r="C25" s="29" t="s">
        <v>935</v>
      </c>
      <c r="D25" s="514" t="s">
        <v>2093</v>
      </c>
      <c r="E25" s="461" t="s">
        <v>2767</v>
      </c>
      <c r="F25" s="463">
        <f>'kontrola LD'!G27</f>
        <v>0</v>
      </c>
      <c r="G25" s="463">
        <f>-'kontrola LD'!G77</f>
        <v>0</v>
      </c>
      <c r="H25" s="463">
        <f t="shared" ref="H25:H33" si="1">F25-G25</f>
        <v>0</v>
      </c>
      <c r="I25" s="463">
        <f>'kontrola LD'!H27+'kontrola LD'!H77</f>
        <v>0</v>
      </c>
      <c r="K25" s="464"/>
      <c r="L25" s="464"/>
    </row>
    <row r="26" spans="1:12" s="475" customFormat="1" ht="11.25" customHeight="1" x14ac:dyDescent="0.2">
      <c r="A26" s="17"/>
      <c r="B26" s="27"/>
      <c r="C26" s="29" t="s">
        <v>937</v>
      </c>
      <c r="D26" s="514" t="s">
        <v>2094</v>
      </c>
      <c r="E26" s="461" t="s">
        <v>347</v>
      </c>
      <c r="F26" s="463">
        <f>'kontrola LD'!G20</f>
        <v>0</v>
      </c>
      <c r="G26" s="463">
        <f>-'kontrola LD'!G62-'kontrola LD'!G78</f>
        <v>0</v>
      </c>
      <c r="H26" s="463">
        <f t="shared" si="1"/>
        <v>0</v>
      </c>
      <c r="I26" s="463">
        <f>'kontrola LD'!H20+'kontrola LD'!H62+'kontrola LD'!H78</f>
        <v>0</v>
      </c>
      <c r="K26" s="464"/>
      <c r="L26" s="464"/>
    </row>
    <row r="27" spans="1:12" s="475" customFormat="1" ht="11.25" customHeight="1" x14ac:dyDescent="0.2">
      <c r="A27" s="17"/>
      <c r="B27" s="27"/>
      <c r="C27" s="29" t="s">
        <v>938</v>
      </c>
      <c r="D27" s="514" t="s">
        <v>231</v>
      </c>
      <c r="E27" s="461" t="s">
        <v>743</v>
      </c>
      <c r="F27" s="463">
        <f>'kontrola LD'!G21</f>
        <v>0</v>
      </c>
      <c r="G27" s="463">
        <f>-'kontrola LD'!G63-'kontrola LD'!G79</f>
        <v>0</v>
      </c>
      <c r="H27" s="463">
        <f t="shared" si="1"/>
        <v>0</v>
      </c>
      <c r="I27" s="463">
        <f>'kontrola LD'!H21+'kontrola LD'!H63+'kontrola LD'!H79</f>
        <v>0</v>
      </c>
      <c r="K27" s="464"/>
      <c r="L27" s="464"/>
    </row>
    <row r="28" spans="1:12" s="475" customFormat="1" ht="11.25" customHeight="1" x14ac:dyDescent="0.2">
      <c r="A28" s="17"/>
      <c r="B28" s="27"/>
      <c r="C28" s="29" t="s">
        <v>432</v>
      </c>
      <c r="D28" s="514" t="s">
        <v>2866</v>
      </c>
      <c r="E28" s="461" t="s">
        <v>744</v>
      </c>
      <c r="F28" s="463">
        <f>'kontrola LD'!G22</f>
        <v>0</v>
      </c>
      <c r="G28" s="463">
        <f>-'kontrola LD'!G64-'kontrola LD'!G80</f>
        <v>0</v>
      </c>
      <c r="H28" s="463">
        <f t="shared" si="1"/>
        <v>0</v>
      </c>
      <c r="I28" s="463">
        <f>'kontrola LD'!H22+'kontrola LD'!H64+'kontrola LD'!H80</f>
        <v>0</v>
      </c>
      <c r="K28" s="464"/>
      <c r="L28" s="464"/>
    </row>
    <row r="29" spans="1:12" s="475" customFormat="1" ht="11.25" customHeight="1" x14ac:dyDescent="0.2">
      <c r="A29" s="17"/>
      <c r="B29" s="27"/>
      <c r="C29" s="29" t="s">
        <v>1089</v>
      </c>
      <c r="D29" s="514" t="s">
        <v>2867</v>
      </c>
      <c r="E29" s="461" t="s">
        <v>2770</v>
      </c>
      <c r="F29" s="463">
        <f>'kontrola LD'!G23</f>
        <v>0</v>
      </c>
      <c r="G29" s="463">
        <f>-'kontrola LD'!G65-'kontrola LD'!G81</f>
        <v>0</v>
      </c>
      <c r="H29" s="463">
        <f t="shared" si="1"/>
        <v>0</v>
      </c>
      <c r="I29" s="463">
        <f>'kontrola LD'!H23+'kontrola LD'!H65+'kontrola LD'!H81</f>
        <v>0</v>
      </c>
      <c r="K29" s="464"/>
      <c r="L29" s="464"/>
    </row>
    <row r="30" spans="1:12" s="475" customFormat="1" ht="11.25" customHeight="1" x14ac:dyDescent="0.2">
      <c r="A30" s="17"/>
      <c r="B30" s="27"/>
      <c r="C30" s="29" t="s">
        <v>939</v>
      </c>
      <c r="D30" s="514" t="s">
        <v>1714</v>
      </c>
      <c r="E30" s="461" t="s">
        <v>2771</v>
      </c>
      <c r="F30" s="463">
        <f>'kontrola LD'!G24+'kontrola LD'!G28</f>
        <v>0</v>
      </c>
      <c r="G30" s="463">
        <f>-'kontrola LD'!G66-'kontrola LD'!G82</f>
        <v>0</v>
      </c>
      <c r="H30" s="463">
        <f t="shared" si="1"/>
        <v>0</v>
      </c>
      <c r="I30" s="463">
        <f>'kontrola LD'!H24+'kontrola LD'!H28+'kontrola LD'!H66+'kontrola LD'!H82</f>
        <v>0</v>
      </c>
      <c r="K30" s="464"/>
      <c r="L30" s="464"/>
    </row>
    <row r="31" spans="1:12" s="475" customFormat="1" ht="11.25" customHeight="1" x14ac:dyDescent="0.2">
      <c r="A31" s="17"/>
      <c r="B31" s="27"/>
      <c r="C31" s="29" t="s">
        <v>940</v>
      </c>
      <c r="D31" s="514" t="s">
        <v>1715</v>
      </c>
      <c r="E31" s="461" t="s">
        <v>745</v>
      </c>
      <c r="F31" s="463">
        <f>'kontrola LD'!G32</f>
        <v>0</v>
      </c>
      <c r="G31" s="463">
        <f>-'kontrola LD'!G84</f>
        <v>0</v>
      </c>
      <c r="H31" s="463">
        <f t="shared" si="1"/>
        <v>0</v>
      </c>
      <c r="I31" s="463">
        <f>'kontrola LD'!H32+'kontrola LD'!H84</f>
        <v>0</v>
      </c>
      <c r="K31" s="464"/>
      <c r="L31" s="464"/>
    </row>
    <row r="32" spans="1:12" s="475" customFormat="1" ht="11.25" customHeight="1" x14ac:dyDescent="0.2">
      <c r="A32" s="17"/>
      <c r="B32" s="27"/>
      <c r="C32" s="29" t="s">
        <v>936</v>
      </c>
      <c r="D32" s="514" t="s">
        <v>1716</v>
      </c>
      <c r="E32" s="461" t="s">
        <v>2775</v>
      </c>
      <c r="F32" s="463">
        <f>'kontrola LD'!G37</f>
        <v>0</v>
      </c>
      <c r="G32" s="463">
        <f>-'kontrola LD'!G87</f>
        <v>0</v>
      </c>
      <c r="H32" s="463">
        <f t="shared" si="1"/>
        <v>0</v>
      </c>
      <c r="I32" s="463">
        <f>'kontrola LD'!H37+'kontrola LD'!H87</f>
        <v>0</v>
      </c>
      <c r="K32" s="464"/>
      <c r="L32" s="464"/>
    </row>
    <row r="33" spans="1:12" s="475" customFormat="1" ht="11.25" customHeight="1" x14ac:dyDescent="0.2">
      <c r="A33" s="17"/>
      <c r="B33" s="27"/>
      <c r="C33" s="29" t="s">
        <v>941</v>
      </c>
      <c r="D33" s="514" t="s">
        <v>1717</v>
      </c>
      <c r="E33" s="461" t="s">
        <v>2776</v>
      </c>
      <c r="F33" s="463">
        <f>'kontrola LD'!G100</f>
        <v>0</v>
      </c>
      <c r="G33" s="463">
        <f>-'kontrola LD'!G101</f>
        <v>0</v>
      </c>
      <c r="H33" s="463">
        <f t="shared" si="1"/>
        <v>0</v>
      </c>
      <c r="I33" s="463">
        <f>'kontrola LD'!H100+'kontrola LD'!H101</f>
        <v>0</v>
      </c>
      <c r="K33" s="464"/>
      <c r="L33" s="464"/>
    </row>
    <row r="34" spans="1:12" s="475" customFormat="1" ht="11.25" customHeight="1" x14ac:dyDescent="0.2">
      <c r="A34" s="17"/>
      <c r="B34" s="27"/>
      <c r="C34" s="29"/>
      <c r="D34" s="514"/>
      <c r="E34" s="460"/>
      <c r="F34" s="464"/>
      <c r="G34" s="464"/>
      <c r="H34" s="464"/>
      <c r="I34" s="464"/>
      <c r="K34" s="464"/>
      <c r="L34" s="464"/>
    </row>
    <row r="35" spans="1:12" s="475" customFormat="1" ht="11.25" customHeight="1" x14ac:dyDescent="0.2">
      <c r="A35" s="17"/>
      <c r="B35" s="24" t="s">
        <v>279</v>
      </c>
      <c r="C35" s="28"/>
      <c r="D35" s="512" t="s">
        <v>1955</v>
      </c>
      <c r="E35" s="541" t="s">
        <v>902</v>
      </c>
      <c r="F35" s="542">
        <f>F36+F37+F38+F39+F40+F41+F42+F43</f>
        <v>0</v>
      </c>
      <c r="G35" s="542">
        <f>G36+G37+G38+G39+G40+G41+G42+G43</f>
        <v>0</v>
      </c>
      <c r="H35" s="542">
        <f>H36+H37+H38+H39+H40+H41+H42+H43</f>
        <v>0</v>
      </c>
      <c r="I35" s="542">
        <f>I36+I37+I38+I39+I40+I41+I42+I43</f>
        <v>0</v>
      </c>
      <c r="K35" s="467"/>
      <c r="L35" s="467"/>
    </row>
    <row r="36" spans="1:12" s="475" customFormat="1" ht="11.25" customHeight="1" x14ac:dyDescent="0.2">
      <c r="A36" s="17"/>
      <c r="B36" s="27"/>
      <c r="C36" s="29" t="s">
        <v>935</v>
      </c>
      <c r="D36" s="514" t="s">
        <v>480</v>
      </c>
      <c r="E36" s="461" t="s">
        <v>1037</v>
      </c>
      <c r="F36" s="463">
        <f>'kontrola LD'!G41</f>
        <v>0</v>
      </c>
      <c r="G36" s="463">
        <f>-'kontrola LD'!G90</f>
        <v>0</v>
      </c>
      <c r="H36" s="463">
        <f t="shared" ref="H36:H43" si="2">F36-G36</f>
        <v>0</v>
      </c>
      <c r="I36" s="463">
        <f>'kontrola LD'!H41+'kontrola LD'!H90</f>
        <v>0</v>
      </c>
      <c r="K36" s="464"/>
      <c r="L36" s="464"/>
    </row>
    <row r="37" spans="1:12" s="475" customFormat="1" x14ac:dyDescent="0.2">
      <c r="A37" s="17"/>
      <c r="B37" s="27"/>
      <c r="C37" s="29" t="s">
        <v>937</v>
      </c>
      <c r="D37" s="514" t="s">
        <v>2560</v>
      </c>
      <c r="E37" s="461" t="s">
        <v>1038</v>
      </c>
      <c r="F37" s="463">
        <f>'kontrola LD'!G42</f>
        <v>0</v>
      </c>
      <c r="G37" s="463">
        <f>-'kontrola LD'!G91</f>
        <v>0</v>
      </c>
      <c r="H37" s="463">
        <f t="shared" si="2"/>
        <v>0</v>
      </c>
      <c r="I37" s="463">
        <f>'kontrola LD'!H42+'kontrola LD'!H91</f>
        <v>0</v>
      </c>
      <c r="K37" s="464"/>
      <c r="L37" s="464"/>
    </row>
    <row r="38" spans="1:12" s="475" customFormat="1" ht="11.25" customHeight="1" x14ac:dyDescent="0.2">
      <c r="A38" s="17"/>
      <c r="B38" s="27"/>
      <c r="C38" s="29" t="s">
        <v>938</v>
      </c>
      <c r="D38" s="514" t="s">
        <v>1155</v>
      </c>
      <c r="E38" s="461" t="s">
        <v>1041</v>
      </c>
      <c r="F38" s="463">
        <f>'kontrola LD'!G43+'kontrola LD'!G44</f>
        <v>0</v>
      </c>
      <c r="G38" s="463">
        <f>-'kontrola LD'!G92-'kontrola LD'!G93</f>
        <v>0</v>
      </c>
      <c r="H38" s="463">
        <f t="shared" si="2"/>
        <v>0</v>
      </c>
      <c r="I38" s="463">
        <f>'kontrola LD'!H43+'kontrola LD'!H44+'kontrola LD'!H92+'kontrola LD'!H93</f>
        <v>0</v>
      </c>
      <c r="K38" s="464"/>
      <c r="L38" s="464"/>
    </row>
    <row r="39" spans="1:12" s="475" customFormat="1" ht="11.25" customHeight="1" x14ac:dyDescent="0.2">
      <c r="A39" s="17"/>
      <c r="B39" s="27"/>
      <c r="C39" s="29" t="s">
        <v>432</v>
      </c>
      <c r="D39" s="514" t="s">
        <v>10</v>
      </c>
      <c r="E39" s="461" t="s">
        <v>747</v>
      </c>
      <c r="F39" s="463">
        <f>'kontrola LD'!G47</f>
        <v>0</v>
      </c>
      <c r="G39" s="463">
        <f>-'kontrola LD'!G95</f>
        <v>0</v>
      </c>
      <c r="H39" s="463">
        <f t="shared" si="2"/>
        <v>0</v>
      </c>
      <c r="I39" s="463">
        <f>'kontrola LD'!H47+'kontrola LD'!H95</f>
        <v>0</v>
      </c>
      <c r="K39" s="464"/>
      <c r="L39" s="464"/>
    </row>
    <row r="40" spans="1:12" s="475" customFormat="1" ht="11.25" customHeight="1" x14ac:dyDescent="0.2">
      <c r="A40" s="17"/>
      <c r="B40" s="27"/>
      <c r="C40" s="29" t="s">
        <v>1089</v>
      </c>
      <c r="D40" s="514" t="s">
        <v>2561</v>
      </c>
      <c r="E40" s="461" t="s">
        <v>2633</v>
      </c>
      <c r="F40" s="463">
        <f>'kontrola LD'!G50+'kontrola LD'!G51</f>
        <v>0</v>
      </c>
      <c r="G40" s="463">
        <f>-'kontrola LD'!G97-'kontrola LD'!G98</f>
        <v>0</v>
      </c>
      <c r="H40" s="463">
        <f t="shared" si="2"/>
        <v>0</v>
      </c>
      <c r="I40" s="463">
        <f>'kontrola LD'!H50+'kontrola LD'!H51+'kontrola LD'!H97+'kontrola LD'!H98</f>
        <v>0</v>
      </c>
      <c r="K40" s="464"/>
      <c r="L40" s="464"/>
    </row>
    <row r="41" spans="1:12" s="475" customFormat="1" ht="11.25" customHeight="1" x14ac:dyDescent="0.2">
      <c r="A41" s="17"/>
      <c r="B41" s="27"/>
      <c r="C41" s="29" t="s">
        <v>939</v>
      </c>
      <c r="D41" s="514" t="s">
        <v>2562</v>
      </c>
      <c r="E41" s="461" t="s">
        <v>308</v>
      </c>
      <c r="F41" s="463">
        <f>'kontrola LD'!G46+'kontrola LD'!G49</f>
        <v>0</v>
      </c>
      <c r="G41" s="463">
        <f>-'kontrola LD'!G94-'kontrola LD'!G96</f>
        <v>0</v>
      </c>
      <c r="H41" s="463">
        <f t="shared" si="2"/>
        <v>0</v>
      </c>
      <c r="I41" s="463">
        <f>'kontrola LD'!H46+'kontrola LD'!H49+'kontrola LD'!H94+'kontrola LD'!H96</f>
        <v>0</v>
      </c>
      <c r="K41" s="464"/>
      <c r="L41" s="464"/>
    </row>
    <row r="42" spans="1:12" s="475" customFormat="1" ht="11.25" customHeight="1" x14ac:dyDescent="0.2">
      <c r="A42" s="17"/>
      <c r="B42" s="27"/>
      <c r="C42" s="29" t="s">
        <v>940</v>
      </c>
      <c r="D42" s="514" t="s">
        <v>2563</v>
      </c>
      <c r="E42" s="461" t="s">
        <v>1802</v>
      </c>
      <c r="F42" s="463">
        <f>'kontrola LD'!G33</f>
        <v>0</v>
      </c>
      <c r="G42" s="463">
        <f>-'kontrola LD'!G99</f>
        <v>0</v>
      </c>
      <c r="H42" s="463">
        <f t="shared" si="2"/>
        <v>0</v>
      </c>
      <c r="I42" s="463">
        <f>'kontrola LD'!H33+'kontrola LD'!H99</f>
        <v>0</v>
      </c>
      <c r="K42" s="464"/>
      <c r="L42" s="464"/>
    </row>
    <row r="43" spans="1:12" s="475" customFormat="1" ht="11.25" customHeight="1" x14ac:dyDescent="0.2">
      <c r="A43" s="17"/>
      <c r="B43" s="27"/>
      <c r="C43" s="29" t="s">
        <v>936</v>
      </c>
      <c r="D43" s="514" t="s">
        <v>1491</v>
      </c>
      <c r="E43" s="461" t="s">
        <v>312</v>
      </c>
      <c r="F43" s="463">
        <f>'kontrola LD'!G38</f>
        <v>0</v>
      </c>
      <c r="G43" s="463">
        <f>-'kontrola LD'!G88</f>
        <v>0</v>
      </c>
      <c r="H43" s="463">
        <f t="shared" si="2"/>
        <v>0</v>
      </c>
      <c r="I43" s="463">
        <f>'kontrola LD'!H38+'kontrola LD'!H88</f>
        <v>0</v>
      </c>
      <c r="K43" s="464"/>
      <c r="L43" s="464"/>
    </row>
    <row r="44" spans="1:12" s="475" customFormat="1" ht="11.25" customHeight="1" x14ac:dyDescent="0.2">
      <c r="A44" s="17"/>
      <c r="B44" s="27"/>
      <c r="C44" s="29"/>
      <c r="D44" s="515"/>
      <c r="E44" s="460"/>
      <c r="F44" s="464"/>
      <c r="G44" s="464"/>
      <c r="H44" s="464"/>
      <c r="I44" s="464"/>
      <c r="K44" s="464"/>
      <c r="L44" s="464"/>
    </row>
    <row r="45" spans="1:12" s="475" customFormat="1" ht="11.25" customHeight="1" x14ac:dyDescent="0.2">
      <c r="A45" s="24" t="s">
        <v>261</v>
      </c>
      <c r="B45" s="27"/>
      <c r="C45" s="28"/>
      <c r="D45" s="512" t="s">
        <v>2564</v>
      </c>
      <c r="E45" s="541" t="s">
        <v>315</v>
      </c>
      <c r="F45" s="542">
        <f>F47+F56+F64+F73</f>
        <v>9087.01</v>
      </c>
      <c r="G45" s="542">
        <f>G47+G56+G64+G73</f>
        <v>0</v>
      </c>
      <c r="H45" s="542">
        <f>H47+H56+H64+H73</f>
        <v>9087.01</v>
      </c>
      <c r="I45" s="542" t="e">
        <f>I47+I56+I64+I73</f>
        <v>#REF!</v>
      </c>
      <c r="K45" s="467"/>
      <c r="L45" s="467"/>
    </row>
    <row r="46" spans="1:12" s="475" customFormat="1" ht="11.25" customHeight="1" x14ac:dyDescent="0.2">
      <c r="A46" s="24"/>
      <c r="B46" s="27"/>
      <c r="C46" s="28"/>
      <c r="D46" s="514"/>
      <c r="E46" s="465"/>
      <c r="F46" s="467"/>
      <c r="G46" s="467"/>
      <c r="H46" s="467"/>
      <c r="I46" s="467"/>
      <c r="K46" s="467"/>
      <c r="L46" s="467"/>
    </row>
    <row r="47" spans="1:12" s="475" customFormat="1" ht="11.25" customHeight="1" x14ac:dyDescent="0.2">
      <c r="A47" s="17"/>
      <c r="B47" s="24" t="s">
        <v>944</v>
      </c>
      <c r="C47" s="28"/>
      <c r="D47" s="516" t="s">
        <v>2565</v>
      </c>
      <c r="E47" s="541" t="s">
        <v>1805</v>
      </c>
      <c r="F47" s="542">
        <f>F48+F49+F50+F51+F52+F53+F54</f>
        <v>0</v>
      </c>
      <c r="G47" s="542">
        <f>G48+G49+G50+G51+G52+G53+G54</f>
        <v>0</v>
      </c>
      <c r="H47" s="542">
        <f>H48+H49+H50+H51+H52+H53+H54</f>
        <v>0</v>
      </c>
      <c r="I47" s="542">
        <f>I48+I49+I50+I51+I52+I53+I54</f>
        <v>0</v>
      </c>
      <c r="K47" s="467"/>
      <c r="L47" s="467"/>
    </row>
    <row r="48" spans="1:12" s="475" customFormat="1" ht="11.25" customHeight="1" x14ac:dyDescent="0.2">
      <c r="A48" s="17"/>
      <c r="B48" s="27"/>
      <c r="C48" s="29" t="s">
        <v>935</v>
      </c>
      <c r="D48" s="514" t="s">
        <v>2566</v>
      </c>
      <c r="E48" s="461" t="s">
        <v>1806</v>
      </c>
      <c r="F48" s="463">
        <f>'kontrola LD'!G106+'kontrola LD'!G107+'kontrola LD'!G108</f>
        <v>0</v>
      </c>
      <c r="G48" s="463">
        <f>-'kontrola LD'!G127</f>
        <v>0</v>
      </c>
      <c r="H48" s="463">
        <f t="shared" ref="H48:H54" si="3">F48-G48</f>
        <v>0</v>
      </c>
      <c r="I48" s="463">
        <f>'kontrola LD'!H106+'kontrola LD'!H107+'kontrola LD'!H108+'kontrola LD'!H127</f>
        <v>0</v>
      </c>
      <c r="K48" s="464"/>
      <c r="L48" s="464"/>
    </row>
    <row r="49" spans="1:12" s="475" customFormat="1" ht="11.25" customHeight="1" x14ac:dyDescent="0.2">
      <c r="A49" s="17"/>
      <c r="B49" s="27"/>
      <c r="C49" s="29" t="s">
        <v>937</v>
      </c>
      <c r="D49" s="517" t="s">
        <v>2567</v>
      </c>
      <c r="E49" s="461" t="s">
        <v>1808</v>
      </c>
      <c r="F49" s="463">
        <f>'kontrola LD'!G113+'kontrola LD'!G116</f>
        <v>0</v>
      </c>
      <c r="G49" s="463">
        <f>-'kontrola LD'!G130-'kontrola LD'!G133</f>
        <v>0</v>
      </c>
      <c r="H49" s="463">
        <f t="shared" si="3"/>
        <v>0</v>
      </c>
      <c r="I49" s="463">
        <f>'kontrola LD'!H113+'kontrola LD'!H116+'kontrola LD'!H130+'kontrola LD'!H133</f>
        <v>0</v>
      </c>
      <c r="K49" s="464"/>
      <c r="L49" s="464"/>
    </row>
    <row r="50" spans="1:12" s="475" customFormat="1" x14ac:dyDescent="0.2">
      <c r="A50" s="17"/>
      <c r="B50" s="27"/>
      <c r="C50" s="29" t="s">
        <v>938</v>
      </c>
      <c r="D50" s="517" t="s">
        <v>1937</v>
      </c>
      <c r="E50" s="461" t="s">
        <v>1809</v>
      </c>
      <c r="F50" s="463">
        <f>'kontrola LD'!G112+'kontrola LD'!G115</f>
        <v>0</v>
      </c>
      <c r="G50" s="463">
        <f>-'kontrola LD'!G129-'kontrola LD'!G132</f>
        <v>0</v>
      </c>
      <c r="H50" s="463">
        <f t="shared" si="3"/>
        <v>0</v>
      </c>
      <c r="I50" s="463">
        <f>'kontrola LD'!H112+'kontrola LD'!H115+'kontrola LD'!H129+'kontrola LD'!H132</f>
        <v>0</v>
      </c>
      <c r="K50" s="464"/>
      <c r="L50" s="464"/>
    </row>
    <row r="51" spans="1:12" s="475" customFormat="1" ht="11.25" customHeight="1" x14ac:dyDescent="0.2">
      <c r="A51" s="17"/>
      <c r="B51" s="27"/>
      <c r="C51" s="29" t="s">
        <v>432</v>
      </c>
      <c r="D51" s="514" t="s">
        <v>178</v>
      </c>
      <c r="E51" s="461" t="s">
        <v>1810</v>
      </c>
      <c r="F51" s="463">
        <f>'kontrola LD'!G117</f>
        <v>0</v>
      </c>
      <c r="G51" s="463">
        <f>-'kontrola LD'!G134</f>
        <v>0</v>
      </c>
      <c r="H51" s="463">
        <f t="shared" si="3"/>
        <v>0</v>
      </c>
      <c r="I51" s="463">
        <f>'kontrola LD'!H117+'kontrola LD'!H134</f>
        <v>0</v>
      </c>
      <c r="K51" s="464"/>
      <c r="L51" s="464"/>
    </row>
    <row r="52" spans="1:12" s="475" customFormat="1" ht="11.25" customHeight="1" x14ac:dyDescent="0.2">
      <c r="A52" s="17"/>
      <c r="B52" s="27"/>
      <c r="C52" s="29" t="s">
        <v>1089</v>
      </c>
      <c r="D52" s="514" t="s">
        <v>1776</v>
      </c>
      <c r="E52" s="461" t="s">
        <v>1811</v>
      </c>
      <c r="F52" s="463">
        <f>'kontrola LD'!G118</f>
        <v>0</v>
      </c>
      <c r="G52" s="463">
        <f>-'kontrola LD'!G135</f>
        <v>0</v>
      </c>
      <c r="H52" s="463">
        <f t="shared" si="3"/>
        <v>0</v>
      </c>
      <c r="I52" s="463">
        <f>'kontrola LD'!H118+'kontrola LD'!H135</f>
        <v>0</v>
      </c>
      <c r="K52" s="464"/>
      <c r="L52" s="464"/>
    </row>
    <row r="53" spans="1:12" s="475" customFormat="1" ht="11.25" customHeight="1" x14ac:dyDescent="0.2">
      <c r="A53" s="17"/>
      <c r="B53" s="27"/>
      <c r="C53" s="29" t="s">
        <v>939</v>
      </c>
      <c r="D53" s="514" t="s">
        <v>1528</v>
      </c>
      <c r="E53" s="461" t="s">
        <v>1812</v>
      </c>
      <c r="F53" s="463">
        <f>'kontrola LD'!G121+'kontrola LD'!G122+'kontrola LD'!G124</f>
        <v>0</v>
      </c>
      <c r="G53" s="463">
        <f>-'kontrola LD'!G136</f>
        <v>0</v>
      </c>
      <c r="H53" s="463">
        <f t="shared" si="3"/>
        <v>0</v>
      </c>
      <c r="I53" s="463">
        <f>'kontrola LD'!H121+'kontrola LD'!H122+'kontrola LD'!H124+'kontrola LD'!H136</f>
        <v>0</v>
      </c>
      <c r="K53" s="464"/>
      <c r="L53" s="464"/>
    </row>
    <row r="54" spans="1:12" s="475" customFormat="1" ht="11.25" customHeight="1" x14ac:dyDescent="0.2">
      <c r="A54" s="17"/>
      <c r="B54" s="27"/>
      <c r="C54" s="29" t="s">
        <v>940</v>
      </c>
      <c r="D54" s="514" t="s">
        <v>1529</v>
      </c>
      <c r="E54" s="461" t="s">
        <v>1544</v>
      </c>
      <c r="F54" s="463">
        <f>'kontrola LD'!G191</f>
        <v>0</v>
      </c>
      <c r="G54" s="463">
        <f>-'kontrola LD'!G324</f>
        <v>0</v>
      </c>
      <c r="H54" s="463">
        <f t="shared" si="3"/>
        <v>0</v>
      </c>
      <c r="I54" s="463">
        <f>'kontrola LD'!H191+'kontrola LD'!H324</f>
        <v>0</v>
      </c>
      <c r="K54" s="464"/>
      <c r="L54" s="464"/>
    </row>
    <row r="55" spans="1:12" s="475" customFormat="1" ht="11.25" customHeight="1" x14ac:dyDescent="0.2">
      <c r="A55" s="17"/>
      <c r="B55" s="27"/>
      <c r="C55" s="29"/>
      <c r="D55" s="514"/>
      <c r="E55" s="460"/>
      <c r="F55" s="464"/>
      <c r="G55" s="464"/>
      <c r="H55" s="464"/>
      <c r="I55" s="464"/>
      <c r="K55" s="464"/>
      <c r="L55" s="464"/>
    </row>
    <row r="56" spans="1:12" s="475" customFormat="1" ht="11.25" customHeight="1" x14ac:dyDescent="0.2">
      <c r="A56" s="17"/>
      <c r="B56" s="24" t="s">
        <v>945</v>
      </c>
      <c r="C56" s="28"/>
      <c r="D56" s="512" t="s">
        <v>1530</v>
      </c>
      <c r="E56" s="541" t="s">
        <v>385</v>
      </c>
      <c r="F56" s="542">
        <f>F57+F58+F59+F60+F61+F62</f>
        <v>0</v>
      </c>
      <c r="G56" s="542">
        <f>G57+G58+G59+G60+G61+G62</f>
        <v>0</v>
      </c>
      <c r="H56" s="542">
        <f>H57+H58+H59+H60+H61+H62</f>
        <v>0</v>
      </c>
      <c r="I56" s="542">
        <f>I57+I58+I59+I60+I61+I62</f>
        <v>0</v>
      </c>
      <c r="K56" s="467"/>
      <c r="L56" s="467"/>
    </row>
    <row r="57" spans="1:12" s="475" customFormat="1" x14ac:dyDescent="0.2">
      <c r="A57" s="17"/>
      <c r="B57" s="27"/>
      <c r="C57" s="29" t="s">
        <v>935</v>
      </c>
      <c r="D57" s="514" t="s">
        <v>2673</v>
      </c>
      <c r="E57" s="461" t="s">
        <v>387</v>
      </c>
      <c r="F57" s="463">
        <f>'kontrola LD'!G183+'kontrola LD'!G186+'kontrola LD'!G189+'kontrola LD'!G193+'kontrola LD'!G198</f>
        <v>0</v>
      </c>
      <c r="G57" s="463">
        <f>-'kontrola LD'!G326</f>
        <v>0</v>
      </c>
      <c r="H57" s="463">
        <f t="shared" ref="H57:H62" si="4">F57-G57</f>
        <v>0</v>
      </c>
      <c r="I57" s="463">
        <f>'kontrola LD'!H183+'kontrola LD'!H186+'kontrola LD'!H189+'kontrola LD'!H193+'kontrola LD'!H198+'kontrola LD'!H325</f>
        <v>0</v>
      </c>
      <c r="K57" s="464"/>
      <c r="L57" s="464"/>
    </row>
    <row r="58" spans="1:12" s="475" customFormat="1" ht="11.25" customHeight="1" x14ac:dyDescent="0.2">
      <c r="A58" s="17"/>
      <c r="B58" s="27"/>
      <c r="C58" s="29" t="s">
        <v>937</v>
      </c>
      <c r="D58" s="514" t="s">
        <v>2674</v>
      </c>
      <c r="E58" s="461" t="s">
        <v>1545</v>
      </c>
      <c r="F58" s="463">
        <f>'kontrola LD'!G249</f>
        <v>0</v>
      </c>
      <c r="G58" s="463">
        <f>-'kontrola LD'!G328</f>
        <v>0</v>
      </c>
      <c r="H58" s="463">
        <f t="shared" si="4"/>
        <v>0</v>
      </c>
      <c r="I58" s="463">
        <f>'kontrola LD'!H249+'kontrola LD'!H328</f>
        <v>0</v>
      </c>
      <c r="K58" s="464"/>
      <c r="L58" s="464"/>
    </row>
    <row r="59" spans="1:12" s="475" customFormat="1" ht="11.25" customHeight="1" x14ac:dyDescent="0.2">
      <c r="A59" s="17"/>
      <c r="B59" s="27"/>
      <c r="C59" s="29" t="s">
        <v>938</v>
      </c>
      <c r="D59" s="514" t="s">
        <v>2675</v>
      </c>
      <c r="E59" s="461" t="s">
        <v>1546</v>
      </c>
      <c r="F59" s="463">
        <f>'kontrola LD'!G250</f>
        <v>0</v>
      </c>
      <c r="G59" s="463">
        <f>-'kontrola LD'!G330</f>
        <v>0</v>
      </c>
      <c r="H59" s="463">
        <f t="shared" si="4"/>
        <v>0</v>
      </c>
      <c r="I59" s="463">
        <f>'kontrola LD'!H250+'kontrola LD'!H330</f>
        <v>0</v>
      </c>
      <c r="K59" s="464"/>
      <c r="L59" s="464"/>
    </row>
    <row r="60" spans="1:12" s="475" customFormat="1" ht="20.399999999999999" x14ac:dyDescent="0.2">
      <c r="A60" s="17"/>
      <c r="B60" s="27"/>
      <c r="C60" s="29" t="s">
        <v>432</v>
      </c>
      <c r="D60" s="514" t="s">
        <v>409</v>
      </c>
      <c r="E60" s="461" t="s">
        <v>700</v>
      </c>
      <c r="F60" s="463">
        <f>'kontrola LD'!G254+'kontrola LD'!G257+'kontrola LD'!G260</f>
        <v>0</v>
      </c>
      <c r="G60" s="463">
        <f>-'kontrola LD'!G332</f>
        <v>0</v>
      </c>
      <c r="H60" s="463">
        <f t="shared" si="4"/>
        <v>0</v>
      </c>
      <c r="I60" s="463">
        <f>'kontrola LD'!H254+'kontrola LD'!H257+'kontrola LD'!H260+'kontrola LD'!H332</f>
        <v>0</v>
      </c>
      <c r="J60" s="539"/>
      <c r="K60" s="464"/>
      <c r="L60" s="464"/>
    </row>
    <row r="61" spans="1:12" s="475" customFormat="1" ht="11.25" customHeight="1" x14ac:dyDescent="0.2">
      <c r="A61" s="17"/>
      <c r="B61" s="27"/>
      <c r="C61" s="29" t="s">
        <v>1089</v>
      </c>
      <c r="D61" s="514" t="s">
        <v>2676</v>
      </c>
      <c r="E61" s="461" t="s">
        <v>701</v>
      </c>
      <c r="F61" s="463">
        <f>'kontrola LD'!G220+'kontrola LD'!G275+'kontrola LD'!G281+'kontrola LD'!G286+'kontrola LD'!G289+'kontrola LD'!G292+'kontrola LD'!G298+'kontrola LD'!G195</f>
        <v>0</v>
      </c>
      <c r="G61" s="463">
        <f>-'kontrola LD'!G334</f>
        <v>0</v>
      </c>
      <c r="H61" s="463">
        <f t="shared" si="4"/>
        <v>0</v>
      </c>
      <c r="I61" s="463">
        <f>'kontrola LD'!H220+'kontrola LD'!H275+'kontrola LD'!H281+'kontrola LD'!H286+'kontrola LD'!H289+'kontrola LD'!H292+'kontrola LD'!H298+'kontrola LD'!H195+'kontrola LD'!H334</f>
        <v>0</v>
      </c>
      <c r="K61" s="464"/>
      <c r="L61" s="464"/>
    </row>
    <row r="62" spans="1:12" s="475" customFormat="1" ht="11.25" customHeight="1" x14ac:dyDescent="0.2">
      <c r="A62" s="17"/>
      <c r="B62" s="27"/>
      <c r="C62" s="29" t="s">
        <v>939</v>
      </c>
      <c r="D62" s="514" t="s">
        <v>718</v>
      </c>
      <c r="E62" s="461" t="s">
        <v>702</v>
      </c>
      <c r="F62" s="463">
        <f>'kontrola LD'!G407</f>
        <v>0</v>
      </c>
      <c r="G62" s="463"/>
      <c r="H62" s="463">
        <f t="shared" si="4"/>
        <v>0</v>
      </c>
      <c r="I62" s="463">
        <f>'kontrola LD'!H407</f>
        <v>0</v>
      </c>
      <c r="K62" s="464"/>
      <c r="L62" s="464"/>
    </row>
    <row r="63" spans="1:12" s="475" customFormat="1" ht="11.25" customHeight="1" x14ac:dyDescent="0.2">
      <c r="A63" s="17"/>
      <c r="B63" s="27"/>
      <c r="C63" s="29"/>
      <c r="D63" s="514"/>
      <c r="E63" s="460"/>
      <c r="F63" s="464"/>
      <c r="G63" s="464"/>
      <c r="H63" s="464"/>
      <c r="I63" s="464"/>
      <c r="K63" s="464"/>
      <c r="L63" s="464"/>
    </row>
    <row r="64" spans="1:12" s="475" customFormat="1" ht="11.25" customHeight="1" x14ac:dyDescent="0.2">
      <c r="A64" s="17"/>
      <c r="B64" s="24" t="s">
        <v>946</v>
      </c>
      <c r="C64" s="28"/>
      <c r="D64" s="512" t="s">
        <v>1956</v>
      </c>
      <c r="E64" s="541" t="s">
        <v>703</v>
      </c>
      <c r="F64" s="542">
        <f>F65+F66+F67+F68+F69+F70+F71</f>
        <v>9070.5</v>
      </c>
      <c r="G64" s="542">
        <f>G65+G66+G67+G68+G69+G70+G71</f>
        <v>0</v>
      </c>
      <c r="H64" s="542">
        <f>H65+H66+H67+H68+H69+H70+H71</f>
        <v>9070.5</v>
      </c>
      <c r="I64" s="542" t="e">
        <f>I65+I66+I67+I68+I69+I70+I71</f>
        <v>#REF!</v>
      </c>
      <c r="K64" s="467"/>
      <c r="L64" s="467"/>
    </row>
    <row r="65" spans="1:12" s="475" customFormat="1" x14ac:dyDescent="0.2">
      <c r="A65" s="17"/>
      <c r="B65" s="27"/>
      <c r="C65" s="29" t="s">
        <v>935</v>
      </c>
      <c r="D65" s="514" t="s">
        <v>719</v>
      </c>
      <c r="E65" s="461" t="s">
        <v>704</v>
      </c>
      <c r="F65" s="463">
        <f>'kontrola LD'!G182+'kontrola LD'!G185+'kontrola LD'!G188+'kontrola LD'!G192+'kontrola LD'!G197</f>
        <v>8541</v>
      </c>
      <c r="G65" s="463">
        <f>-'kontrola LD'!G325</f>
        <v>0</v>
      </c>
      <c r="H65" s="463">
        <f t="shared" ref="H65:H71" si="5">F65-G65</f>
        <v>8541</v>
      </c>
      <c r="I65" s="463" t="e">
        <f>'kontrola LD'!H182+'kontrola LD'!H185+'kontrola LD'!H188+'kontrola LD'!H192+'kontrola LD'!H197+'kontrola LD'!#REF!</f>
        <v>#REF!</v>
      </c>
      <c r="K65" s="464"/>
      <c r="L65" s="464"/>
    </row>
    <row r="66" spans="1:12" s="475" customFormat="1" ht="11.25" customHeight="1" x14ac:dyDescent="0.2">
      <c r="A66" s="17"/>
      <c r="B66" s="27"/>
      <c r="C66" s="29" t="s">
        <v>937</v>
      </c>
      <c r="D66" s="514" t="s">
        <v>60</v>
      </c>
      <c r="E66" s="461" t="s">
        <v>705</v>
      </c>
      <c r="F66" s="463">
        <f>'kontrola LD'!G247</f>
        <v>0</v>
      </c>
      <c r="G66" s="463">
        <f>-'kontrola LD'!G327</f>
        <v>0</v>
      </c>
      <c r="H66" s="463">
        <f t="shared" si="5"/>
        <v>0</v>
      </c>
      <c r="I66" s="463">
        <f>'kontrola LD'!H247+'kontrola LD'!H327</f>
        <v>0</v>
      </c>
      <c r="K66" s="464"/>
      <c r="L66" s="464"/>
    </row>
    <row r="67" spans="1:12" s="475" customFormat="1" ht="11.25" customHeight="1" x14ac:dyDescent="0.2">
      <c r="A67" s="17"/>
      <c r="B67" s="27"/>
      <c r="C67" s="29" t="s">
        <v>938</v>
      </c>
      <c r="D67" s="514" t="s">
        <v>1952</v>
      </c>
      <c r="E67" s="461" t="s">
        <v>1474</v>
      </c>
      <c r="F67" s="463">
        <f>'kontrola LD'!G248</f>
        <v>0</v>
      </c>
      <c r="G67" s="463">
        <f>-'kontrola LD'!G329</f>
        <v>0</v>
      </c>
      <c r="H67" s="463">
        <f t="shared" si="5"/>
        <v>0</v>
      </c>
      <c r="I67" s="463">
        <f>'kontrola LD'!H248+'kontrola LD'!H329</f>
        <v>0</v>
      </c>
      <c r="K67" s="464"/>
      <c r="L67" s="464"/>
    </row>
    <row r="68" spans="1:12" s="475" customFormat="1" ht="20.399999999999999" x14ac:dyDescent="0.2">
      <c r="A68" s="17"/>
      <c r="B68" s="27"/>
      <c r="C68" s="29" t="s">
        <v>432</v>
      </c>
      <c r="D68" s="514" t="s">
        <v>410</v>
      </c>
      <c r="E68" s="461" t="s">
        <v>1476</v>
      </c>
      <c r="F68" s="463">
        <f>'kontrola LD'!G253+'kontrola LD'!G256+'kontrola LD'!G259+'kontrola LD'!G339</f>
        <v>0</v>
      </c>
      <c r="G68" s="463">
        <f>-'kontrola LD'!G331</f>
        <v>0</v>
      </c>
      <c r="H68" s="463">
        <f t="shared" si="5"/>
        <v>0</v>
      </c>
      <c r="I68" s="463">
        <f>'kontrola LD'!H253+'kontrola LD'!H256+'kontrola LD'!H259+'kontrola LD'!H339+'kontrola LD'!H331</f>
        <v>0</v>
      </c>
      <c r="K68" s="464"/>
      <c r="L68" s="464"/>
    </row>
    <row r="69" spans="1:12" s="475" customFormat="1" ht="11.25" customHeight="1" x14ac:dyDescent="0.2">
      <c r="A69" s="17"/>
      <c r="B69" s="27"/>
      <c r="C69" s="29" t="s">
        <v>1089</v>
      </c>
      <c r="D69" s="514" t="s">
        <v>1156</v>
      </c>
      <c r="E69" s="461" t="s">
        <v>706</v>
      </c>
      <c r="F69" s="463">
        <f>'kontrola LD'!G222</f>
        <v>0</v>
      </c>
      <c r="G69" s="463">
        <f>-'kontrola LD'!G336</f>
        <v>0</v>
      </c>
      <c r="H69" s="463">
        <f t="shared" si="5"/>
        <v>0</v>
      </c>
      <c r="I69" s="463">
        <f>'kontrola LD'!H222+'kontrola LD'!H336</f>
        <v>0</v>
      </c>
      <c r="K69" s="464"/>
      <c r="L69" s="464"/>
    </row>
    <row r="70" spans="1:12" s="475" customFormat="1" ht="11.25" customHeight="1" x14ac:dyDescent="0.2">
      <c r="A70" s="17"/>
      <c r="B70" s="27"/>
      <c r="C70" s="29" t="s">
        <v>939</v>
      </c>
      <c r="D70" s="514" t="s">
        <v>61</v>
      </c>
      <c r="E70" s="461" t="s">
        <v>707</v>
      </c>
      <c r="F70" s="463">
        <f>'kontrola LD'!G227+'kontrola LD'!G230+'kontrola LD'!G233+'kontrola LD'!G236+'kontrola LD'!G239+'kontrola LD'!G242</f>
        <v>529.5</v>
      </c>
      <c r="G70" s="463">
        <f>-'kontrola LD'!G335</f>
        <v>0</v>
      </c>
      <c r="H70" s="463">
        <f t="shared" si="5"/>
        <v>529.5</v>
      </c>
      <c r="I70" s="463">
        <f>'kontrola LD'!H227+'kontrola LD'!H230+'kontrola LD'!H233+'kontrola LD'!H236+'kontrola LD'!H239+'kontrola LD'!H242+'kontrola LD'!H335</f>
        <v>0</v>
      </c>
      <c r="K70" s="464"/>
      <c r="L70" s="464"/>
    </row>
    <row r="71" spans="1:12" s="475" customFormat="1" ht="11.25" customHeight="1" x14ac:dyDescent="0.2">
      <c r="A71" s="17"/>
      <c r="B71" s="27"/>
      <c r="C71" s="29" t="s">
        <v>940</v>
      </c>
      <c r="D71" s="514" t="s">
        <v>2676</v>
      </c>
      <c r="E71" s="461" t="s">
        <v>708</v>
      </c>
      <c r="F71" s="463">
        <f>'kontrola LD'!G219+'kontrola LD'!G274+'kontrola LD'!G280+'kontrola LD'!G285+'kontrola LD'!G288+'kontrola LD'!G291+'kontrola LD'!G297+'kontrola LD'!G337</f>
        <v>0</v>
      </c>
      <c r="G71" s="463">
        <f>-'kontrola LD'!G333</f>
        <v>0</v>
      </c>
      <c r="H71" s="463">
        <f t="shared" si="5"/>
        <v>0</v>
      </c>
      <c r="I71" s="463">
        <f>'kontrola LD'!H219+'kontrola LD'!H274+'kontrola LD'!H280+'kontrola LD'!H285+'kontrola LD'!H288+'kontrola LD'!H291+'kontrola LD'!H297+'kontrola LD'!H337+'kontrola LD'!H333</f>
        <v>0</v>
      </c>
      <c r="K71" s="464"/>
      <c r="L71" s="464"/>
    </row>
    <row r="72" spans="1:12" s="475" customFormat="1" ht="11.25" customHeight="1" x14ac:dyDescent="0.2">
      <c r="A72" s="17"/>
      <c r="B72" s="27"/>
      <c r="C72" s="29"/>
      <c r="D72" s="514"/>
      <c r="E72" s="460"/>
      <c r="F72" s="464"/>
      <c r="G72" s="464"/>
      <c r="H72" s="464"/>
      <c r="I72" s="464"/>
      <c r="K72" s="464"/>
      <c r="L72" s="464"/>
    </row>
    <row r="73" spans="1:12" s="475" customFormat="1" ht="11.25" customHeight="1" x14ac:dyDescent="0.2">
      <c r="A73" s="17"/>
      <c r="B73" s="24" t="s">
        <v>947</v>
      </c>
      <c r="C73" s="28"/>
      <c r="D73" s="512" t="s">
        <v>1957</v>
      </c>
      <c r="E73" s="541" t="s">
        <v>709</v>
      </c>
      <c r="F73" s="542">
        <f>F74+F75+F76+F77+F78</f>
        <v>16.509999999999991</v>
      </c>
      <c r="G73" s="542">
        <f>G74+G75+G76+G77+G78</f>
        <v>0</v>
      </c>
      <c r="H73" s="542">
        <f>H74+H75+H76+H77+H78</f>
        <v>16.509999999999991</v>
      </c>
      <c r="I73" s="542">
        <f>I74+I75+I76+I77+I78</f>
        <v>0</v>
      </c>
      <c r="K73" s="467"/>
      <c r="L73" s="467"/>
    </row>
    <row r="74" spans="1:12" s="475" customFormat="1" ht="11.25" customHeight="1" x14ac:dyDescent="0.2">
      <c r="A74" s="17"/>
      <c r="B74" s="27"/>
      <c r="C74" s="29" t="s">
        <v>935</v>
      </c>
      <c r="D74" s="514" t="s">
        <v>720</v>
      </c>
      <c r="E74" s="461" t="s">
        <v>710</v>
      </c>
      <c r="F74" s="463">
        <f>'kontrola LD'!G141+'kontrola LD'!G142</f>
        <v>16.509999999999991</v>
      </c>
      <c r="G74" s="463"/>
      <c r="H74" s="463">
        <f>F74-G74</f>
        <v>16.509999999999991</v>
      </c>
      <c r="I74" s="463">
        <f>'kontrola LD'!H141+'kontrola LD'!H142</f>
        <v>0</v>
      </c>
      <c r="K74" s="464"/>
      <c r="L74" s="464"/>
    </row>
    <row r="75" spans="1:12" s="475" customFormat="1" ht="11.25" customHeight="1" x14ac:dyDescent="0.2">
      <c r="A75" s="17"/>
      <c r="B75" s="27"/>
      <c r="C75" s="29" t="s">
        <v>937</v>
      </c>
      <c r="D75" s="514" t="s">
        <v>169</v>
      </c>
      <c r="E75" s="461" t="s">
        <v>1085</v>
      </c>
      <c r="F75" s="463">
        <f>'kontrola LD'!G146+'kontrola LD'!G171</f>
        <v>0</v>
      </c>
      <c r="G75" s="463"/>
      <c r="H75" s="463">
        <f>F75-G75</f>
        <v>0</v>
      </c>
      <c r="I75" s="463">
        <f>'kontrola LD'!H146+'kontrola LD'!H171</f>
        <v>0</v>
      </c>
      <c r="K75" s="464"/>
      <c r="L75" s="464"/>
    </row>
    <row r="76" spans="1:12" s="475" customFormat="1" ht="11.25" customHeight="1" x14ac:dyDescent="0.2">
      <c r="A76" s="17"/>
      <c r="B76" s="27"/>
      <c r="C76" s="29" t="s">
        <v>938</v>
      </c>
      <c r="D76" s="514" t="s">
        <v>1940</v>
      </c>
      <c r="E76" s="461" t="s">
        <v>1086</v>
      </c>
      <c r="F76" s="463">
        <f>'kontrola LD'!G147</f>
        <v>0</v>
      </c>
      <c r="G76" s="463"/>
      <c r="H76" s="463">
        <f>F76-G76</f>
        <v>0</v>
      </c>
      <c r="I76" s="463">
        <f>'kontrola LD'!H147</f>
        <v>0</v>
      </c>
      <c r="K76" s="464"/>
      <c r="L76" s="464"/>
    </row>
    <row r="77" spans="1:12" s="475" customFormat="1" ht="11.25" customHeight="1" x14ac:dyDescent="0.2">
      <c r="A77" s="17"/>
      <c r="B77" s="27"/>
      <c r="C77" s="29" t="s">
        <v>432</v>
      </c>
      <c r="D77" s="514" t="s">
        <v>1941</v>
      </c>
      <c r="E77" s="461" t="s">
        <v>1087</v>
      </c>
      <c r="F77" s="463">
        <f>'kontrola LD'!G159+'kontrola LD'!G161+'kontrola LD'!G166+'kontrola LD'!G167</f>
        <v>0</v>
      </c>
      <c r="G77" s="463">
        <f>-'kontrola LD'!G175</f>
        <v>0</v>
      </c>
      <c r="H77" s="463">
        <f>F77-G77</f>
        <v>0</v>
      </c>
      <c r="I77" s="463">
        <f>'kontrola LD'!H159+'kontrola LD'!H161+'kontrola LD'!H166+'kontrola LD'!H167+'kontrola LD'!H175</f>
        <v>0</v>
      </c>
      <c r="K77" s="464"/>
      <c r="L77" s="464"/>
    </row>
    <row r="78" spans="1:12" s="475" customFormat="1" ht="11.25" customHeight="1" x14ac:dyDescent="0.2">
      <c r="A78" s="17"/>
      <c r="B78" s="27"/>
      <c r="C78" s="29" t="s">
        <v>1089</v>
      </c>
      <c r="D78" s="514" t="s">
        <v>1583</v>
      </c>
      <c r="E78" s="461" t="s">
        <v>224</v>
      </c>
      <c r="F78" s="463">
        <f>'kontrola LD'!G168+'kontrola LD'!G194</f>
        <v>0</v>
      </c>
      <c r="G78" s="463">
        <f>-'kontrola LD'!G176</f>
        <v>0</v>
      </c>
      <c r="H78" s="463">
        <f>F78-G78</f>
        <v>0</v>
      </c>
      <c r="I78" s="463">
        <f>'kontrola LD'!H168+'kontrola LD'!H194+'kontrola LD'!H176</f>
        <v>0</v>
      </c>
      <c r="K78" s="464"/>
      <c r="L78" s="464"/>
    </row>
    <row r="79" spans="1:12" s="475" customFormat="1" ht="11.25" customHeight="1" x14ac:dyDescent="0.2">
      <c r="A79" s="17"/>
      <c r="B79" s="27"/>
      <c r="C79" s="29"/>
      <c r="D79" s="515"/>
      <c r="E79" s="460"/>
      <c r="F79" s="464"/>
      <c r="G79" s="464"/>
      <c r="H79" s="464"/>
      <c r="I79" s="464"/>
      <c r="K79" s="464"/>
      <c r="L79" s="464"/>
    </row>
    <row r="80" spans="1:12" s="475" customFormat="1" ht="11.25" customHeight="1" x14ac:dyDescent="0.2">
      <c r="A80" s="24" t="s">
        <v>934</v>
      </c>
      <c r="B80" s="28"/>
      <c r="C80" s="28"/>
      <c r="D80" s="512" t="s">
        <v>1958</v>
      </c>
      <c r="E80" s="541" t="s">
        <v>226</v>
      </c>
      <c r="F80" s="542">
        <f>F82+F83</f>
        <v>0</v>
      </c>
      <c r="G80" s="542">
        <f>G82+G83</f>
        <v>0</v>
      </c>
      <c r="H80" s="542">
        <f>H82+H83</f>
        <v>0</v>
      </c>
      <c r="I80" s="542">
        <f>I82+I83</f>
        <v>0</v>
      </c>
      <c r="K80" s="467"/>
      <c r="L80" s="467"/>
    </row>
    <row r="81" spans="1:12" s="475" customFormat="1" ht="11.25" customHeight="1" x14ac:dyDescent="0.2">
      <c r="A81" s="24"/>
      <c r="B81" s="28"/>
      <c r="C81" s="28"/>
      <c r="D81" s="514"/>
      <c r="E81" s="465"/>
      <c r="F81" s="467"/>
      <c r="G81" s="467"/>
      <c r="H81" s="467"/>
      <c r="I81" s="467"/>
      <c r="K81" s="467"/>
      <c r="L81" s="467"/>
    </row>
    <row r="82" spans="1:12" s="475" customFormat="1" ht="11.25" customHeight="1" x14ac:dyDescent="0.2">
      <c r="A82" s="17"/>
      <c r="B82" s="27"/>
      <c r="C82" s="29" t="s">
        <v>935</v>
      </c>
      <c r="D82" s="514" t="s">
        <v>1942</v>
      </c>
      <c r="E82" s="461" t="s">
        <v>228</v>
      </c>
      <c r="F82" s="463">
        <f>'kontrola LD'!G306+'kontrola LD'!G309</f>
        <v>0</v>
      </c>
      <c r="G82" s="463"/>
      <c r="H82" s="463">
        <f>F82-G82</f>
        <v>0</v>
      </c>
      <c r="I82" s="463">
        <f>'kontrola LD'!H306+'kontrola LD'!H309</f>
        <v>0</v>
      </c>
      <c r="K82" s="464"/>
      <c r="L82" s="464"/>
    </row>
    <row r="83" spans="1:12" s="475" customFormat="1" ht="11.25" customHeight="1" x14ac:dyDescent="0.2">
      <c r="A83" s="17"/>
      <c r="B83" s="27"/>
      <c r="C83" s="29" t="s">
        <v>937</v>
      </c>
      <c r="D83" s="514" t="s">
        <v>1943</v>
      </c>
      <c r="E83" s="461" t="s">
        <v>1139</v>
      </c>
      <c r="F83" s="463">
        <f>'kontrola LD'!G318</f>
        <v>0</v>
      </c>
      <c r="G83" s="463"/>
      <c r="H83" s="463">
        <f>F83-G83</f>
        <v>0</v>
      </c>
      <c r="I83" s="463">
        <f>'kontrola LD'!H318</f>
        <v>0</v>
      </c>
      <c r="K83" s="464"/>
      <c r="L83" s="464"/>
    </row>
    <row r="84" spans="1:12" s="475" customFormat="1" ht="11.25" customHeight="1" x14ac:dyDescent="0.2">
      <c r="A84" s="17"/>
      <c r="B84" s="27"/>
      <c r="C84" s="29"/>
      <c r="D84" s="514"/>
      <c r="E84" s="460"/>
      <c r="F84" s="464"/>
      <c r="G84" s="464"/>
      <c r="H84" s="464"/>
      <c r="I84" s="464"/>
      <c r="K84" s="464"/>
      <c r="L84" s="464"/>
    </row>
    <row r="85" spans="1:12" s="475" customFormat="1" ht="11.25" customHeight="1" x14ac:dyDescent="0.2">
      <c r="A85" s="17"/>
      <c r="B85" s="27"/>
      <c r="C85" s="24"/>
      <c r="D85" s="512" t="s">
        <v>1944</v>
      </c>
      <c r="E85" s="541" t="s">
        <v>1088</v>
      </c>
      <c r="F85" s="542">
        <f>F8+F10+F12+F14+F15+F16+F17+F18+F19+F20+F21+F22+F24+F25+F26+F27+F28+F29+F30+F31+F32+F33+F35+F36+F37+F38+F39+F40+F41+F42+F43+F45+F47+F48+F49+F50+F51+F52+F53+F54+F56+F57+F58+F59+F60+F61+F62+F64+F65+F66+F67+F68+F69+F70+F71+F73+F74+F75+F76+F77+F78+F80+F82+F83</f>
        <v>36348.040000000008</v>
      </c>
      <c r="G85" s="542">
        <f>G8+G10+G12+G14+G15+G16+G17+G18+G19+G20+G21+G22+G24+G25+G26+G27+G28+G29+G30+G31+G32+G33+G35+G36+G37+G38+G39+G40+G41+G42+G43+G45+G47+G48+G49+G50+G51+G52+G53+G54+G56+G57+G58+G59+G60+G61+G62+G64+G65+G66+G67+G68+G69+G70+G71+G73+G74+G75+G76+G77+G78+G80+G82+G83</f>
        <v>0</v>
      </c>
      <c r="H85" s="542">
        <f>H8+H10+H12+H14+H15+H16+H17+H18+H19+H20+H21+H22+H24+H25+H26+H27+H28+H29+H30+H31+H32+H33+H35+H36+H37+H38+H39+H40+H41+H42+H43+H45+H47+H48+H49+H50+H51+H52+H53+H54+H56+H57+H58+H59+H60+H61+H62+H64+H65+H66+H67+H68+H69+H70+H71+H73+H74+H75+H76+H77+H78+H80+H82+H83</f>
        <v>36348.040000000008</v>
      </c>
      <c r="I85" s="542" t="e">
        <f>I8+I10+I12+I14+I15+I16+I17+I18+I19+I20+I21+I22+I24+I25+I26+I27+I28+I29+I30+I31+I32+I33+I35+I36+I37+I38+I39+I40+I41+I42+I43+I45+I47+I48+I49+I50+I51+I52+I53+I54+I56+I57+I58+I59+I60+I61+I62+I64+I65+I66+I67+I68+I69+I70+I71+I73+I74+I75+I76+I77+I78+I80+I82+I83</f>
        <v>#REF!</v>
      </c>
      <c r="K85" s="467"/>
      <c r="L85" s="467"/>
    </row>
    <row r="86" spans="1:12" s="475" customFormat="1" ht="11.25" customHeight="1" x14ac:dyDescent="0.2">
      <c r="A86" s="17"/>
      <c r="B86" s="27"/>
      <c r="C86" s="24"/>
      <c r="D86" s="518"/>
      <c r="E86" s="465"/>
      <c r="F86" s="483"/>
      <c r="G86" s="483"/>
      <c r="H86" s="483"/>
      <c r="I86" s="483"/>
    </row>
    <row r="87" spans="1:12" s="475" customFormat="1" ht="11.25" customHeight="1" x14ac:dyDescent="0.2">
      <c r="A87" s="17"/>
      <c r="B87" s="27"/>
      <c r="C87" s="24"/>
      <c r="D87" s="518"/>
      <c r="E87" s="465"/>
      <c r="F87" s="483"/>
      <c r="G87" s="483"/>
      <c r="H87" s="483"/>
      <c r="I87" s="483"/>
    </row>
    <row r="88" spans="1:12" s="16" customFormat="1" ht="11.25" customHeight="1" x14ac:dyDescent="0.2">
      <c r="A88" s="17"/>
      <c r="B88" s="27"/>
      <c r="C88" s="24"/>
      <c r="D88" s="518"/>
      <c r="E88" s="484" t="s">
        <v>2306</v>
      </c>
      <c r="F88" s="485" t="s">
        <v>7</v>
      </c>
      <c r="G88" s="485" t="s">
        <v>695</v>
      </c>
      <c r="H88" s="483"/>
      <c r="I88" s="483"/>
      <c r="J88" s="513"/>
    </row>
    <row r="89" spans="1:12" s="16" customFormat="1" ht="11.25" customHeight="1" x14ac:dyDescent="0.2">
      <c r="A89" s="17"/>
      <c r="B89" s="27"/>
      <c r="C89" s="24"/>
      <c r="D89" s="518"/>
      <c r="E89" s="484"/>
      <c r="F89" s="486" t="s">
        <v>17</v>
      </c>
      <c r="G89" s="486" t="s">
        <v>696</v>
      </c>
      <c r="H89" s="483"/>
      <c r="I89" s="483"/>
      <c r="J89" s="513"/>
    </row>
    <row r="90" spans="1:12" s="475" customFormat="1" ht="11.25" customHeight="1" x14ac:dyDescent="0.2">
      <c r="A90" s="17"/>
      <c r="B90" s="27"/>
      <c r="C90" s="24"/>
      <c r="D90" s="519"/>
      <c r="E90" s="465"/>
      <c r="F90" s="483"/>
      <c r="G90" s="483"/>
      <c r="H90" s="483"/>
      <c r="I90" s="483"/>
      <c r="J90" s="482"/>
    </row>
    <row r="91" spans="1:12" s="475" customFormat="1" ht="11.25" customHeight="1" x14ac:dyDescent="0.2">
      <c r="A91" s="24"/>
      <c r="B91" s="24"/>
      <c r="C91" s="24"/>
      <c r="D91" s="520" t="s">
        <v>407</v>
      </c>
      <c r="E91" s="541" t="s">
        <v>1141</v>
      </c>
      <c r="F91" s="542">
        <f>F93+F119+F154</f>
        <v>9087.01</v>
      </c>
      <c r="G91" s="542" t="e">
        <f>G93+G119+G154</f>
        <v>#REF!</v>
      </c>
      <c r="H91" s="467"/>
      <c r="I91" s="467"/>
    </row>
    <row r="92" spans="1:12" s="475" customFormat="1" ht="11.25" customHeight="1" x14ac:dyDescent="0.2">
      <c r="A92" s="24"/>
      <c r="B92" s="24"/>
      <c r="C92" s="24"/>
      <c r="D92" s="521"/>
      <c r="E92" s="465"/>
      <c r="F92" s="467"/>
      <c r="G92" s="467"/>
      <c r="H92" s="467"/>
      <c r="I92" s="483"/>
    </row>
    <row r="93" spans="1:12" s="475" customFormat="1" ht="11.25" customHeight="1" x14ac:dyDescent="0.2">
      <c r="A93" s="24" t="s">
        <v>932</v>
      </c>
      <c r="B93" s="24"/>
      <c r="C93" s="24"/>
      <c r="D93" s="520" t="s">
        <v>1946</v>
      </c>
      <c r="E93" s="541" t="s">
        <v>1687</v>
      </c>
      <c r="F93" s="542">
        <f>F95+F100+F108+F113+F117</f>
        <v>459.97000000000116</v>
      </c>
      <c r="G93" s="542" t="e">
        <f>G95+G100+G108+G113+G117</f>
        <v>#REF!</v>
      </c>
      <c r="H93" s="467"/>
      <c r="I93" s="467"/>
    </row>
    <row r="94" spans="1:12" s="475" customFormat="1" ht="11.25" customHeight="1" x14ac:dyDescent="0.2">
      <c r="A94" s="24"/>
      <c r="B94" s="24"/>
      <c r="C94" s="24"/>
      <c r="D94" s="521"/>
      <c r="E94" s="465"/>
      <c r="F94" s="467"/>
      <c r="G94" s="467"/>
      <c r="H94" s="467"/>
      <c r="I94" s="467"/>
      <c r="J94" s="482"/>
      <c r="K94" s="487"/>
    </row>
    <row r="95" spans="1:12" s="475" customFormat="1" ht="11.25" customHeight="1" x14ac:dyDescent="0.2">
      <c r="A95" s="24"/>
      <c r="B95" s="24" t="s">
        <v>948</v>
      </c>
      <c r="C95" s="24"/>
      <c r="D95" s="520" t="s">
        <v>1959</v>
      </c>
      <c r="E95" s="541" t="s">
        <v>1689</v>
      </c>
      <c r="F95" s="542">
        <f>F96+F97+F98</f>
        <v>11618</v>
      </c>
      <c r="G95" s="542">
        <f>G96+G97+G98</f>
        <v>0</v>
      </c>
      <c r="H95" s="467"/>
      <c r="I95" s="467"/>
      <c r="J95" s="487"/>
    </row>
    <row r="96" spans="1:12" s="475" customFormat="1" ht="11.25" customHeight="1" x14ac:dyDescent="0.2">
      <c r="A96" s="29"/>
      <c r="B96" s="29"/>
      <c r="C96" s="29" t="s">
        <v>935</v>
      </c>
      <c r="D96" s="521" t="s">
        <v>1947</v>
      </c>
      <c r="E96" s="461" t="s">
        <v>2467</v>
      </c>
      <c r="F96" s="463">
        <f>-'kontrola LD'!G345-'kontrola LD'!G410</f>
        <v>11618</v>
      </c>
      <c r="G96" s="463">
        <f>-'kontrola LD'!H345-'kontrola LD'!H410</f>
        <v>0</v>
      </c>
      <c r="H96" s="464"/>
      <c r="I96" s="464"/>
    </row>
    <row r="97" spans="1:9" s="475" customFormat="1" ht="11.25" customHeight="1" x14ac:dyDescent="0.2">
      <c r="A97" s="29"/>
      <c r="B97" s="29"/>
      <c r="C97" s="29" t="s">
        <v>937</v>
      </c>
      <c r="D97" s="521" t="s">
        <v>1948</v>
      </c>
      <c r="E97" s="461" t="s">
        <v>1692</v>
      </c>
      <c r="F97" s="463">
        <f>-'kontrola LD'!G160</f>
        <v>0</v>
      </c>
      <c r="G97" s="463">
        <f>-'kontrola LD'!H160</f>
        <v>0</v>
      </c>
      <c r="H97" s="464"/>
      <c r="I97" s="464"/>
    </row>
    <row r="98" spans="1:9" s="475" customFormat="1" ht="11.25" customHeight="1" x14ac:dyDescent="0.2">
      <c r="A98" s="29"/>
      <c r="B98" s="29"/>
      <c r="C98" s="29" t="s">
        <v>938</v>
      </c>
      <c r="D98" s="521" t="s">
        <v>1985</v>
      </c>
      <c r="E98" s="461" t="s">
        <v>2470</v>
      </c>
      <c r="F98" s="463">
        <f>-'kontrola LD'!G353</f>
        <v>0</v>
      </c>
      <c r="G98" s="463">
        <f>-'kontrola LD'!H353</f>
        <v>0</v>
      </c>
      <c r="H98" s="464"/>
      <c r="I98" s="464"/>
    </row>
    <row r="99" spans="1:9" s="475" customFormat="1" ht="11.25" customHeight="1" x14ac:dyDescent="0.2">
      <c r="A99" s="29"/>
      <c r="B99" s="29"/>
      <c r="C99" s="29"/>
      <c r="D99" s="521"/>
      <c r="E99" s="460"/>
      <c r="F99" s="464"/>
      <c r="G99" s="464"/>
      <c r="H99" s="464"/>
      <c r="I99" s="464"/>
    </row>
    <row r="100" spans="1:9" s="475" customFormat="1" ht="11.25" customHeight="1" x14ac:dyDescent="0.2">
      <c r="A100" s="24"/>
      <c r="B100" s="24" t="s">
        <v>949</v>
      </c>
      <c r="C100" s="24"/>
      <c r="D100" s="520" t="s">
        <v>1960</v>
      </c>
      <c r="E100" s="541" t="s">
        <v>1696</v>
      </c>
      <c r="F100" s="542">
        <f>F101+F102+F103+F104+F105+F106</f>
        <v>0</v>
      </c>
      <c r="G100" s="542">
        <f>G101+G102+G103+G104+G105+G106</f>
        <v>0</v>
      </c>
      <c r="H100" s="467"/>
      <c r="I100" s="467"/>
    </row>
    <row r="101" spans="1:9" s="475" customFormat="1" ht="11.25" customHeight="1" x14ac:dyDescent="0.2">
      <c r="A101" s="29"/>
      <c r="B101" s="29"/>
      <c r="C101" s="29" t="s">
        <v>935</v>
      </c>
      <c r="D101" s="521" t="s">
        <v>1986</v>
      </c>
      <c r="E101" s="461" t="s">
        <v>1698</v>
      </c>
      <c r="F101" s="463">
        <f>-'kontrola LD'!G346</f>
        <v>0</v>
      </c>
      <c r="G101" s="463">
        <f>-'kontrola LD'!H346</f>
        <v>0</v>
      </c>
      <c r="H101" s="464"/>
      <c r="I101" s="464"/>
    </row>
    <row r="102" spans="1:9" s="475" customFormat="1" ht="11.25" customHeight="1" x14ac:dyDescent="0.2">
      <c r="A102" s="29"/>
      <c r="B102" s="29"/>
      <c r="C102" s="29" t="s">
        <v>937</v>
      </c>
      <c r="D102" s="521" t="s">
        <v>1987</v>
      </c>
      <c r="E102" s="461" t="s">
        <v>1719</v>
      </c>
      <c r="F102" s="463">
        <f>-'kontrola LD'!G347</f>
        <v>0</v>
      </c>
      <c r="G102" s="463">
        <f>-'kontrola LD'!H347</f>
        <v>0</v>
      </c>
      <c r="H102" s="464"/>
      <c r="I102" s="464"/>
    </row>
    <row r="103" spans="1:9" s="475" customFormat="1" ht="11.25" customHeight="1" x14ac:dyDescent="0.2">
      <c r="A103" s="29"/>
      <c r="B103" s="29"/>
      <c r="C103" s="29" t="s">
        <v>938</v>
      </c>
      <c r="D103" s="521" t="s">
        <v>1988</v>
      </c>
      <c r="E103" s="461" t="s">
        <v>1721</v>
      </c>
      <c r="F103" s="463">
        <f>-'kontrola LD'!G351-'kontrola LD'!G352</f>
        <v>0</v>
      </c>
      <c r="G103" s="463">
        <f>-'kontrola LD'!H351-'kontrola LD'!H352</f>
        <v>0</v>
      </c>
      <c r="H103" s="464"/>
      <c r="I103" s="464"/>
    </row>
    <row r="104" spans="1:9" s="475" customFormat="1" ht="11.25" customHeight="1" x14ac:dyDescent="0.2">
      <c r="A104" s="29"/>
      <c r="B104" s="29"/>
      <c r="C104" s="29" t="s">
        <v>432</v>
      </c>
      <c r="D104" s="521" t="s">
        <v>1989</v>
      </c>
      <c r="E104" s="461" t="s">
        <v>729</v>
      </c>
      <c r="F104" s="463">
        <f>-'kontrola LD'!G348</f>
        <v>0</v>
      </c>
      <c r="G104" s="463">
        <f>-'kontrola LD'!H348</f>
        <v>0</v>
      </c>
      <c r="H104" s="464"/>
      <c r="I104" s="464"/>
    </row>
    <row r="105" spans="1:9" s="475" customFormat="1" ht="11.25" customHeight="1" x14ac:dyDescent="0.2">
      <c r="A105" s="29"/>
      <c r="B105" s="29"/>
      <c r="C105" s="29" t="s">
        <v>1089</v>
      </c>
      <c r="D105" s="521" t="s">
        <v>1990</v>
      </c>
      <c r="E105" s="461" t="s">
        <v>730</v>
      </c>
      <c r="F105" s="463">
        <f>-'kontrola LD'!G349</f>
        <v>0</v>
      </c>
      <c r="G105" s="463">
        <f>-'kontrola LD'!H349</f>
        <v>0</v>
      </c>
      <c r="H105" s="464"/>
      <c r="I105" s="464"/>
    </row>
    <row r="106" spans="1:9" s="475" customFormat="1" ht="11.25" customHeight="1" x14ac:dyDescent="0.2">
      <c r="A106" s="29"/>
      <c r="B106" s="29"/>
      <c r="C106" s="29" t="s">
        <v>939</v>
      </c>
      <c r="D106" s="521" t="s">
        <v>1991</v>
      </c>
      <c r="E106" s="461" t="s">
        <v>731</v>
      </c>
      <c r="F106" s="463">
        <f>-'kontrola LD'!G350</f>
        <v>0</v>
      </c>
      <c r="G106" s="463">
        <f>-'kontrola LD'!H350</f>
        <v>0</v>
      </c>
      <c r="H106" s="464"/>
      <c r="I106" s="464"/>
    </row>
    <row r="107" spans="1:9" s="475" customFormat="1" ht="11.25" customHeight="1" x14ac:dyDescent="0.2">
      <c r="A107" s="29"/>
      <c r="B107" s="29"/>
      <c r="C107" s="29"/>
      <c r="D107" s="522"/>
      <c r="E107" s="460"/>
      <c r="F107" s="464"/>
      <c r="G107" s="464"/>
      <c r="H107" s="464"/>
      <c r="I107" s="464"/>
    </row>
    <row r="108" spans="1:9" s="475" customFormat="1" ht="11.25" customHeight="1" x14ac:dyDescent="0.2">
      <c r="A108" s="24"/>
      <c r="B108" s="24" t="s">
        <v>1749</v>
      </c>
      <c r="C108" s="24"/>
      <c r="D108" s="520" t="s">
        <v>1961</v>
      </c>
      <c r="E108" s="541" t="s">
        <v>1724</v>
      </c>
      <c r="F108" s="542">
        <f>F109+F110+F111</f>
        <v>0</v>
      </c>
      <c r="G108" s="542">
        <f>G109+G110+G111</f>
        <v>0</v>
      </c>
      <c r="H108" s="467"/>
      <c r="I108" s="467"/>
    </row>
    <row r="109" spans="1:9" s="475" customFormat="1" ht="11.25" customHeight="1" x14ac:dyDescent="0.2">
      <c r="A109" s="29"/>
      <c r="B109" s="29"/>
      <c r="C109" s="29" t="s">
        <v>935</v>
      </c>
      <c r="D109" s="521" t="s">
        <v>1788</v>
      </c>
      <c r="E109" s="461" t="s">
        <v>1725</v>
      </c>
      <c r="F109" s="463">
        <f>-'kontrola LD'!G356</f>
        <v>0</v>
      </c>
      <c r="G109" s="463">
        <f>-'kontrola LD'!H356</f>
        <v>0</v>
      </c>
      <c r="H109" s="464"/>
      <c r="I109" s="464"/>
    </row>
    <row r="110" spans="1:9" s="475" customFormat="1" ht="11.25" customHeight="1" x14ac:dyDescent="0.2">
      <c r="A110" s="29"/>
      <c r="B110" s="29"/>
      <c r="C110" s="29" t="s">
        <v>937</v>
      </c>
      <c r="D110" s="521" t="s">
        <v>1789</v>
      </c>
      <c r="E110" s="461" t="s">
        <v>732</v>
      </c>
      <c r="F110" s="463">
        <f>-'kontrola LD'!G357</f>
        <v>0</v>
      </c>
      <c r="G110" s="463">
        <f>-'kontrola LD'!H357</f>
        <v>0</v>
      </c>
      <c r="H110" s="464"/>
      <c r="I110" s="464"/>
    </row>
    <row r="111" spans="1:9" s="475" customFormat="1" ht="11.25" customHeight="1" x14ac:dyDescent="0.2">
      <c r="A111" s="29"/>
      <c r="B111" s="29"/>
      <c r="C111" s="29" t="s">
        <v>938</v>
      </c>
      <c r="D111" s="521" t="s">
        <v>1790</v>
      </c>
      <c r="E111" s="461" t="s">
        <v>1729</v>
      </c>
      <c r="F111" s="463">
        <f>-'kontrola LD'!G358-'kontrola LD'!G359</f>
        <v>0</v>
      </c>
      <c r="G111" s="463">
        <f>-'kontrola LD'!H358-'kontrola LD'!H359</f>
        <v>0</v>
      </c>
      <c r="H111" s="464"/>
      <c r="I111" s="464"/>
    </row>
    <row r="112" spans="1:9" s="475" customFormat="1" ht="11.25" customHeight="1" x14ac:dyDescent="0.2">
      <c r="A112" s="29"/>
      <c r="B112" s="29"/>
      <c r="C112" s="29"/>
      <c r="D112" s="521"/>
      <c r="E112" s="460"/>
      <c r="F112" s="464"/>
      <c r="G112" s="464"/>
      <c r="H112" s="464"/>
      <c r="I112" s="464"/>
    </row>
    <row r="113" spans="1:9" s="475" customFormat="1" ht="11.25" customHeight="1" x14ac:dyDescent="0.2">
      <c r="A113" s="24"/>
      <c r="B113" s="24" t="s">
        <v>1750</v>
      </c>
      <c r="C113" s="24"/>
      <c r="D113" s="520" t="s">
        <v>1791</v>
      </c>
      <c r="E113" s="541" t="s">
        <v>1730</v>
      </c>
      <c r="F113" s="542">
        <f>F114+F115</f>
        <v>-9769.3700000000008</v>
      </c>
      <c r="G113" s="542">
        <f>G114+G115</f>
        <v>0</v>
      </c>
      <c r="H113" s="467"/>
      <c r="I113" s="467"/>
    </row>
    <row r="114" spans="1:9" s="475" customFormat="1" ht="11.25" customHeight="1" x14ac:dyDescent="0.2">
      <c r="A114" s="29"/>
      <c r="B114" s="29"/>
      <c r="C114" s="29" t="s">
        <v>935</v>
      </c>
      <c r="D114" s="521" t="s">
        <v>1792</v>
      </c>
      <c r="E114" s="461" t="s">
        <v>1731</v>
      </c>
      <c r="F114" s="463">
        <f>-'kontrola LD'!G360</f>
        <v>0</v>
      </c>
      <c r="G114" s="463">
        <f>-'kontrola LD'!H360</f>
        <v>0</v>
      </c>
      <c r="H114" s="464"/>
      <c r="I114" s="464"/>
    </row>
    <row r="115" spans="1:9" s="475" customFormat="1" ht="11.25" customHeight="1" x14ac:dyDescent="0.2">
      <c r="A115" s="29"/>
      <c r="B115" s="29"/>
      <c r="C115" s="29" t="s">
        <v>937</v>
      </c>
      <c r="D115" s="521" t="s">
        <v>486</v>
      </c>
      <c r="E115" s="461" t="s">
        <v>1732</v>
      </c>
      <c r="F115" s="463">
        <f>-'kontrola LD'!G361</f>
        <v>-9769.3700000000008</v>
      </c>
      <c r="G115" s="463">
        <f>-'kontrola LD'!H361</f>
        <v>0</v>
      </c>
      <c r="H115" s="464"/>
      <c r="I115" s="464"/>
    </row>
    <row r="116" spans="1:9" s="475" customFormat="1" ht="11.25" customHeight="1" x14ac:dyDescent="0.2">
      <c r="A116" s="29"/>
      <c r="B116" s="29"/>
      <c r="C116" s="29"/>
      <c r="D116" s="521"/>
      <c r="E116" s="460"/>
      <c r="F116" s="464"/>
      <c r="G116" s="464"/>
      <c r="H116" s="464"/>
      <c r="I116" s="464"/>
    </row>
    <row r="117" spans="1:9" s="475" customFormat="1" x14ac:dyDescent="0.2">
      <c r="A117" s="24"/>
      <c r="B117" s="24" t="s">
        <v>1751</v>
      </c>
      <c r="C117" s="24"/>
      <c r="D117" s="520" t="s">
        <v>487</v>
      </c>
      <c r="E117" s="541" t="s">
        <v>1733</v>
      </c>
      <c r="F117" s="542">
        <f>H8-F95-F100-F108-F113-F119-F154</f>
        <v>-1388.659999999998</v>
      </c>
      <c r="G117" s="542" t="e">
        <f>I8-G95-G100-G108-G113-G119-G154</f>
        <v>#REF!</v>
      </c>
      <c r="H117" s="467"/>
      <c r="I117" s="467"/>
    </row>
    <row r="118" spans="1:9" s="475" customFormat="1" ht="11.25" customHeight="1" x14ac:dyDescent="0.2">
      <c r="A118" s="24"/>
      <c r="B118" s="24"/>
      <c r="C118" s="24"/>
      <c r="D118" s="521"/>
      <c r="E118" s="465"/>
      <c r="F118" s="467"/>
      <c r="G118" s="467"/>
      <c r="H118" s="467"/>
      <c r="I118" s="467"/>
    </row>
    <row r="119" spans="1:9" s="475" customFormat="1" ht="11.25" customHeight="1" x14ac:dyDescent="0.2">
      <c r="A119" s="24" t="s">
        <v>933</v>
      </c>
      <c r="B119" s="24"/>
      <c r="C119" s="24"/>
      <c r="D119" s="520" t="s">
        <v>488</v>
      </c>
      <c r="E119" s="541" t="s">
        <v>1736</v>
      </c>
      <c r="F119" s="542">
        <f>F121+F126+F138+F149</f>
        <v>8627.0399999999991</v>
      </c>
      <c r="G119" s="542">
        <f>G121+G126+G138+G149</f>
        <v>0</v>
      </c>
      <c r="H119" s="467"/>
      <c r="I119" s="467"/>
    </row>
    <row r="120" spans="1:9" s="475" customFormat="1" ht="11.25" customHeight="1" x14ac:dyDescent="0.2">
      <c r="A120" s="24"/>
      <c r="B120" s="24"/>
      <c r="C120" s="24"/>
      <c r="D120" s="521"/>
      <c r="E120" s="465"/>
      <c r="F120" s="467"/>
      <c r="G120" s="467"/>
      <c r="H120" s="467"/>
      <c r="I120" s="467"/>
    </row>
    <row r="121" spans="1:9" s="475" customFormat="1" ht="11.25" customHeight="1" x14ac:dyDescent="0.2">
      <c r="A121" s="24"/>
      <c r="B121" s="24" t="s">
        <v>942</v>
      </c>
      <c r="C121" s="24"/>
      <c r="D121" s="520" t="s">
        <v>489</v>
      </c>
      <c r="E121" s="541" t="s">
        <v>1926</v>
      </c>
      <c r="F121" s="542">
        <f>F122+F123+F124</f>
        <v>0</v>
      </c>
      <c r="G121" s="542">
        <f>G122+G123+G124</f>
        <v>0</v>
      </c>
      <c r="H121" s="467"/>
      <c r="I121" s="467"/>
    </row>
    <row r="122" spans="1:9" s="475" customFormat="1" ht="11.25" customHeight="1" x14ac:dyDescent="0.2">
      <c r="A122" s="29"/>
      <c r="B122" s="29"/>
      <c r="C122" s="29" t="s">
        <v>935</v>
      </c>
      <c r="D122" s="521" t="s">
        <v>490</v>
      </c>
      <c r="E122" s="461" t="s">
        <v>1738</v>
      </c>
      <c r="F122" s="463">
        <f>-'kontrola LD'!G367</f>
        <v>0</v>
      </c>
      <c r="G122" s="463">
        <f>-'kontrola LD'!H367</f>
        <v>0</v>
      </c>
      <c r="H122" s="464"/>
      <c r="I122" s="464"/>
    </row>
    <row r="123" spans="1:9" s="475" customFormat="1" ht="11.25" customHeight="1" x14ac:dyDescent="0.2">
      <c r="A123" s="29"/>
      <c r="B123" s="29"/>
      <c r="C123" s="29" t="s">
        <v>937</v>
      </c>
      <c r="D123" s="521" t="s">
        <v>491</v>
      </c>
      <c r="E123" s="461" t="s">
        <v>1198</v>
      </c>
      <c r="F123" s="463">
        <f>-'kontrola LD'!G370</f>
        <v>0</v>
      </c>
      <c r="G123" s="463">
        <f>-'kontrola LD'!H370</f>
        <v>0</v>
      </c>
      <c r="H123" s="464"/>
      <c r="I123" s="464"/>
    </row>
    <row r="124" spans="1:9" s="475" customFormat="1" ht="11.25" customHeight="1" x14ac:dyDescent="0.2">
      <c r="A124" s="29"/>
      <c r="B124" s="29"/>
      <c r="C124" s="29" t="s">
        <v>938</v>
      </c>
      <c r="D124" s="521" t="s">
        <v>492</v>
      </c>
      <c r="E124" s="461" t="s">
        <v>2052</v>
      </c>
      <c r="F124" s="463">
        <f>-'kontrola LD'!G208</f>
        <v>0</v>
      </c>
      <c r="G124" s="463">
        <f>-'kontrola LD'!H209</f>
        <v>0</v>
      </c>
      <c r="H124" s="464"/>
      <c r="I124" s="464"/>
    </row>
    <row r="125" spans="1:9" s="475" customFormat="1" ht="11.25" customHeight="1" x14ac:dyDescent="0.2">
      <c r="A125" s="29"/>
      <c r="B125" s="29"/>
      <c r="C125" s="29"/>
      <c r="D125" s="521"/>
      <c r="E125" s="460"/>
      <c r="F125" s="464"/>
      <c r="G125" s="464"/>
      <c r="H125" s="464"/>
      <c r="I125" s="464"/>
    </row>
    <row r="126" spans="1:9" s="475" customFormat="1" ht="11.25" customHeight="1" x14ac:dyDescent="0.2">
      <c r="A126" s="24"/>
      <c r="B126" s="24" t="s">
        <v>943</v>
      </c>
      <c r="C126" s="24"/>
      <c r="D126" s="520" t="s">
        <v>1962</v>
      </c>
      <c r="E126" s="541" t="s">
        <v>1542</v>
      </c>
      <c r="F126" s="542">
        <f>F127+F128+F129+F130+F131+F132+F133+F134+F135+F136</f>
        <v>0</v>
      </c>
      <c r="G126" s="542">
        <f>G127+G128+G129+G130+G131+G132+G133+G134+G135+G136</f>
        <v>0</v>
      </c>
      <c r="H126" s="467"/>
      <c r="I126" s="467"/>
    </row>
    <row r="127" spans="1:9" s="475" customFormat="1" ht="11.25" customHeight="1" x14ac:dyDescent="0.2">
      <c r="A127" s="29"/>
      <c r="B127" s="29"/>
      <c r="C127" s="29" t="s">
        <v>935</v>
      </c>
      <c r="D127" s="521" t="s">
        <v>493</v>
      </c>
      <c r="E127" s="461" t="s">
        <v>1300</v>
      </c>
      <c r="F127" s="463">
        <f>-'kontrola LD'!G402</f>
        <v>0</v>
      </c>
      <c r="G127" s="463">
        <f>-'kontrola LD'!H402</f>
        <v>0</v>
      </c>
      <c r="H127" s="464"/>
      <c r="I127" s="464"/>
    </row>
    <row r="128" spans="1:9" s="475" customFormat="1" ht="11.25" customHeight="1" x14ac:dyDescent="0.2">
      <c r="A128" s="29"/>
      <c r="B128" s="29"/>
      <c r="C128" s="29" t="s">
        <v>937</v>
      </c>
      <c r="D128" s="521" t="s">
        <v>1938</v>
      </c>
      <c r="E128" s="461" t="s">
        <v>2375</v>
      </c>
      <c r="F128" s="463">
        <f>-'kontrola LD'!G393</f>
        <v>0</v>
      </c>
      <c r="G128" s="463">
        <f>-'kontrola LD'!H393</f>
        <v>0</v>
      </c>
      <c r="H128" s="464"/>
      <c r="I128" s="464"/>
    </row>
    <row r="129" spans="1:9" s="475" customFormat="1" ht="11.25" customHeight="1" x14ac:dyDescent="0.2">
      <c r="A129" s="29"/>
      <c r="B129" s="29"/>
      <c r="C129" s="29" t="s">
        <v>938</v>
      </c>
      <c r="D129" s="521" t="s">
        <v>1963</v>
      </c>
      <c r="E129" s="461" t="s">
        <v>2377</v>
      </c>
      <c r="F129" s="463">
        <f>-'kontrola LD'!G381</f>
        <v>0</v>
      </c>
      <c r="G129" s="463">
        <f>-'kontrola LD'!H381</f>
        <v>0</v>
      </c>
      <c r="H129" s="464"/>
      <c r="I129" s="464"/>
    </row>
    <row r="130" spans="1:9" s="475" customFormat="1" ht="11.25" customHeight="1" x14ac:dyDescent="0.2">
      <c r="A130" s="29"/>
      <c r="B130" s="29"/>
      <c r="C130" s="29" t="s">
        <v>432</v>
      </c>
      <c r="D130" s="521" t="s">
        <v>1212</v>
      </c>
      <c r="E130" s="461" t="s">
        <v>2379</v>
      </c>
      <c r="F130" s="463">
        <f>-'kontrola LD'!G382</f>
        <v>0</v>
      </c>
      <c r="G130" s="463">
        <f>-'kontrola LD'!H382</f>
        <v>0</v>
      </c>
      <c r="H130" s="464"/>
      <c r="I130" s="464"/>
    </row>
    <row r="131" spans="1:9" s="475" customFormat="1" ht="11.25" customHeight="1" x14ac:dyDescent="0.2">
      <c r="A131" s="29"/>
      <c r="B131" s="29"/>
      <c r="C131" s="29" t="s">
        <v>1089</v>
      </c>
      <c r="D131" s="521" t="s">
        <v>494</v>
      </c>
      <c r="E131" s="461" t="s">
        <v>808</v>
      </c>
      <c r="F131" s="463">
        <f>-'kontrola LD'!G392</f>
        <v>0</v>
      </c>
      <c r="G131" s="463">
        <f>-'kontrola LD'!H392</f>
        <v>0</v>
      </c>
      <c r="H131" s="464"/>
      <c r="I131" s="464"/>
    </row>
    <row r="132" spans="1:9" s="475" customFormat="1" ht="11.25" customHeight="1" x14ac:dyDescent="0.2">
      <c r="A132" s="29"/>
      <c r="B132" s="29"/>
      <c r="C132" s="29" t="s">
        <v>939</v>
      </c>
      <c r="D132" s="521" t="s">
        <v>495</v>
      </c>
      <c r="E132" s="461" t="s">
        <v>41</v>
      </c>
      <c r="F132" s="463">
        <f>-'kontrola LD'!G396</f>
        <v>0</v>
      </c>
      <c r="G132" s="463">
        <f>-'kontrola LD'!H396</f>
        <v>0</v>
      </c>
      <c r="H132" s="464"/>
      <c r="I132" s="464"/>
    </row>
    <row r="133" spans="1:9" s="475" customFormat="1" ht="11.25" customHeight="1" x14ac:dyDescent="0.2">
      <c r="A133" s="29"/>
      <c r="B133" s="29"/>
      <c r="C133" s="29" t="s">
        <v>940</v>
      </c>
      <c r="D133" s="521" t="s">
        <v>1600</v>
      </c>
      <c r="E133" s="461" t="s">
        <v>1499</v>
      </c>
      <c r="F133" s="463">
        <f>-'kontrola LD'!G386-'kontrola LD'!G165</f>
        <v>0</v>
      </c>
      <c r="G133" s="463">
        <f>-'kontrola LD'!H386-'kontrola LD'!H165</f>
        <v>0</v>
      </c>
      <c r="H133" s="464"/>
      <c r="I133" s="464"/>
    </row>
    <row r="134" spans="1:9" s="475" customFormat="1" ht="11.25" customHeight="1" x14ac:dyDescent="0.2">
      <c r="A134" s="29"/>
      <c r="B134" s="29"/>
      <c r="C134" s="29" t="s">
        <v>936</v>
      </c>
      <c r="D134" s="521" t="s">
        <v>496</v>
      </c>
      <c r="E134" s="461" t="s">
        <v>274</v>
      </c>
      <c r="F134" s="463">
        <f>-'kontrola LD'!G383</f>
        <v>0</v>
      </c>
      <c r="G134" s="463">
        <f>-'kontrola LD'!H383</f>
        <v>0</v>
      </c>
      <c r="H134" s="464"/>
      <c r="I134" s="464"/>
    </row>
    <row r="135" spans="1:9" s="475" customFormat="1" ht="11.25" customHeight="1" x14ac:dyDescent="0.2">
      <c r="A135" s="29"/>
      <c r="B135" s="29"/>
      <c r="C135" s="29" t="s">
        <v>941</v>
      </c>
      <c r="D135" s="521" t="s">
        <v>1748</v>
      </c>
      <c r="E135" s="461" t="s">
        <v>276</v>
      </c>
      <c r="F135" s="463">
        <f>-'kontrola LD'!G278-'kontrola LD'!G295-'kontrola LD'!G283-'kontrola LD'!G303-'kontrola LD'!G389</f>
        <v>0</v>
      </c>
      <c r="G135" s="463">
        <f>-'kontrola LD'!H278-'kontrola LD'!H295-'kontrola LD'!H283-'kontrola LD'!H303-'kontrola LD'!H389</f>
        <v>0</v>
      </c>
      <c r="H135" s="464"/>
      <c r="I135" s="464"/>
    </row>
    <row r="136" spans="1:9" s="475" customFormat="1" ht="11.25" customHeight="1" x14ac:dyDescent="0.2">
      <c r="A136" s="29"/>
      <c r="B136" s="29"/>
      <c r="C136" s="29" t="s">
        <v>259</v>
      </c>
      <c r="D136" s="521" t="s">
        <v>99</v>
      </c>
      <c r="E136" s="461" t="s">
        <v>278</v>
      </c>
      <c r="F136" s="463">
        <f>-'kontrola LD'!G406</f>
        <v>0</v>
      </c>
      <c r="G136" s="463">
        <f>-'kontrola LD'!H406</f>
        <v>0</v>
      </c>
      <c r="H136" s="464"/>
      <c r="I136" s="464"/>
    </row>
    <row r="137" spans="1:9" s="475" customFormat="1" ht="11.25" customHeight="1" x14ac:dyDescent="0.2">
      <c r="A137" s="29"/>
      <c r="B137" s="29"/>
      <c r="C137" s="29"/>
      <c r="D137" s="521"/>
      <c r="E137" s="460"/>
      <c r="F137" s="464"/>
      <c r="G137" s="464"/>
      <c r="H137" s="464"/>
      <c r="I137" s="464"/>
    </row>
    <row r="138" spans="1:9" s="475" customFormat="1" ht="11.25" customHeight="1" x14ac:dyDescent="0.2">
      <c r="A138" s="24"/>
      <c r="B138" s="24" t="s">
        <v>279</v>
      </c>
      <c r="C138" s="24"/>
      <c r="D138" s="520" t="s">
        <v>1596</v>
      </c>
      <c r="E138" s="541" t="s">
        <v>2411</v>
      </c>
      <c r="F138" s="542">
        <f>F139+F140+F141+F142+F143+F144+F145+F146+F147</f>
        <v>8627.0399999999991</v>
      </c>
      <c r="G138" s="542">
        <f>G139+G140+G141+G142+G143+G144+G145+G146+G147</f>
        <v>0</v>
      </c>
      <c r="H138" s="467"/>
      <c r="I138" s="467"/>
    </row>
    <row r="139" spans="1:9" s="475" customFormat="1" ht="11.25" customHeight="1" x14ac:dyDescent="0.2">
      <c r="A139" s="29"/>
      <c r="B139" s="29"/>
      <c r="C139" s="29" t="s">
        <v>935</v>
      </c>
      <c r="D139" s="521" t="s">
        <v>100</v>
      </c>
      <c r="E139" s="461" t="s">
        <v>2412</v>
      </c>
      <c r="F139" s="463">
        <f>-'kontrola LD'!G206-'kontrola LD'!G207-'kontrola LD'!G211-'kontrola LD'!G212-'kontrola LD'!G391-'kontrola LD'!G395-'kontrola LD'!G399</f>
        <v>29.839999999999918</v>
      </c>
      <c r="G139" s="463">
        <f>-'kontrola LD'!H206-'kontrola LD'!H207-'kontrola LD'!H211-'kontrola LD'!H212-'kontrola LD'!H391-'kontrola LD'!H395-'kontrola LD'!H399</f>
        <v>0</v>
      </c>
      <c r="H139" s="464"/>
      <c r="I139" s="464"/>
    </row>
    <row r="140" spans="1:9" s="475" customFormat="1" ht="11.25" customHeight="1" x14ac:dyDescent="0.2">
      <c r="A140" s="29"/>
      <c r="B140" s="29"/>
      <c r="C140" s="29" t="s">
        <v>937</v>
      </c>
      <c r="D140" s="521" t="s">
        <v>1939</v>
      </c>
      <c r="E140" s="461" t="s">
        <v>2413</v>
      </c>
      <c r="F140" s="463">
        <f>-'kontrola LD'!G213</f>
        <v>0</v>
      </c>
      <c r="G140" s="463">
        <f>-'kontrola LD'!H213</f>
        <v>0</v>
      </c>
      <c r="H140" s="464"/>
      <c r="I140" s="464"/>
    </row>
    <row r="141" spans="1:9" s="475" customFormat="1" ht="11.25" customHeight="1" x14ac:dyDescent="0.2">
      <c r="A141" s="29"/>
      <c r="B141" s="29"/>
      <c r="C141" s="29" t="s">
        <v>938</v>
      </c>
      <c r="D141" s="521" t="s">
        <v>1964</v>
      </c>
      <c r="E141" s="461" t="s">
        <v>281</v>
      </c>
      <c r="F141" s="463">
        <f>-'kontrola LD'!G264-'kontrola LD'!G379</f>
        <v>0</v>
      </c>
      <c r="G141" s="463">
        <f>-'kontrola LD'!H264-'kontrola LD'!H379</f>
        <v>0</v>
      </c>
      <c r="H141" s="464"/>
      <c r="I141" s="464"/>
    </row>
    <row r="142" spans="1:9" s="475" customFormat="1" ht="11.25" customHeight="1" x14ac:dyDescent="0.2">
      <c r="A142" s="29"/>
      <c r="B142" s="29"/>
      <c r="C142" s="29" t="s">
        <v>432</v>
      </c>
      <c r="D142" s="521" t="s">
        <v>101</v>
      </c>
      <c r="E142" s="461" t="s">
        <v>989</v>
      </c>
      <c r="F142" s="463">
        <f>-'kontrola LD'!G265-'kontrola LD'!G380</f>
        <v>0</v>
      </c>
      <c r="G142" s="463">
        <f>-'kontrola LD'!H265-'kontrola LD'!H380</f>
        <v>0</v>
      </c>
      <c r="H142" s="464"/>
      <c r="I142" s="464"/>
    </row>
    <row r="143" spans="1:9" s="475" customFormat="1" ht="11.25" customHeight="1" x14ac:dyDescent="0.2">
      <c r="A143" s="29"/>
      <c r="B143" s="29"/>
      <c r="C143" s="29" t="s">
        <v>1089</v>
      </c>
      <c r="D143" s="521" t="s">
        <v>102</v>
      </c>
      <c r="E143" s="461" t="s">
        <v>2414</v>
      </c>
      <c r="F143" s="463">
        <f>-'kontrola LD'!G266-'kontrola LD'!G267-'kontrola LD'!G268-'kontrola LD'!G269-'kontrola LD'!G270-'kontrola LD'!G340-'kontrola LD'!G397-'kontrola LD'!G400</f>
        <v>1790</v>
      </c>
      <c r="G143" s="463">
        <f>-'kontrola LD'!H266-'kontrola LD'!H267-'kontrola LD'!H268-'kontrola LD'!H269-'kontrola LD'!H270-'kontrola LD'!H340-'kontrola LD'!H397-'kontrola LD'!H400</f>
        <v>0</v>
      </c>
      <c r="H143" s="464"/>
      <c r="I143" s="464"/>
    </row>
    <row r="144" spans="1:9" s="475" customFormat="1" ht="11.25" customHeight="1" x14ac:dyDescent="0.2">
      <c r="A144" s="29"/>
      <c r="B144" s="29"/>
      <c r="C144" s="29" t="s">
        <v>939</v>
      </c>
      <c r="D144" s="521" t="s">
        <v>2179</v>
      </c>
      <c r="E144" s="461" t="s">
        <v>2415</v>
      </c>
      <c r="F144" s="463">
        <f>-'kontrola LD'!G216-'kontrola LD'!G217</f>
        <v>0</v>
      </c>
      <c r="G144" s="463">
        <f>-'kontrola LD'!H216-'kontrola LD'!H217</f>
        <v>0</v>
      </c>
      <c r="H144" s="464"/>
      <c r="I144" s="464"/>
    </row>
    <row r="145" spans="1:9" s="475" customFormat="1" ht="11.25" customHeight="1" x14ac:dyDescent="0.2">
      <c r="A145" s="29"/>
      <c r="B145" s="29"/>
      <c r="C145" s="29" t="s">
        <v>940</v>
      </c>
      <c r="D145" s="521" t="s">
        <v>2180</v>
      </c>
      <c r="E145" s="461" t="s">
        <v>2416</v>
      </c>
      <c r="F145" s="463">
        <f>-'kontrola LD'!G223</f>
        <v>0</v>
      </c>
      <c r="G145" s="463">
        <f>-'kontrola LD'!H223</f>
        <v>0</v>
      </c>
      <c r="H145" s="464"/>
      <c r="I145" s="464"/>
    </row>
    <row r="146" spans="1:9" s="475" customFormat="1" ht="11.25" customHeight="1" x14ac:dyDescent="0.2">
      <c r="A146" s="29"/>
      <c r="B146" s="29"/>
      <c r="C146" s="29" t="s">
        <v>936</v>
      </c>
      <c r="D146" s="521" t="s">
        <v>408</v>
      </c>
      <c r="E146" s="461" t="s">
        <v>2417</v>
      </c>
      <c r="F146" s="463">
        <f>-'kontrola LD'!G228-'kontrola LD'!G231-'kontrola LD'!G234-'kontrola LD'!G237-'kontrola LD'!G240-'kontrola LD'!G243</f>
        <v>6807.2</v>
      </c>
      <c r="G146" s="463">
        <f>-'kontrola LD'!H228-'kontrola LD'!H231-'kontrola LD'!H234-'kontrola LD'!H237-'kontrola LD'!H240-'kontrola LD'!H243</f>
        <v>0</v>
      </c>
      <c r="H146" s="464"/>
      <c r="I146" s="464"/>
    </row>
    <row r="147" spans="1:9" s="475" customFormat="1" ht="11.25" customHeight="1" x14ac:dyDescent="0.2">
      <c r="A147" s="29"/>
      <c r="B147" s="29"/>
      <c r="C147" s="29" t="s">
        <v>941</v>
      </c>
      <c r="D147" s="521" t="s">
        <v>1550</v>
      </c>
      <c r="E147" s="461" t="s">
        <v>993</v>
      </c>
      <c r="F147" s="463">
        <f>-'kontrola LD'!G277-'kontrola LD'!G282-'kontrola LD'!G294-'kontrola LD'!G388-'kontrola LD'!G401-'kontrola LD'!G302</f>
        <v>0</v>
      </c>
      <c r="G147" s="463">
        <f>-'kontrola LD'!H277-'kontrola LD'!H282-'kontrola LD'!H294-'kontrola LD'!H388-'kontrola LD'!H401-'kontrola LD'!H302</f>
        <v>0</v>
      </c>
      <c r="H147" s="464"/>
      <c r="I147" s="464"/>
    </row>
    <row r="148" spans="1:9" s="475" customFormat="1" ht="11.25" customHeight="1" x14ac:dyDescent="0.2">
      <c r="A148" s="29"/>
      <c r="B148" s="29"/>
      <c r="C148" s="29"/>
      <c r="D148" s="521"/>
      <c r="E148" s="460"/>
      <c r="F148" s="464"/>
      <c r="G148" s="464"/>
      <c r="H148" s="464"/>
      <c r="I148" s="464"/>
    </row>
    <row r="149" spans="1:9" s="475" customFormat="1" ht="11.25" customHeight="1" x14ac:dyDescent="0.2">
      <c r="A149" s="24"/>
      <c r="B149" s="24" t="s">
        <v>1752</v>
      </c>
      <c r="C149" s="24"/>
      <c r="D149" s="520" t="s">
        <v>1597</v>
      </c>
      <c r="E149" s="541" t="s">
        <v>994</v>
      </c>
      <c r="F149" s="542">
        <f>F150+F151+F152</f>
        <v>0</v>
      </c>
      <c r="G149" s="542">
        <f>G150+G151+G152</f>
        <v>0</v>
      </c>
      <c r="H149" s="467"/>
      <c r="I149" s="467"/>
    </row>
    <row r="150" spans="1:9" s="475" customFormat="1" ht="11.25" customHeight="1" x14ac:dyDescent="0.2">
      <c r="A150" s="29"/>
      <c r="B150" s="29"/>
      <c r="C150" s="29" t="s">
        <v>935</v>
      </c>
      <c r="D150" s="521" t="s">
        <v>1551</v>
      </c>
      <c r="E150" s="461" t="s">
        <v>996</v>
      </c>
      <c r="F150" s="463">
        <f>-'kontrola LD'!G375</f>
        <v>0</v>
      </c>
      <c r="G150" s="463">
        <f>-'kontrola LD'!H375</f>
        <v>0</v>
      </c>
      <c r="H150" s="464"/>
      <c r="I150" s="464"/>
    </row>
    <row r="151" spans="1:9" s="475" customFormat="1" ht="11.25" customHeight="1" x14ac:dyDescent="0.2">
      <c r="A151" s="29"/>
      <c r="B151" s="29"/>
      <c r="C151" s="29" t="s">
        <v>937</v>
      </c>
      <c r="D151" s="521" t="s">
        <v>1552</v>
      </c>
      <c r="E151" s="461" t="s">
        <v>998</v>
      </c>
      <c r="F151" s="463">
        <f>-'kontrola LD'!G374-'kontrola LD'!G148-'kontrola LD'!G151-'kontrola LD'!G152</f>
        <v>0</v>
      </c>
      <c r="G151" s="463">
        <f>-'kontrola LD'!H374-'kontrola LD'!H148-'kontrola LD'!H151-'kontrola LD'!H152</f>
        <v>0</v>
      </c>
      <c r="H151" s="464"/>
      <c r="I151" s="464"/>
    </row>
    <row r="152" spans="1:9" s="475" customFormat="1" ht="11.25" customHeight="1" x14ac:dyDescent="0.2">
      <c r="A152" s="29"/>
      <c r="B152" s="29"/>
      <c r="C152" s="29" t="s">
        <v>938</v>
      </c>
      <c r="D152" s="521" t="s">
        <v>404</v>
      </c>
      <c r="E152" s="461" t="s">
        <v>1000</v>
      </c>
      <c r="F152" s="463">
        <f>-'kontrola LD'!G155-'kontrola LD'!G156-'kontrola LD'!G385-'kontrola LD'!G164</f>
        <v>0</v>
      </c>
      <c r="G152" s="463">
        <f>-'kontrola LD'!H155-'kontrola LD'!H156-'kontrola LD'!H385-'kontrola LD'!H164</f>
        <v>0</v>
      </c>
      <c r="H152" s="464"/>
      <c r="I152" s="464"/>
    </row>
    <row r="153" spans="1:9" s="475" customFormat="1" ht="11.25" customHeight="1" x14ac:dyDescent="0.2">
      <c r="A153" s="29"/>
      <c r="B153" s="29"/>
      <c r="C153" s="29"/>
      <c r="D153" s="521"/>
      <c r="E153" s="460"/>
      <c r="F153" s="464"/>
      <c r="G153" s="464"/>
      <c r="H153" s="464"/>
      <c r="I153" s="464"/>
    </row>
    <row r="154" spans="1:9" s="475" customFormat="1" ht="11.25" customHeight="1" x14ac:dyDescent="0.2">
      <c r="A154" s="24" t="s">
        <v>261</v>
      </c>
      <c r="B154" s="24"/>
      <c r="C154" s="24"/>
      <c r="D154" s="520" t="s">
        <v>1598</v>
      </c>
      <c r="E154" s="541" t="s">
        <v>1001</v>
      </c>
      <c r="F154" s="542">
        <f>F156+F157</f>
        <v>0</v>
      </c>
      <c r="G154" s="542">
        <f>G156+G157</f>
        <v>0</v>
      </c>
      <c r="H154" s="467"/>
      <c r="I154" s="467"/>
    </row>
    <row r="155" spans="1:9" s="475" customFormat="1" ht="11.25" customHeight="1" x14ac:dyDescent="0.2">
      <c r="A155" s="24"/>
      <c r="B155" s="24"/>
      <c r="C155" s="24"/>
      <c r="D155" s="521"/>
      <c r="E155" s="465"/>
      <c r="F155" s="467"/>
      <c r="G155" s="467"/>
      <c r="H155" s="467"/>
      <c r="I155" s="467"/>
    </row>
    <row r="156" spans="1:9" s="475" customFormat="1" ht="11.25" customHeight="1" x14ac:dyDescent="0.2">
      <c r="A156" s="29"/>
      <c r="B156" s="29"/>
      <c r="C156" s="29" t="s">
        <v>935</v>
      </c>
      <c r="D156" s="521" t="s">
        <v>405</v>
      </c>
      <c r="E156" s="461" t="s">
        <v>1002</v>
      </c>
      <c r="F156" s="463">
        <f>-'kontrola LD'!G312</f>
        <v>0</v>
      </c>
      <c r="G156" s="463">
        <f>-'kontrola LD'!H312</f>
        <v>0</v>
      </c>
      <c r="H156" s="464"/>
      <c r="I156" s="464"/>
    </row>
    <row r="157" spans="1:9" s="475" customFormat="1" ht="11.25" customHeight="1" x14ac:dyDescent="0.2">
      <c r="A157" s="29"/>
      <c r="B157" s="29"/>
      <c r="C157" s="29" t="s">
        <v>937</v>
      </c>
      <c r="D157" s="521" t="s">
        <v>406</v>
      </c>
      <c r="E157" s="461" t="s">
        <v>1003</v>
      </c>
      <c r="F157" s="463">
        <f>-'kontrola LD'!G315</f>
        <v>0</v>
      </c>
      <c r="G157" s="463">
        <f>-'kontrola LD'!H315</f>
        <v>0</v>
      </c>
      <c r="H157" s="464"/>
      <c r="I157" s="464"/>
    </row>
    <row r="158" spans="1:9" s="475" customFormat="1" ht="11.25" customHeight="1" x14ac:dyDescent="0.2">
      <c r="A158" s="29"/>
      <c r="B158" s="29"/>
      <c r="C158" s="29"/>
      <c r="D158" s="521"/>
      <c r="E158" s="460"/>
      <c r="F158" s="464"/>
      <c r="G158" s="464"/>
      <c r="H158" s="464"/>
      <c r="I158" s="464"/>
    </row>
    <row r="159" spans="1:9" s="475" customFormat="1" ht="11.25" customHeight="1" x14ac:dyDescent="0.2">
      <c r="A159" s="24"/>
      <c r="B159" s="24"/>
      <c r="C159" s="24"/>
      <c r="D159" s="520" t="s">
        <v>1599</v>
      </c>
      <c r="E159" s="541" t="s">
        <v>2466</v>
      </c>
      <c r="F159" s="542">
        <f>F91+F93+F95+F96+F97+F98+F100+F101+F102+F103+F104+F105+F106+F108+F109+F110+F111+F113+F114+F115+F117+F119+F121+F122+F123+F124+F126+F127+F128+F129+F130+F131+F132+F133+F134+F135+F136+F138+F139+F140+F141+F142+F143+F144+F145+F146+F147+F149+F150+F151+F152+F154+F156+F157</f>
        <v>37736.700000000004</v>
      </c>
      <c r="G159" s="542" t="e">
        <f>G91+G93+G95+G96+G97+G98+G100+G101+G102+G103+G104+G105+G106+G108+G109+G110+G111+G113+G114+G115+G117+G119+G121+G122+G123+G124+G126+G127+G128+G129+G130+G131+G132+G133+G134+G135+G136+G138+G139+G140+G141+G142+G143+G144+G145+G146+G147+G149+G150+G151+G152+G154+G156+G157</f>
        <v>#REF!</v>
      </c>
      <c r="H159" s="467"/>
      <c r="I159" s="467"/>
    </row>
    <row r="163" spans="4:9" x14ac:dyDescent="0.2">
      <c r="D163" s="505" t="s">
        <v>1563</v>
      </c>
      <c r="E163" s="526" t="e">
        <f>IF(AND(H164="OK",I164="OK",H165="OK",I165="OK"),"OK","ERROR")</f>
        <v>#REF!</v>
      </c>
      <c r="F163" s="506"/>
      <c r="G163" s="506"/>
    </row>
    <row r="164" spans="4:9" x14ac:dyDescent="0.2">
      <c r="D164" s="523" t="s">
        <v>1562</v>
      </c>
      <c r="E164" s="524"/>
      <c r="F164" s="525">
        <f>H8-F91</f>
        <v>0</v>
      </c>
      <c r="G164" s="525" t="e">
        <f>I8-G91</f>
        <v>#REF!</v>
      </c>
      <c r="H164" s="524" t="str">
        <f>IF(AND(F164&lt;0.1,F164&gt;-0.1),"OK","E")</f>
        <v>OK</v>
      </c>
      <c r="I164" s="524" t="e">
        <f>IF(AND(G164&lt;0.1,G164&gt;-0.1),"OK","E")</f>
        <v>#REF!</v>
      </c>
    </row>
    <row r="165" spans="4:9" x14ac:dyDescent="0.2">
      <c r="D165" s="523" t="s">
        <v>6</v>
      </c>
      <c r="E165" s="524"/>
      <c r="F165" s="525">
        <f>SUM('kontrola LD'!G415:G539)+F117</f>
        <v>1381.7700000000018</v>
      </c>
      <c r="G165" s="525" t="e">
        <f>SUM('kontrola LD'!H415:H539)+G117</f>
        <v>#REF!</v>
      </c>
      <c r="H165" s="524" t="str">
        <f>IF(AND(F165&lt;0.1,F165&gt;-0.1),"OK","E")</f>
        <v>E</v>
      </c>
      <c r="I165" s="524" t="e">
        <f>IF(AND(G165&lt;0.1,G165&gt;-0.1),"OK","E")</f>
        <v>#REF!</v>
      </c>
    </row>
  </sheetData>
  <sheetProtection selectLockedCells="1" selectUnlockedCells="1"/>
  <phoneticPr fontId="7" type="noConversion"/>
  <pageMargins left="0.25" right="0.23" top="0.5" bottom="0.32" header="0.5" footer="0.28000000000000003"/>
  <pageSetup paperSize="9" scale="77" orientation="portrait" r:id="rId1"/>
  <headerFooter alignWithMargins="0"/>
  <rowBreaks count="1" manualBreakCount="1">
    <brk id="8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indexed="34"/>
  </sheetPr>
  <dimension ref="A1:N86"/>
  <sheetViews>
    <sheetView workbookViewId="0"/>
  </sheetViews>
  <sheetFormatPr defaultColWidth="9.109375" defaultRowHeight="10.199999999999999" x14ac:dyDescent="0.2"/>
  <cols>
    <col min="1" max="1" width="2.44140625" style="32" customWidth="1"/>
    <col min="2" max="2" width="4.44140625" style="18" customWidth="1"/>
    <col min="3" max="3" width="3.109375" style="18" customWidth="1"/>
    <col min="4" max="4" width="4.5546875" style="18" customWidth="1"/>
    <col min="5" max="5" width="52.5546875" style="15" bestFit="1" customWidth="1"/>
    <col min="6" max="6" width="5.109375" style="456" customWidth="1"/>
    <col min="7" max="7" width="12.44140625" style="456" customWidth="1"/>
    <col min="8" max="8" width="11.6640625" style="456" bestFit="1" customWidth="1"/>
    <col min="9" max="16384" width="9.109375" style="456"/>
  </cols>
  <sheetData>
    <row r="1" spans="1:9" ht="17.399999999999999" x14ac:dyDescent="0.3">
      <c r="B1" s="13"/>
      <c r="C1" s="13"/>
      <c r="E1" s="78" t="s">
        <v>1559</v>
      </c>
    </row>
    <row r="2" spans="1:9" ht="15.6" x14ac:dyDescent="0.3">
      <c r="B2" s="13"/>
      <c r="C2" s="13"/>
      <c r="D2" s="13"/>
      <c r="E2" s="64" t="e">
        <f>'BS-SK format'!D2</f>
        <v>#REF!</v>
      </c>
    </row>
    <row r="3" spans="1:9" x14ac:dyDescent="0.2">
      <c r="A3" s="19"/>
      <c r="B3" s="13"/>
      <c r="C3" s="13"/>
      <c r="D3" s="13"/>
      <c r="E3" s="77" t="e">
        <f>'BS-SK format'!D3</f>
        <v>#REF!</v>
      </c>
    </row>
    <row r="4" spans="1:9" s="15" customFormat="1" x14ac:dyDescent="0.2">
      <c r="A4" s="32"/>
      <c r="B4" s="18"/>
      <c r="C4" s="18"/>
      <c r="D4" s="13"/>
      <c r="F4" s="457" t="s">
        <v>2306</v>
      </c>
      <c r="G4" s="458" t="s">
        <v>585</v>
      </c>
      <c r="H4" s="457" t="s">
        <v>586</v>
      </c>
    </row>
    <row r="5" spans="1:9" s="15" customFormat="1" x14ac:dyDescent="0.2">
      <c r="A5" s="32"/>
      <c r="B5" s="18"/>
      <c r="C5" s="18"/>
      <c r="D5" s="18"/>
      <c r="F5" s="457"/>
      <c r="G5" s="457" t="s">
        <v>17</v>
      </c>
      <c r="H5" s="457" t="s">
        <v>17</v>
      </c>
    </row>
    <row r="6" spans="1:9" x14ac:dyDescent="0.2">
      <c r="F6" s="459"/>
      <c r="G6" s="459"/>
      <c r="H6" s="459"/>
      <c r="I6" s="468"/>
    </row>
    <row r="7" spans="1:9" ht="11.25" customHeight="1" x14ac:dyDescent="0.2">
      <c r="A7" s="30"/>
      <c r="B7" s="29" t="s">
        <v>2155</v>
      </c>
      <c r="C7" s="29"/>
      <c r="E7" s="39" t="s">
        <v>268</v>
      </c>
      <c r="F7" s="461" t="s">
        <v>2211</v>
      </c>
      <c r="G7" s="462">
        <f>-'kontrola LD'!G492</f>
        <v>0</v>
      </c>
      <c r="H7" s="462">
        <f>-'kontrola LD'!H492</f>
        <v>0</v>
      </c>
      <c r="I7" s="468"/>
    </row>
    <row r="8" spans="1:9" ht="11.25" customHeight="1" x14ac:dyDescent="0.2">
      <c r="A8" s="29" t="s">
        <v>697</v>
      </c>
      <c r="E8" s="39" t="s">
        <v>2352</v>
      </c>
      <c r="F8" s="461" t="s">
        <v>2212</v>
      </c>
      <c r="G8" s="463">
        <f>'kontrola LD'!G418+'kontrola LD'!G420</f>
        <v>0</v>
      </c>
      <c r="H8" s="463">
        <f>'kontrola LD'!H418+'kontrola LD'!H420</f>
        <v>0</v>
      </c>
      <c r="I8" s="468"/>
    </row>
    <row r="9" spans="1:9" ht="11.25" customHeight="1" x14ac:dyDescent="0.2">
      <c r="A9" s="29"/>
      <c r="E9" s="38"/>
      <c r="F9" s="460"/>
      <c r="G9" s="464"/>
      <c r="H9" s="464"/>
      <c r="I9" s="468"/>
    </row>
    <row r="10" spans="1:9" x14ac:dyDescent="0.2">
      <c r="C10" s="24" t="s">
        <v>1757</v>
      </c>
      <c r="E10" s="40" t="s">
        <v>587</v>
      </c>
      <c r="F10" s="541" t="s">
        <v>2213</v>
      </c>
      <c r="G10" s="542">
        <f>G7-G8</f>
        <v>0</v>
      </c>
      <c r="H10" s="542">
        <f>H7-H8</f>
        <v>0</v>
      </c>
      <c r="I10" s="468"/>
    </row>
    <row r="11" spans="1:9" x14ac:dyDescent="0.2">
      <c r="C11" s="24"/>
      <c r="E11" s="40"/>
      <c r="F11" s="465"/>
      <c r="G11" s="467"/>
      <c r="H11" s="467"/>
      <c r="I11" s="468"/>
    </row>
    <row r="12" spans="1:9" x14ac:dyDescent="0.2">
      <c r="B12" s="24" t="s">
        <v>2156</v>
      </c>
      <c r="C12" s="24"/>
      <c r="E12" s="40" t="s">
        <v>2284</v>
      </c>
      <c r="F12" s="541" t="s">
        <v>2214</v>
      </c>
      <c r="G12" s="542">
        <f>G13+G14+G15</f>
        <v>0</v>
      </c>
      <c r="H12" s="542">
        <f>H13+H14+H15</f>
        <v>0</v>
      </c>
      <c r="I12" s="468"/>
    </row>
    <row r="13" spans="1:9" x14ac:dyDescent="0.2">
      <c r="B13" s="15"/>
      <c r="D13" s="18">
        <v>1</v>
      </c>
      <c r="E13" s="39" t="s">
        <v>1819</v>
      </c>
      <c r="F13" s="461" t="s">
        <v>442</v>
      </c>
      <c r="G13" s="463">
        <f>-'kontrola LD'!G490-'kontrola LD'!G491</f>
        <v>0</v>
      </c>
      <c r="H13" s="463">
        <f>-'kontrola LD'!H490-'kontrola LD'!H491</f>
        <v>0</v>
      </c>
      <c r="I13" s="468"/>
    </row>
    <row r="14" spans="1:9" x14ac:dyDescent="0.2">
      <c r="B14" s="15"/>
      <c r="D14" s="18">
        <v>2</v>
      </c>
      <c r="E14" s="39" t="s">
        <v>1820</v>
      </c>
      <c r="F14" s="461" t="s">
        <v>443</v>
      </c>
      <c r="G14" s="463">
        <f>-'kontrola LD'!G497-'kontrola LD'!G498-'kontrola LD'!G499-'kontrola LD'!G500</f>
        <v>0</v>
      </c>
      <c r="H14" s="463">
        <f>-'kontrola LD'!H497-'kontrola LD'!H498-'kontrola LD'!H499-'kontrola LD'!H500</f>
        <v>0</v>
      </c>
      <c r="I14" s="468"/>
    </row>
    <row r="15" spans="1:9" x14ac:dyDescent="0.2">
      <c r="B15" s="15"/>
      <c r="D15" s="18">
        <v>3</v>
      </c>
      <c r="E15" s="39" t="s">
        <v>1821</v>
      </c>
      <c r="F15" s="461" t="s">
        <v>444</v>
      </c>
      <c r="G15" s="463">
        <f>-'kontrola LD'!G503-'kontrola LD'!G504-'kontrola LD'!G505-'kontrola LD'!G506</f>
        <v>0</v>
      </c>
      <c r="H15" s="463">
        <f>-'kontrola LD'!H503-'kontrola LD'!H504-'kontrola LD'!H505-'kontrola LD'!H506</f>
        <v>0</v>
      </c>
      <c r="I15" s="468"/>
    </row>
    <row r="16" spans="1:9" x14ac:dyDescent="0.2">
      <c r="B16" s="15"/>
      <c r="E16" s="39"/>
      <c r="F16" s="460"/>
      <c r="G16" s="464"/>
      <c r="H16" s="464"/>
      <c r="I16" s="468"/>
    </row>
    <row r="17" spans="1:11" x14ac:dyDescent="0.2">
      <c r="A17" s="24" t="s">
        <v>698</v>
      </c>
      <c r="D17" s="15"/>
      <c r="E17" s="40" t="s">
        <v>1822</v>
      </c>
      <c r="F17" s="541" t="s">
        <v>445</v>
      </c>
      <c r="G17" s="542">
        <f>G18+G19</f>
        <v>408.59</v>
      </c>
      <c r="H17" s="542">
        <f>H18+H19</f>
        <v>0</v>
      </c>
      <c r="I17" s="468"/>
    </row>
    <row r="18" spans="1:11" x14ac:dyDescent="0.2">
      <c r="B18" s="15"/>
      <c r="D18" s="18">
        <v>1</v>
      </c>
      <c r="E18" s="39" t="s">
        <v>2353</v>
      </c>
      <c r="F18" s="461" t="s">
        <v>258</v>
      </c>
      <c r="G18" s="463">
        <f>'kontrola LD'!G415+'kontrola LD'!G416+'kontrola LD'!G417+'kontrola LD'!G421</f>
        <v>6.75</v>
      </c>
      <c r="H18" s="463">
        <f>'kontrola LD'!H415+'kontrola LD'!H416+'kontrola LD'!H417+'kontrola LD'!H421</f>
        <v>0</v>
      </c>
      <c r="I18" s="468"/>
    </row>
    <row r="19" spans="1:11" x14ac:dyDescent="0.2">
      <c r="B19" s="15"/>
      <c r="D19" s="18">
        <v>2</v>
      </c>
      <c r="E19" s="39" t="s">
        <v>592</v>
      </c>
      <c r="F19" s="461" t="s">
        <v>259</v>
      </c>
      <c r="G19" s="463">
        <f>'kontrola LD'!G425+'kontrola LD'!G426+'kontrola LD'!G427+'kontrola LD'!G428</f>
        <v>401.84</v>
      </c>
      <c r="H19" s="463">
        <f>'kontrola LD'!H425+'kontrola LD'!H426+'kontrola LD'!H427+'kontrola LD'!H428</f>
        <v>0</v>
      </c>
      <c r="I19" s="468"/>
    </row>
    <row r="20" spans="1:11" x14ac:dyDescent="0.2">
      <c r="B20" s="15"/>
      <c r="E20" s="39"/>
      <c r="F20" s="460"/>
      <c r="G20" s="464"/>
      <c r="H20" s="464"/>
      <c r="I20" s="468"/>
    </row>
    <row r="21" spans="1:11" x14ac:dyDescent="0.2">
      <c r="C21" s="24" t="s">
        <v>1757</v>
      </c>
      <c r="D21" s="24"/>
      <c r="E21" s="40" t="s">
        <v>593</v>
      </c>
      <c r="F21" s="541" t="s">
        <v>260</v>
      </c>
      <c r="G21" s="542">
        <f>G10+G12-G17</f>
        <v>-408.59</v>
      </c>
      <c r="H21" s="542">
        <f>H10+H12-H17</f>
        <v>0</v>
      </c>
      <c r="I21" s="468"/>
    </row>
    <row r="22" spans="1:11" x14ac:dyDescent="0.2">
      <c r="C22" s="24"/>
      <c r="D22" s="24"/>
      <c r="E22" s="40"/>
      <c r="F22" s="465"/>
      <c r="G22" s="467"/>
      <c r="H22" s="467"/>
      <c r="I22" s="468"/>
    </row>
    <row r="23" spans="1:11" x14ac:dyDescent="0.2">
      <c r="A23" s="24" t="s">
        <v>568</v>
      </c>
      <c r="D23" s="15"/>
      <c r="E23" s="40" t="s">
        <v>594</v>
      </c>
      <c r="F23" s="543" t="s">
        <v>1739</v>
      </c>
      <c r="G23" s="544">
        <f>G24+G25+G26+G27</f>
        <v>0</v>
      </c>
      <c r="H23" s="544">
        <f>H24+H25+H26+H27</f>
        <v>0</v>
      </c>
      <c r="I23" s="468"/>
    </row>
    <row r="24" spans="1:11" x14ac:dyDescent="0.2">
      <c r="B24" s="15"/>
      <c r="D24" s="18">
        <v>1</v>
      </c>
      <c r="E24" s="39" t="s">
        <v>2149</v>
      </c>
      <c r="F24" s="461" t="s">
        <v>1740</v>
      </c>
      <c r="G24" s="463">
        <f>'kontrola LD'!G431+'kontrola LD'!G432</f>
        <v>0</v>
      </c>
      <c r="H24" s="463">
        <f>'kontrola LD'!H431+'kontrola LD'!H432</f>
        <v>0</v>
      </c>
      <c r="I24" s="468"/>
    </row>
    <row r="25" spans="1:11" x14ac:dyDescent="0.2">
      <c r="B25" s="15"/>
      <c r="D25" s="18">
        <v>2</v>
      </c>
      <c r="E25" s="39" t="s">
        <v>306</v>
      </c>
      <c r="F25" s="461" t="s">
        <v>1741</v>
      </c>
      <c r="G25" s="463">
        <f>'kontrola LD'!G433</f>
        <v>0</v>
      </c>
      <c r="H25" s="463">
        <f>'kontrola LD'!H433</f>
        <v>0</v>
      </c>
      <c r="I25" s="468"/>
    </row>
    <row r="26" spans="1:11" x14ac:dyDescent="0.2">
      <c r="B26" s="15"/>
      <c r="D26" s="18">
        <v>3</v>
      </c>
      <c r="E26" s="39" t="s">
        <v>2322</v>
      </c>
      <c r="F26" s="461" t="s">
        <v>1742</v>
      </c>
      <c r="G26" s="463">
        <f>'kontrola LD'!G434+'kontrola LD'!G435+'kontrola LD'!G436</f>
        <v>0</v>
      </c>
      <c r="H26" s="463">
        <f>'kontrola LD'!H434+'kontrola LD'!H435+'kontrola LD'!H436</f>
        <v>0</v>
      </c>
      <c r="I26" s="468"/>
    </row>
    <row r="27" spans="1:11" x14ac:dyDescent="0.2">
      <c r="B27" s="15"/>
      <c r="D27" s="18">
        <v>4</v>
      </c>
      <c r="E27" s="39" t="s">
        <v>2323</v>
      </c>
      <c r="F27" s="461" t="s">
        <v>171</v>
      </c>
      <c r="G27" s="463">
        <f>'kontrola LD'!G437+'kontrola LD'!G438</f>
        <v>0</v>
      </c>
      <c r="H27" s="463">
        <f>'kontrola LD'!H437+'kontrola LD'!H438</f>
        <v>0</v>
      </c>
      <c r="I27" s="468"/>
    </row>
    <row r="28" spans="1:11" x14ac:dyDescent="0.2">
      <c r="A28" s="18" t="s">
        <v>16</v>
      </c>
      <c r="D28" s="29"/>
      <c r="E28" s="39" t="s">
        <v>2324</v>
      </c>
      <c r="F28" s="461" t="s">
        <v>172</v>
      </c>
      <c r="G28" s="463">
        <f>'kontrola LD'!G441+'kontrola LD'!G442+'kontrola LD'!G443</f>
        <v>0</v>
      </c>
      <c r="H28" s="463">
        <f>'kontrola LD'!H441+'kontrola LD'!H442+'kontrola LD'!H443</f>
        <v>0</v>
      </c>
      <c r="I28" s="468"/>
    </row>
    <row r="29" spans="1:11" x14ac:dyDescent="0.2">
      <c r="A29" s="18" t="s">
        <v>891</v>
      </c>
      <c r="D29" s="29"/>
      <c r="E29" s="39" t="s">
        <v>481</v>
      </c>
      <c r="F29" s="461" t="s">
        <v>173</v>
      </c>
      <c r="G29" s="463">
        <f>'kontrola LD'!G457+'kontrola LD'!G458</f>
        <v>0</v>
      </c>
      <c r="H29" s="463">
        <f>'kontrola LD'!H457+'kontrola LD'!H458</f>
        <v>0</v>
      </c>
      <c r="I29" s="468"/>
    </row>
    <row r="30" spans="1:11" x14ac:dyDescent="0.2">
      <c r="B30" s="29" t="s">
        <v>892</v>
      </c>
      <c r="D30" s="29"/>
      <c r="E30" s="39" t="s">
        <v>1130</v>
      </c>
      <c r="F30" s="461" t="s">
        <v>1106</v>
      </c>
      <c r="G30" s="463">
        <f>-'kontrola LD'!G509-'kontrola LD'!G510</f>
        <v>0</v>
      </c>
      <c r="H30" s="463">
        <f>-'kontrola LD'!H509-'kontrola LD'!H510</f>
        <v>0</v>
      </c>
      <c r="I30" s="468"/>
    </row>
    <row r="31" spans="1:11" x14ac:dyDescent="0.2">
      <c r="A31" s="29" t="s">
        <v>893</v>
      </c>
      <c r="D31" s="15"/>
      <c r="E31" s="39" t="s">
        <v>1131</v>
      </c>
      <c r="F31" s="461" t="s">
        <v>1107</v>
      </c>
      <c r="G31" s="463">
        <f>'kontrola LD'!G446+'kontrola LD'!G447</f>
        <v>0</v>
      </c>
      <c r="H31" s="463">
        <f>'kontrola LD'!H446+'kontrola LD'!H447</f>
        <v>0</v>
      </c>
      <c r="I31" s="468"/>
    </row>
    <row r="32" spans="1:11" x14ac:dyDescent="0.2">
      <c r="B32" s="29" t="s">
        <v>894</v>
      </c>
      <c r="D32" s="15"/>
      <c r="E32" s="86" t="s">
        <v>482</v>
      </c>
      <c r="F32" s="461" t="s">
        <v>1108</v>
      </c>
      <c r="G32" s="463">
        <f>-'kontrola LD'!G511-'kontrola LD'!G512-'kontrola LD'!G513-'kontrola LD'!G514-'kontrola LD'!G518-'kontrola LD'!G517</f>
        <v>0</v>
      </c>
      <c r="H32" s="463">
        <f>-'kontrola LD'!H511-'kontrola LD'!H512-'kontrola LD'!H513-'kontrola LD'!H514-'kontrola LD'!H518-'kontrola LD'!H517</f>
        <v>0</v>
      </c>
      <c r="I32" s="468"/>
      <c r="J32" s="468"/>
      <c r="K32" s="468"/>
    </row>
    <row r="33" spans="1:14" x14ac:dyDescent="0.2">
      <c r="A33" s="29" t="s">
        <v>895</v>
      </c>
      <c r="D33" s="15"/>
      <c r="E33" s="86" t="s">
        <v>483</v>
      </c>
      <c r="F33" s="461" t="s">
        <v>339</v>
      </c>
      <c r="G33" s="463">
        <f>'kontrola LD'!G448+'kontrola LD'!G449+'kontrola LD'!G450+'kontrola LD'!G451+'kontrola LD'!G452+'kontrola LD'!G453+'kontrola LD'!G454+'kontrola LD'!G460+'kontrola LD'!G459</f>
        <v>20</v>
      </c>
      <c r="H33" s="463">
        <f>'kontrola LD'!H448+'kontrola LD'!H449+'kontrola LD'!H450+'kontrola LD'!H451+'kontrola LD'!H452+'kontrola LD'!H453+'kontrola LD'!H454+'kontrola LD'!H460+'kontrola LD'!H459</f>
        <v>0</v>
      </c>
      <c r="I33" s="468"/>
      <c r="J33" s="468"/>
      <c r="K33" s="468"/>
    </row>
    <row r="34" spans="1:14" x14ac:dyDescent="0.2">
      <c r="B34" s="29" t="s">
        <v>896</v>
      </c>
      <c r="D34" s="15"/>
      <c r="E34" s="39" t="s">
        <v>1132</v>
      </c>
      <c r="F34" s="461" t="s">
        <v>340</v>
      </c>
      <c r="G34" s="463">
        <f>('kontrola LD'!G538)</f>
        <v>0</v>
      </c>
      <c r="H34" s="463">
        <f>('kontrola LD'!H538)</f>
        <v>0</v>
      </c>
      <c r="I34" s="468"/>
      <c r="J34" s="468"/>
      <c r="K34" s="468"/>
    </row>
    <row r="35" spans="1:14" x14ac:dyDescent="0.2">
      <c r="A35" s="29" t="s">
        <v>897</v>
      </c>
      <c r="D35" s="15"/>
      <c r="E35" s="39" t="s">
        <v>1133</v>
      </c>
      <c r="F35" s="461" t="s">
        <v>341</v>
      </c>
      <c r="G35" s="463">
        <f>-'kontrola LD'!G484</f>
        <v>0</v>
      </c>
      <c r="H35" s="463">
        <f>-'kontrola LD'!H484</f>
        <v>0</v>
      </c>
      <c r="I35" s="468"/>
      <c r="J35" s="468"/>
      <c r="K35" s="468"/>
    </row>
    <row r="36" spans="1:14" x14ac:dyDescent="0.2">
      <c r="A36" s="29"/>
      <c r="E36" s="39"/>
      <c r="F36" s="488"/>
      <c r="G36" s="489"/>
      <c r="H36" s="489"/>
      <c r="I36" s="468"/>
      <c r="J36" s="468"/>
      <c r="K36" s="468"/>
    </row>
    <row r="37" spans="1:14" x14ac:dyDescent="0.2">
      <c r="C37" s="24" t="s">
        <v>901</v>
      </c>
      <c r="E37" s="45" t="s">
        <v>484</v>
      </c>
      <c r="F37" s="541" t="s">
        <v>342</v>
      </c>
      <c r="G37" s="542">
        <f>G21-G23-G28-G29+G30-G31+G32-G33+(-G34)-(-G35)</f>
        <v>-428.59</v>
      </c>
      <c r="H37" s="542">
        <f>H21-H23-H28-H29+H30-H31+H32-H33+(-H34)-(-H35)</f>
        <v>0</v>
      </c>
      <c r="I37" s="468"/>
      <c r="J37" s="468"/>
      <c r="K37" s="468"/>
      <c r="L37" s="468"/>
      <c r="M37" s="468"/>
      <c r="N37" s="468"/>
    </row>
    <row r="38" spans="1:14" x14ac:dyDescent="0.2">
      <c r="C38" s="24"/>
      <c r="E38" s="41"/>
      <c r="F38" s="465"/>
      <c r="G38" s="467"/>
      <c r="H38" s="467"/>
      <c r="I38" s="468"/>
      <c r="J38" s="468"/>
      <c r="K38" s="468"/>
    </row>
    <row r="39" spans="1:14" x14ac:dyDescent="0.2">
      <c r="B39" s="29" t="s">
        <v>898</v>
      </c>
      <c r="E39" s="39" t="s">
        <v>269</v>
      </c>
      <c r="F39" s="469">
        <v>26</v>
      </c>
      <c r="G39" s="463">
        <f>-'kontrola LD'!G521</f>
        <v>0</v>
      </c>
      <c r="H39" s="463">
        <f>-'kontrola LD'!H521</f>
        <v>0</v>
      </c>
      <c r="I39" s="468"/>
      <c r="J39" s="468"/>
      <c r="K39" s="468"/>
    </row>
    <row r="40" spans="1:14" x14ac:dyDescent="0.2">
      <c r="A40" s="29" t="s">
        <v>2155</v>
      </c>
      <c r="E40" s="39" t="s">
        <v>588</v>
      </c>
      <c r="F40" s="469">
        <v>27</v>
      </c>
      <c r="G40" s="463">
        <f>'kontrola LD'!G463</f>
        <v>0</v>
      </c>
      <c r="H40" s="463">
        <f>'kontrola LD'!H463</f>
        <v>0</v>
      </c>
      <c r="I40" s="468"/>
      <c r="J40" s="468"/>
      <c r="K40" s="468"/>
    </row>
    <row r="41" spans="1:14" x14ac:dyDescent="0.2">
      <c r="A41" s="29"/>
      <c r="E41" s="39"/>
      <c r="F41" s="470"/>
      <c r="G41" s="464"/>
      <c r="H41" s="464"/>
      <c r="I41" s="468"/>
      <c r="J41" s="468"/>
      <c r="K41" s="468"/>
    </row>
    <row r="42" spans="1:14" x14ac:dyDescent="0.2">
      <c r="B42" s="24" t="s">
        <v>899</v>
      </c>
      <c r="E42" s="40" t="s">
        <v>485</v>
      </c>
      <c r="F42" s="545">
        <v>28</v>
      </c>
      <c r="G42" s="544">
        <f>G43+G44+G45</f>
        <v>0</v>
      </c>
      <c r="H42" s="544">
        <f>H43+H44+H45</f>
        <v>0</v>
      </c>
      <c r="I42" s="468"/>
      <c r="J42" s="468"/>
      <c r="K42" s="468"/>
    </row>
    <row r="43" spans="1:14" x14ac:dyDescent="0.2">
      <c r="D43" s="29" t="s">
        <v>2635</v>
      </c>
      <c r="E43" s="39" t="s">
        <v>11</v>
      </c>
      <c r="F43" s="469">
        <v>29</v>
      </c>
      <c r="G43" s="463">
        <f>-'kontrola LD'!G526</f>
        <v>0</v>
      </c>
      <c r="H43" s="463">
        <f>-'kontrola LD'!H526</f>
        <v>0</v>
      </c>
      <c r="I43" s="468"/>
      <c r="J43" s="468"/>
      <c r="K43" s="468"/>
    </row>
    <row r="44" spans="1:14" x14ac:dyDescent="0.2">
      <c r="D44" s="29" t="s">
        <v>937</v>
      </c>
      <c r="E44" s="39" t="s">
        <v>12</v>
      </c>
      <c r="F44" s="469">
        <v>30</v>
      </c>
      <c r="G44" s="463">
        <f>-'kontrola LD'!G527</f>
        <v>0</v>
      </c>
      <c r="H44" s="463">
        <f>-'kontrola LD'!H527</f>
        <v>0</v>
      </c>
      <c r="I44" s="468"/>
      <c r="J44" s="468"/>
      <c r="K44" s="468"/>
    </row>
    <row r="45" spans="1:14" x14ac:dyDescent="0.2">
      <c r="D45" s="29" t="s">
        <v>938</v>
      </c>
      <c r="E45" s="39" t="s">
        <v>270</v>
      </c>
      <c r="F45" s="469">
        <v>31</v>
      </c>
      <c r="G45" s="463">
        <f>-'kontrola LD'!G528</f>
        <v>0</v>
      </c>
      <c r="H45" s="463">
        <f>-'kontrola LD'!H528</f>
        <v>0</v>
      </c>
      <c r="I45" s="468"/>
      <c r="J45" s="468"/>
      <c r="K45" s="468"/>
    </row>
    <row r="46" spans="1:14" x14ac:dyDescent="0.2">
      <c r="B46" s="29" t="s">
        <v>2080</v>
      </c>
      <c r="E46" s="39" t="s">
        <v>13</v>
      </c>
      <c r="F46" s="469">
        <v>32</v>
      </c>
      <c r="G46" s="463">
        <f>-'kontrola LD'!G529</f>
        <v>0</v>
      </c>
      <c r="H46" s="463">
        <f>-'kontrola LD'!H529</f>
        <v>0</v>
      </c>
      <c r="I46" s="468"/>
      <c r="J46" s="468"/>
      <c r="K46" s="468"/>
    </row>
    <row r="47" spans="1:14" x14ac:dyDescent="0.2">
      <c r="A47" s="29" t="s">
        <v>900</v>
      </c>
      <c r="E47" s="39" t="s">
        <v>14</v>
      </c>
      <c r="F47" s="469">
        <v>33</v>
      </c>
      <c r="G47" s="463">
        <f>'kontrola LD'!G468</f>
        <v>0</v>
      </c>
      <c r="H47" s="463">
        <f>'kontrola LD'!H468</f>
        <v>0</v>
      </c>
      <c r="I47" s="468"/>
      <c r="J47" s="468"/>
      <c r="K47" s="468"/>
    </row>
    <row r="48" spans="1:14" ht="20.399999999999999" x14ac:dyDescent="0.2">
      <c r="B48" s="29" t="s">
        <v>2082</v>
      </c>
      <c r="E48" s="31" t="s">
        <v>871</v>
      </c>
      <c r="F48" s="469">
        <v>34</v>
      </c>
      <c r="G48" s="463">
        <f>-'kontrola LD'!G524-'kontrola LD'!G530</f>
        <v>0</v>
      </c>
      <c r="H48" s="463">
        <f>-'kontrola LD'!H524-'kontrola LD'!H530</f>
        <v>0</v>
      </c>
      <c r="I48" s="468"/>
      <c r="J48" s="468"/>
      <c r="K48" s="468"/>
    </row>
    <row r="49" spans="1:11" x14ac:dyDescent="0.2">
      <c r="A49" s="29" t="s">
        <v>2081</v>
      </c>
      <c r="E49" s="86" t="s">
        <v>1135</v>
      </c>
      <c r="F49" s="469">
        <v>35</v>
      </c>
      <c r="G49" s="463">
        <f>'kontrola LD'!G466+'kontrola LD'!G469</f>
        <v>0</v>
      </c>
      <c r="H49" s="463">
        <f>'kontrola LD'!H466+'kontrola LD'!H469</f>
        <v>0</v>
      </c>
      <c r="I49" s="468"/>
      <c r="J49" s="468"/>
      <c r="K49" s="468"/>
    </row>
    <row r="50" spans="1:11" x14ac:dyDescent="0.2">
      <c r="A50" s="32" t="s">
        <v>908</v>
      </c>
      <c r="B50" s="29" t="s">
        <v>179</v>
      </c>
      <c r="E50" s="31" t="s">
        <v>872</v>
      </c>
      <c r="F50" s="469">
        <v>36</v>
      </c>
      <c r="G50" s="463">
        <f>'kontrola LD'!G467</f>
        <v>0</v>
      </c>
      <c r="H50" s="463">
        <f>'kontrola LD'!H467</f>
        <v>0</v>
      </c>
      <c r="I50" s="468"/>
      <c r="J50" s="468"/>
      <c r="K50" s="468"/>
    </row>
    <row r="51" spans="1:11" x14ac:dyDescent="0.2">
      <c r="B51" s="29" t="s">
        <v>301</v>
      </c>
      <c r="E51" s="39" t="s">
        <v>2518</v>
      </c>
      <c r="F51" s="469">
        <v>37</v>
      </c>
      <c r="G51" s="463">
        <f>-'kontrola LD'!G522</f>
        <v>0</v>
      </c>
      <c r="H51" s="463">
        <f>-'kontrola LD'!H522</f>
        <v>0</v>
      </c>
      <c r="I51" s="468"/>
      <c r="J51" s="468"/>
      <c r="K51" s="468"/>
    </row>
    <row r="52" spans="1:11" x14ac:dyDescent="0.2">
      <c r="A52" s="29" t="s">
        <v>1110</v>
      </c>
      <c r="E52" s="39" t="s">
        <v>2519</v>
      </c>
      <c r="F52" s="469">
        <v>38</v>
      </c>
      <c r="G52" s="463">
        <f>'kontrola LD'!G464</f>
        <v>0</v>
      </c>
      <c r="H52" s="463">
        <f>'kontrola LD'!H464</f>
        <v>0</v>
      </c>
      <c r="I52" s="468"/>
      <c r="J52" s="468"/>
      <c r="K52" s="468"/>
    </row>
    <row r="53" spans="1:11" x14ac:dyDescent="0.2">
      <c r="B53" s="29" t="s">
        <v>925</v>
      </c>
      <c r="E53" s="39" t="s">
        <v>2520</v>
      </c>
      <c r="F53" s="469">
        <v>39</v>
      </c>
      <c r="G53" s="463">
        <f>-'kontrola LD'!G523</f>
        <v>0</v>
      </c>
      <c r="H53" s="463">
        <f>-'kontrola LD'!H523</f>
        <v>0</v>
      </c>
      <c r="I53" s="468"/>
      <c r="J53" s="468"/>
      <c r="K53" s="468"/>
    </row>
    <row r="54" spans="1:11" x14ac:dyDescent="0.2">
      <c r="A54" s="29" t="s">
        <v>1112</v>
      </c>
      <c r="E54" s="39" t="s">
        <v>2521</v>
      </c>
      <c r="F54" s="469">
        <v>40</v>
      </c>
      <c r="G54" s="463">
        <f>'kontrola LD'!G465</f>
        <v>0</v>
      </c>
      <c r="H54" s="463">
        <f>'kontrola LD'!H465</f>
        <v>0</v>
      </c>
      <c r="I54" s="468"/>
      <c r="J54" s="468"/>
      <c r="K54" s="468"/>
    </row>
    <row r="55" spans="1:11" x14ac:dyDescent="0.2">
      <c r="B55" s="29" t="s">
        <v>1109</v>
      </c>
      <c r="E55" s="39" t="s">
        <v>2522</v>
      </c>
      <c r="F55" s="469">
        <v>41</v>
      </c>
      <c r="G55" s="463">
        <f>-'kontrola LD'!G531</f>
        <v>0</v>
      </c>
      <c r="H55" s="463">
        <f>-'kontrola LD'!H531</f>
        <v>0</v>
      </c>
      <c r="I55" s="468"/>
      <c r="J55" s="468"/>
      <c r="K55" s="468"/>
    </row>
    <row r="56" spans="1:11" x14ac:dyDescent="0.2">
      <c r="A56" s="29" t="s">
        <v>1113</v>
      </c>
      <c r="E56" s="39" t="s">
        <v>2523</v>
      </c>
      <c r="F56" s="469">
        <v>42</v>
      </c>
      <c r="G56" s="463">
        <f>'kontrola LD'!G470+'kontrola LD'!G471</f>
        <v>0</v>
      </c>
      <c r="H56" s="463">
        <f>'kontrola LD'!H470+'kontrola LD'!H471</f>
        <v>0</v>
      </c>
      <c r="I56" s="468"/>
      <c r="J56" s="468"/>
      <c r="K56" s="468"/>
    </row>
    <row r="57" spans="1:11" x14ac:dyDescent="0.2">
      <c r="B57" s="29" t="s">
        <v>1111</v>
      </c>
      <c r="E57" s="39" t="s">
        <v>180</v>
      </c>
      <c r="F57" s="469">
        <v>43</v>
      </c>
      <c r="G57" s="463">
        <f>'kontrola LD'!G539</f>
        <v>0</v>
      </c>
      <c r="H57" s="463">
        <f>'kontrola LD'!H539</f>
        <v>0</v>
      </c>
      <c r="I57" s="468"/>
      <c r="J57" s="468"/>
      <c r="K57" s="468"/>
    </row>
    <row r="58" spans="1:11" x14ac:dyDescent="0.2">
      <c r="A58" s="29" t="s">
        <v>1114</v>
      </c>
      <c r="E58" s="39" t="s">
        <v>181</v>
      </c>
      <c r="F58" s="469">
        <v>44</v>
      </c>
      <c r="G58" s="463">
        <f>-'kontrola LD'!G485</f>
        <v>0</v>
      </c>
      <c r="H58" s="463">
        <f>-'kontrola LD'!H485</f>
        <v>0</v>
      </c>
      <c r="I58" s="468"/>
      <c r="J58" s="468"/>
      <c r="K58" s="468"/>
    </row>
    <row r="59" spans="1:11" ht="20.399999999999999" x14ac:dyDescent="0.2">
      <c r="C59" s="24" t="s">
        <v>901</v>
      </c>
      <c r="E59" s="45" t="s">
        <v>1182</v>
      </c>
      <c r="F59" s="541">
        <v>45</v>
      </c>
      <c r="G59" s="542">
        <f>G39-G40+G42+G46-G47+G48-G49-G50+G51-G52+G53-G54+G55-G56+(-G57)-(-G58)</f>
        <v>0</v>
      </c>
      <c r="H59" s="542">
        <f>H39-H40+H42+H46-H47+H48-H49-H50+H51-H52+H53-H54+H55-H56+(-H57)-(-H58)</f>
        <v>0</v>
      </c>
      <c r="I59" s="468"/>
      <c r="J59" s="468"/>
      <c r="K59" s="468"/>
    </row>
    <row r="60" spans="1:11" s="468" customFormat="1" x14ac:dyDescent="0.2">
      <c r="A60" s="32"/>
      <c r="B60" s="18"/>
      <c r="C60" s="24"/>
      <c r="D60" s="18"/>
      <c r="E60" s="39"/>
      <c r="F60" s="473"/>
      <c r="G60" s="474"/>
      <c r="H60" s="474"/>
    </row>
    <row r="61" spans="1:11" x14ac:dyDescent="0.2">
      <c r="A61" s="24" t="s">
        <v>1115</v>
      </c>
      <c r="E61" s="40" t="s">
        <v>1183</v>
      </c>
      <c r="F61" s="541">
        <v>46</v>
      </c>
      <c r="G61" s="542">
        <f>G62+G63</f>
        <v>960</v>
      </c>
      <c r="H61" s="542">
        <f>H62+H63</f>
        <v>0</v>
      </c>
      <c r="I61" s="468"/>
      <c r="J61" s="468"/>
      <c r="K61" s="468"/>
    </row>
    <row r="62" spans="1:11" x14ac:dyDescent="0.2">
      <c r="A62" s="32" t="s">
        <v>349</v>
      </c>
      <c r="D62" s="29"/>
      <c r="E62" s="39" t="s">
        <v>246</v>
      </c>
      <c r="F62" s="469">
        <v>47</v>
      </c>
      <c r="G62" s="463">
        <f>'kontrola LD'!G478+'kontrola LD'!G482</f>
        <v>960</v>
      </c>
      <c r="H62" s="463">
        <f>'kontrola LD'!H478+'kontrola LD'!H482</f>
        <v>0</v>
      </c>
      <c r="I62" s="468"/>
      <c r="J62" s="468"/>
      <c r="K62" s="468"/>
    </row>
    <row r="63" spans="1:11" x14ac:dyDescent="0.2">
      <c r="A63" s="32">
        <v>2</v>
      </c>
      <c r="D63" s="29"/>
      <c r="E63" s="39" t="s">
        <v>247</v>
      </c>
      <c r="F63" s="469">
        <v>48</v>
      </c>
      <c r="G63" s="463">
        <f>'kontrola LD'!G479</f>
        <v>0</v>
      </c>
      <c r="H63" s="463">
        <f>'kontrola LD'!H479</f>
        <v>0</v>
      </c>
      <c r="I63" s="468"/>
      <c r="J63" s="468"/>
      <c r="K63" s="468"/>
    </row>
    <row r="64" spans="1:11" x14ac:dyDescent="0.2">
      <c r="D64" s="29"/>
      <c r="E64" s="39"/>
      <c r="F64" s="470"/>
      <c r="G64" s="464"/>
      <c r="H64" s="464"/>
      <c r="I64" s="468"/>
      <c r="J64" s="468"/>
      <c r="K64" s="468"/>
    </row>
    <row r="65" spans="1:11" x14ac:dyDescent="0.2">
      <c r="C65" s="29" t="s">
        <v>918</v>
      </c>
      <c r="E65" s="40" t="s">
        <v>1165</v>
      </c>
      <c r="F65" s="541" t="s">
        <v>352</v>
      </c>
      <c r="G65" s="542">
        <f>G37+G59-G61</f>
        <v>-1388.59</v>
      </c>
      <c r="H65" s="542">
        <f>H37+H59-H61</f>
        <v>0</v>
      </c>
      <c r="I65" s="468"/>
      <c r="J65" s="468"/>
      <c r="K65" s="468"/>
    </row>
    <row r="66" spans="1:11" x14ac:dyDescent="0.2">
      <c r="C66" s="24"/>
      <c r="E66" s="39"/>
      <c r="F66" s="465"/>
      <c r="G66" s="467"/>
      <c r="H66" s="467"/>
      <c r="I66" s="468"/>
      <c r="J66" s="468"/>
      <c r="K66" s="468"/>
    </row>
    <row r="67" spans="1:11" x14ac:dyDescent="0.2">
      <c r="B67" s="29" t="s">
        <v>1756</v>
      </c>
      <c r="E67" s="39" t="s">
        <v>1650</v>
      </c>
      <c r="F67" s="509" t="s">
        <v>353</v>
      </c>
      <c r="G67" s="508">
        <f>-'kontrola LD'!G534-'kontrola LD'!G535</f>
        <v>0</v>
      </c>
      <c r="H67" s="508">
        <f>-'kontrola LD'!H534-'kontrola LD'!H535</f>
        <v>0</v>
      </c>
      <c r="I67" s="468"/>
    </row>
    <row r="68" spans="1:11" x14ac:dyDescent="0.2">
      <c r="A68" s="29" t="s">
        <v>919</v>
      </c>
      <c r="E68" s="39" t="s">
        <v>248</v>
      </c>
      <c r="F68" s="469">
        <v>51</v>
      </c>
      <c r="G68" s="463">
        <f>'kontrola LD'!G474+'kontrola LD'!G475</f>
        <v>0</v>
      </c>
      <c r="H68" s="463">
        <f>'kontrola LD'!H474+'kontrola LD'!H475</f>
        <v>0</v>
      </c>
      <c r="I68" s="468"/>
    </row>
    <row r="69" spans="1:11" x14ac:dyDescent="0.2">
      <c r="A69" s="29"/>
      <c r="E69" s="39"/>
      <c r="F69" s="470"/>
      <c r="G69" s="464"/>
      <c r="H69" s="464"/>
      <c r="I69" s="468"/>
    </row>
    <row r="70" spans="1:11" x14ac:dyDescent="0.2">
      <c r="A70" s="24" t="s">
        <v>920</v>
      </c>
      <c r="E70" s="40" t="s">
        <v>1166</v>
      </c>
      <c r="F70" s="546">
        <v>52</v>
      </c>
      <c r="G70" s="542">
        <f>G71+G72</f>
        <v>0</v>
      </c>
      <c r="H70" s="542">
        <f>H71+H72</f>
        <v>0</v>
      </c>
      <c r="I70" s="468"/>
    </row>
    <row r="71" spans="1:11" x14ac:dyDescent="0.2">
      <c r="A71" s="32" t="s">
        <v>357</v>
      </c>
      <c r="D71" s="29"/>
      <c r="E71" s="39" t="s">
        <v>249</v>
      </c>
      <c r="F71" s="469">
        <v>53</v>
      </c>
      <c r="G71" s="463">
        <f>'kontrola LD'!G480</f>
        <v>0</v>
      </c>
      <c r="H71" s="463">
        <f>'kontrola LD'!H480</f>
        <v>0</v>
      </c>
      <c r="I71" s="468"/>
    </row>
    <row r="72" spans="1:11" x14ac:dyDescent="0.2">
      <c r="A72" s="32">
        <v>2</v>
      </c>
      <c r="D72" s="29"/>
      <c r="E72" s="39" t="s">
        <v>250</v>
      </c>
      <c r="F72" s="469">
        <v>54</v>
      </c>
      <c r="G72" s="463">
        <f>'kontrola LD'!G481</f>
        <v>0</v>
      </c>
      <c r="H72" s="463">
        <f>'kontrola LD'!H481</f>
        <v>0</v>
      </c>
      <c r="I72" s="468"/>
    </row>
    <row r="73" spans="1:11" x14ac:dyDescent="0.2">
      <c r="D73" s="29"/>
      <c r="E73" s="39"/>
      <c r="F73" s="470"/>
      <c r="G73" s="464"/>
      <c r="H73" s="464"/>
      <c r="I73" s="468"/>
    </row>
    <row r="74" spans="1:11" x14ac:dyDescent="0.2">
      <c r="C74" s="29" t="s">
        <v>901</v>
      </c>
      <c r="E74" s="40" t="s">
        <v>1164</v>
      </c>
      <c r="F74" s="541" t="s">
        <v>1627</v>
      </c>
      <c r="G74" s="542">
        <f>G67-G68-G70</f>
        <v>0</v>
      </c>
      <c r="H74" s="542">
        <f>H67-H68-H70</f>
        <v>0</v>
      </c>
      <c r="I74" s="468"/>
    </row>
    <row r="75" spans="1:11" x14ac:dyDescent="0.2">
      <c r="C75" s="24"/>
      <c r="E75" s="39"/>
      <c r="F75" s="465"/>
      <c r="G75" s="467"/>
      <c r="H75" s="467"/>
      <c r="I75" s="468"/>
    </row>
    <row r="76" spans="1:11" x14ac:dyDescent="0.2">
      <c r="A76" s="29" t="s">
        <v>921</v>
      </c>
      <c r="E76" s="39" t="s">
        <v>2777</v>
      </c>
      <c r="F76" s="469">
        <v>56</v>
      </c>
      <c r="G76" s="463">
        <f>'kontrola LD'!G483</f>
        <v>0</v>
      </c>
      <c r="H76" s="463">
        <f>'kontrola LD'!H483</f>
        <v>0</v>
      </c>
    </row>
    <row r="77" spans="1:11" x14ac:dyDescent="0.2">
      <c r="A77" s="29"/>
      <c r="E77" s="39"/>
      <c r="F77" s="470"/>
      <c r="G77" s="464"/>
      <c r="H77" s="464"/>
    </row>
    <row r="78" spans="1:11" x14ac:dyDescent="0.2">
      <c r="C78" s="29" t="s">
        <v>1758</v>
      </c>
      <c r="E78" s="40" t="s">
        <v>1163</v>
      </c>
      <c r="F78" s="541" t="s">
        <v>359</v>
      </c>
      <c r="G78" s="542">
        <f>G65+G74-G76</f>
        <v>-1388.59</v>
      </c>
      <c r="H78" s="542">
        <f>H65+H74-H76</f>
        <v>0</v>
      </c>
    </row>
    <row r="79" spans="1:11" x14ac:dyDescent="0.2">
      <c r="I79" s="475"/>
    </row>
    <row r="80" spans="1:11" x14ac:dyDescent="0.2">
      <c r="E80" s="466" t="s">
        <v>1162</v>
      </c>
      <c r="F80" s="541">
        <v>99</v>
      </c>
      <c r="G80" s="542">
        <f>G7+G8+G10+G12+G13+G14+G15+G17+G18+G19+G21+G23+G24+G25+G26+G27+G28+G29+G30+G31+G32+G33+G34+G35+G37+G39+G40+G42+G43+G44+G45+G46+G47+G48+G49+G50+G51+G52+G53+G54+G55+G56+G57+G58+G59+G61+G62+G63+G65+G67+G68+G70+G71+G72+G74+G76+G78</f>
        <v>-857.17999999999984</v>
      </c>
      <c r="H80" s="542">
        <f>H7+H8+H10+H12+H13+H14+H15+H17+H18+H19+H21+H23+H24+H25+H26+H27+H28+H29+H30+H31+H32+H33+H34+H35+H37+H39+H40+H42+H43+H44+H45+H46+H47+H48+H49+H50+H51+H52+H53+H54+H55+H56+H57+H58+H59+H61+H62+H63+H65+H67+H68+H70+H71+H72+H74+H76+H78</f>
        <v>0</v>
      </c>
      <c r="I80" s="475"/>
    </row>
    <row r="81" spans="5:10" x14ac:dyDescent="0.2">
      <c r="E81" s="466"/>
      <c r="I81" s="475"/>
    </row>
    <row r="82" spans="5:10" x14ac:dyDescent="0.2">
      <c r="E82" s="466"/>
      <c r="I82" s="475"/>
    </row>
    <row r="83" spans="5:10" x14ac:dyDescent="0.2">
      <c r="E83" s="505" t="s">
        <v>1563</v>
      </c>
      <c r="F83" s="526" t="e">
        <f>IF(AND(I84="OK",J84="OK",I85="OK",J85="OK"),"OK","ERROR")</f>
        <v>#REF!</v>
      </c>
      <c r="I83" s="475"/>
    </row>
    <row r="84" spans="5:10" x14ac:dyDescent="0.2">
      <c r="E84" s="527" t="s">
        <v>1169</v>
      </c>
      <c r="F84" s="528"/>
      <c r="G84" s="529">
        <f>G78+SUM('kontrola LD'!G415:G539)</f>
        <v>1381.84</v>
      </c>
      <c r="H84" s="529">
        <f>H78+SUM('kontrola LD'!H415:H539)</f>
        <v>0</v>
      </c>
      <c r="I84" s="524" t="str">
        <f>IF(AND(G84&lt;0.1,G84&gt;-0.1),"OK","E")</f>
        <v>E</v>
      </c>
      <c r="J84" s="524" t="str">
        <f>IF(AND(H84&lt;0.1,H84&gt;-0.1),"OK","E")</f>
        <v>OK</v>
      </c>
    </row>
    <row r="85" spans="5:10" x14ac:dyDescent="0.2">
      <c r="E85" s="527" t="s">
        <v>1170</v>
      </c>
      <c r="F85" s="530"/>
      <c r="G85" s="529">
        <f>G78-'BS-E Old format'!F117</f>
        <v>6.9999999998117346E-2</v>
      </c>
      <c r="H85" s="529" t="e">
        <f>H78-'BS-E Old format'!G117</f>
        <v>#REF!</v>
      </c>
      <c r="I85" s="524" t="str">
        <f>IF(AND(G85&lt;0.1,G85&gt;-0.1),"OK","E")</f>
        <v>OK</v>
      </c>
      <c r="J85" s="524" t="e">
        <f>IF(AND(H85&lt;0.1,H85&gt;-0.1),"OK","E")</f>
        <v>#REF!</v>
      </c>
    </row>
    <row r="86" spans="5:10" x14ac:dyDescent="0.2">
      <c r="G86" s="476"/>
    </row>
  </sheetData>
  <phoneticPr fontId="7" type="noConversion"/>
  <pageMargins left="0.38" right="0.52" top="0.37" bottom="0.39" header="0.35" footer="0.36"/>
  <pageSetup paperSize="9" scale="85" orientation="portrait" r:id="rId1"/>
  <headerFooter alignWithMargins="0"/>
  <rowBreaks count="1" manualBreakCount="1">
    <brk id="6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indexed="13"/>
  </sheetPr>
  <dimension ref="A1:H199"/>
  <sheetViews>
    <sheetView workbookViewId="0">
      <selection sqref="A1:A3"/>
    </sheetView>
  </sheetViews>
  <sheetFormatPr defaultColWidth="9.109375" defaultRowHeight="10.8" x14ac:dyDescent="0.25"/>
  <cols>
    <col min="1" max="1" width="5.109375" style="302" customWidth="1"/>
    <col min="2" max="2" width="15.5546875" style="302" customWidth="1"/>
    <col min="3" max="3" width="3.6640625" style="302" customWidth="1"/>
    <col min="4" max="4" width="3.5546875" style="302" customWidth="1"/>
    <col min="5" max="5" width="12.44140625" style="302" customWidth="1"/>
    <col min="6" max="6" width="4.5546875" style="302" customWidth="1"/>
    <col min="7" max="7" width="23.109375" style="302" customWidth="1"/>
    <col min="8" max="8" width="24" style="302" customWidth="1"/>
    <col min="9" max="16384" width="9.109375" style="302"/>
  </cols>
  <sheetData>
    <row r="1" spans="1:8" s="282" customFormat="1" ht="11.25" customHeight="1" x14ac:dyDescent="0.25">
      <c r="A1" s="960" t="s">
        <v>1184</v>
      </c>
      <c r="B1" s="946" t="s">
        <v>1185</v>
      </c>
      <c r="C1" s="962" t="s">
        <v>2430</v>
      </c>
      <c r="D1" s="946" t="s">
        <v>922</v>
      </c>
      <c r="E1" s="946"/>
      <c r="F1" s="946"/>
      <c r="G1" s="946"/>
      <c r="H1" s="976" t="s">
        <v>923</v>
      </c>
    </row>
    <row r="2" spans="1:8" s="282" customFormat="1" ht="11.25" customHeight="1" x14ac:dyDescent="0.25">
      <c r="A2" s="961"/>
      <c r="B2" s="954"/>
      <c r="C2" s="963"/>
      <c r="D2" s="978">
        <v>1</v>
      </c>
      <c r="E2" s="954" t="s">
        <v>2286</v>
      </c>
      <c r="F2" s="954"/>
      <c r="G2" s="979" t="s">
        <v>2431</v>
      </c>
      <c r="H2" s="977"/>
    </row>
    <row r="3" spans="1:8" s="282" customFormat="1" ht="11.25" customHeight="1" x14ac:dyDescent="0.25">
      <c r="A3" s="961"/>
      <c r="B3" s="954"/>
      <c r="C3" s="963"/>
      <c r="D3" s="978"/>
      <c r="E3" s="954" t="s">
        <v>2287</v>
      </c>
      <c r="F3" s="954"/>
      <c r="G3" s="979"/>
      <c r="H3" s="288" t="s">
        <v>2432</v>
      </c>
    </row>
    <row r="4" spans="1:8" s="291" customFormat="1" ht="24.75" customHeight="1" x14ac:dyDescent="0.25">
      <c r="A4" s="995"/>
      <c r="B4" s="949" t="s">
        <v>2037</v>
      </c>
      <c r="C4" s="969" t="s">
        <v>433</v>
      </c>
      <c r="D4" s="952">
        <f>'BS-E Old format'!F8</f>
        <v>9087.01</v>
      </c>
      <c r="E4" s="952"/>
      <c r="F4" s="952"/>
      <c r="G4" s="952">
        <f>D4-D5</f>
        <v>9087.01</v>
      </c>
      <c r="H4" s="973" t="e">
        <f>'BS-E Old format'!I8</f>
        <v>#REF!</v>
      </c>
    </row>
    <row r="5" spans="1:8" s="291" customFormat="1" ht="24.75" customHeight="1" x14ac:dyDescent="0.25">
      <c r="A5" s="995"/>
      <c r="B5" s="949"/>
      <c r="C5" s="969"/>
      <c r="D5" s="952">
        <f>'BS-E Old format'!G8</f>
        <v>0</v>
      </c>
      <c r="E5" s="952"/>
      <c r="F5" s="952"/>
      <c r="G5" s="952"/>
      <c r="H5" s="973"/>
    </row>
    <row r="6" spans="1:8" s="291" customFormat="1" ht="24.75" customHeight="1" x14ac:dyDescent="0.25">
      <c r="A6" s="968" t="s">
        <v>932</v>
      </c>
      <c r="B6" s="949" t="s">
        <v>2038</v>
      </c>
      <c r="C6" s="969" t="s">
        <v>434</v>
      </c>
      <c r="D6" s="952">
        <f>'BS-E Old format'!F10</f>
        <v>0</v>
      </c>
      <c r="E6" s="952"/>
      <c r="F6" s="952"/>
      <c r="G6" s="952">
        <f>D6-D7</f>
        <v>0</v>
      </c>
      <c r="H6" s="973">
        <f>'BS-E Old format'!I10</f>
        <v>0</v>
      </c>
    </row>
    <row r="7" spans="1:8" s="291" customFormat="1" ht="24.75" customHeight="1" x14ac:dyDescent="0.25">
      <c r="A7" s="968"/>
      <c r="B7" s="949"/>
      <c r="C7" s="969"/>
      <c r="D7" s="952">
        <f>'BS-E Old format'!G10</f>
        <v>0</v>
      </c>
      <c r="E7" s="952"/>
      <c r="F7" s="952"/>
      <c r="G7" s="952"/>
      <c r="H7" s="973"/>
    </row>
    <row r="8" spans="1:8" s="291" customFormat="1" ht="24.75" customHeight="1" x14ac:dyDescent="0.25">
      <c r="A8" s="968" t="s">
        <v>933</v>
      </c>
      <c r="B8" s="949" t="s">
        <v>2039</v>
      </c>
      <c r="C8" s="969" t="s">
        <v>435</v>
      </c>
      <c r="D8" s="952">
        <f>'BS-E Old format'!F12</f>
        <v>0</v>
      </c>
      <c r="E8" s="952"/>
      <c r="F8" s="952"/>
      <c r="G8" s="952">
        <f>D8-D9</f>
        <v>0</v>
      </c>
      <c r="H8" s="973">
        <f>'BS-E Old format'!I12</f>
        <v>0</v>
      </c>
    </row>
    <row r="9" spans="1:8" s="291" customFormat="1" ht="24.75" customHeight="1" x14ac:dyDescent="0.25">
      <c r="A9" s="968"/>
      <c r="B9" s="949"/>
      <c r="C9" s="969"/>
      <c r="D9" s="952">
        <f>'BS-E Old format'!G12</f>
        <v>0</v>
      </c>
      <c r="E9" s="952"/>
      <c r="F9" s="952"/>
      <c r="G9" s="952"/>
      <c r="H9" s="973"/>
    </row>
    <row r="10" spans="1:8" s="291" customFormat="1" ht="24.75" customHeight="1" x14ac:dyDescent="0.25">
      <c r="A10" s="968" t="s">
        <v>942</v>
      </c>
      <c r="B10" s="949" t="s">
        <v>2040</v>
      </c>
      <c r="C10" s="969" t="s">
        <v>436</v>
      </c>
      <c r="D10" s="952">
        <f>'BS-E Old format'!F14</f>
        <v>0</v>
      </c>
      <c r="E10" s="952"/>
      <c r="F10" s="952"/>
      <c r="G10" s="952">
        <f>D10-D11</f>
        <v>0</v>
      </c>
      <c r="H10" s="973">
        <f>'BS-E Old format'!I14</f>
        <v>0</v>
      </c>
    </row>
    <row r="11" spans="1:8" s="291" customFormat="1" ht="24.75" customHeight="1" x14ac:dyDescent="0.25">
      <c r="A11" s="968"/>
      <c r="B11" s="949"/>
      <c r="C11" s="969"/>
      <c r="D11" s="952">
        <f>'BS-E Old format'!G14</f>
        <v>0</v>
      </c>
      <c r="E11" s="952"/>
      <c r="F11" s="952"/>
      <c r="G11" s="952"/>
      <c r="H11" s="973"/>
    </row>
    <row r="12" spans="1:8" s="295" customFormat="1" ht="24.75" customHeight="1" x14ac:dyDescent="0.25">
      <c r="A12" s="989" t="s">
        <v>1042</v>
      </c>
      <c r="B12" s="950" t="s">
        <v>2041</v>
      </c>
      <c r="C12" s="966" t="s">
        <v>437</v>
      </c>
      <c r="D12" s="947">
        <f>'BS-E Old format'!F15</f>
        <v>0</v>
      </c>
      <c r="E12" s="947"/>
      <c r="F12" s="947"/>
      <c r="G12" s="947">
        <f>D12-D13</f>
        <v>0</v>
      </c>
      <c r="H12" s="956">
        <f>'BS-E Old format'!I15</f>
        <v>0</v>
      </c>
    </row>
    <row r="13" spans="1:8" s="295" customFormat="1" ht="24.75" customHeight="1" x14ac:dyDescent="0.25">
      <c r="A13" s="993"/>
      <c r="B13" s="950"/>
      <c r="C13" s="966"/>
      <c r="D13" s="947">
        <f>'BS-E Old format'!G15</f>
        <v>0</v>
      </c>
      <c r="E13" s="947"/>
      <c r="F13" s="947"/>
      <c r="G13" s="947"/>
      <c r="H13" s="956"/>
    </row>
    <row r="14" spans="1:8" s="295" customFormat="1" ht="24.75" customHeight="1" x14ac:dyDescent="0.25">
      <c r="A14" s="994" t="s">
        <v>1043</v>
      </c>
      <c r="B14" s="950" t="s">
        <v>2042</v>
      </c>
      <c r="C14" s="966" t="s">
        <v>438</v>
      </c>
      <c r="D14" s="947">
        <f>'BS-E Old format'!F16</f>
        <v>0</v>
      </c>
      <c r="E14" s="947"/>
      <c r="F14" s="947"/>
      <c r="G14" s="947">
        <f>D14-D15</f>
        <v>0</v>
      </c>
      <c r="H14" s="956">
        <f>'BS-E Old format'!I16</f>
        <v>0</v>
      </c>
    </row>
    <row r="15" spans="1:8" s="295" customFormat="1" ht="24.75" customHeight="1" x14ac:dyDescent="0.25">
      <c r="A15" s="994"/>
      <c r="B15" s="950"/>
      <c r="C15" s="966"/>
      <c r="D15" s="947">
        <f>'BS-E Old format'!G16</f>
        <v>0</v>
      </c>
      <c r="E15" s="947"/>
      <c r="F15" s="947"/>
      <c r="G15" s="947"/>
      <c r="H15" s="956"/>
    </row>
    <row r="16" spans="1:8" s="295" customFormat="1" ht="24.75" customHeight="1" x14ac:dyDescent="0.25">
      <c r="A16" s="988" t="s">
        <v>774</v>
      </c>
      <c r="B16" s="950" t="s">
        <v>2043</v>
      </c>
      <c r="C16" s="966" t="s">
        <v>439</v>
      </c>
      <c r="D16" s="947">
        <f>'BS-E Old format'!F17</f>
        <v>0</v>
      </c>
      <c r="E16" s="947"/>
      <c r="F16" s="947"/>
      <c r="G16" s="947">
        <f>D16-D17</f>
        <v>0</v>
      </c>
      <c r="H16" s="956">
        <f>'BS-E Old format'!I17</f>
        <v>0</v>
      </c>
    </row>
    <row r="17" spans="1:8" s="295" customFormat="1" ht="24.75" customHeight="1" x14ac:dyDescent="0.25">
      <c r="A17" s="988"/>
      <c r="B17" s="950"/>
      <c r="C17" s="966"/>
      <c r="D17" s="947">
        <f>'BS-E Old format'!G17</f>
        <v>0</v>
      </c>
      <c r="E17" s="947"/>
      <c r="F17" s="947"/>
      <c r="G17" s="947"/>
      <c r="H17" s="956"/>
    </row>
    <row r="18" spans="1:8" s="295" customFormat="1" ht="24.75" customHeight="1" x14ac:dyDescent="0.25">
      <c r="A18" s="988" t="s">
        <v>1046</v>
      </c>
      <c r="B18" s="950" t="s">
        <v>2044</v>
      </c>
      <c r="C18" s="966" t="s">
        <v>440</v>
      </c>
      <c r="D18" s="947">
        <f>'BS-E Old format'!F18</f>
        <v>0</v>
      </c>
      <c r="E18" s="947"/>
      <c r="F18" s="947"/>
      <c r="G18" s="947">
        <f>D18-D19</f>
        <v>0</v>
      </c>
      <c r="H18" s="956">
        <f>'BS-E Old format'!I18</f>
        <v>0</v>
      </c>
    </row>
    <row r="19" spans="1:8" s="295" customFormat="1" ht="24.75" customHeight="1" x14ac:dyDescent="0.25">
      <c r="A19" s="988"/>
      <c r="B19" s="950"/>
      <c r="C19" s="966"/>
      <c r="D19" s="947">
        <f>'BS-E Old format'!G18</f>
        <v>0</v>
      </c>
      <c r="E19" s="947"/>
      <c r="F19" s="947"/>
      <c r="G19" s="947"/>
      <c r="H19" s="956"/>
    </row>
    <row r="20" spans="1:8" s="295" customFormat="1" ht="24.75" customHeight="1" x14ac:dyDescent="0.25">
      <c r="A20" s="988" t="s">
        <v>1048</v>
      </c>
      <c r="B20" s="950" t="s">
        <v>1049</v>
      </c>
      <c r="C20" s="966" t="s">
        <v>441</v>
      </c>
      <c r="D20" s="947">
        <f>'BS-E Old format'!F19</f>
        <v>0</v>
      </c>
      <c r="E20" s="947"/>
      <c r="F20" s="947"/>
      <c r="G20" s="947">
        <f>D20-D21</f>
        <v>0</v>
      </c>
      <c r="H20" s="956">
        <f>'BS-E Old format'!I19</f>
        <v>0</v>
      </c>
    </row>
    <row r="21" spans="1:8" s="295" customFormat="1" ht="24.75" customHeight="1" x14ac:dyDescent="0.25">
      <c r="A21" s="988"/>
      <c r="B21" s="950"/>
      <c r="C21" s="966"/>
      <c r="D21" s="947">
        <f>'BS-E Old format'!G19</f>
        <v>0</v>
      </c>
      <c r="E21" s="947"/>
      <c r="F21" s="947"/>
      <c r="G21" s="947"/>
      <c r="H21" s="956"/>
    </row>
    <row r="22" spans="1:8" s="295" customFormat="1" ht="24.75" customHeight="1" x14ac:dyDescent="0.25">
      <c r="A22" s="988" t="s">
        <v>1050</v>
      </c>
      <c r="B22" s="950" t="s">
        <v>546</v>
      </c>
      <c r="C22" s="966" t="s">
        <v>1567</v>
      </c>
      <c r="D22" s="947">
        <f>'BS-E Old format'!F20</f>
        <v>0</v>
      </c>
      <c r="E22" s="947"/>
      <c r="F22" s="947"/>
      <c r="G22" s="947">
        <f>D22-D23</f>
        <v>0</v>
      </c>
      <c r="H22" s="956">
        <f>'BS-E Old format'!I20</f>
        <v>0</v>
      </c>
    </row>
    <row r="23" spans="1:8" s="295" customFormat="1" ht="24.75" customHeight="1" x14ac:dyDescent="0.25">
      <c r="A23" s="988"/>
      <c r="B23" s="950"/>
      <c r="C23" s="966"/>
      <c r="D23" s="947">
        <f>'BS-E Old format'!G20</f>
        <v>0</v>
      </c>
      <c r="E23" s="947"/>
      <c r="F23" s="947"/>
      <c r="G23" s="947"/>
      <c r="H23" s="956"/>
    </row>
    <row r="24" spans="1:8" s="295" customFormat="1" ht="24.75" customHeight="1" x14ac:dyDescent="0.25">
      <c r="A24" s="988" t="s">
        <v>1052</v>
      </c>
      <c r="B24" s="950" t="s">
        <v>547</v>
      </c>
      <c r="C24" s="966" t="s">
        <v>2697</v>
      </c>
      <c r="D24" s="947">
        <f>'BS-E Old format'!F21</f>
        <v>0</v>
      </c>
      <c r="E24" s="947"/>
      <c r="F24" s="947"/>
      <c r="G24" s="947">
        <f>D24-D25</f>
        <v>0</v>
      </c>
      <c r="H24" s="956">
        <f>'BS-E Old format'!I21</f>
        <v>0</v>
      </c>
    </row>
    <row r="25" spans="1:8" s="295" customFormat="1" ht="24.75" customHeight="1" x14ac:dyDescent="0.25">
      <c r="A25" s="988"/>
      <c r="B25" s="950"/>
      <c r="C25" s="966"/>
      <c r="D25" s="947">
        <f>'BS-E Old format'!G21</f>
        <v>0</v>
      </c>
      <c r="E25" s="947"/>
      <c r="F25" s="947"/>
      <c r="G25" s="947"/>
      <c r="H25" s="956"/>
    </row>
    <row r="26" spans="1:8" s="295" customFormat="1" ht="24.75" customHeight="1" x14ac:dyDescent="0.25">
      <c r="A26" s="988" t="s">
        <v>1054</v>
      </c>
      <c r="B26" s="950" t="s">
        <v>548</v>
      </c>
      <c r="C26" s="966" t="s">
        <v>2699</v>
      </c>
      <c r="D26" s="947">
        <f>'BS-E Old format'!F22</f>
        <v>0</v>
      </c>
      <c r="E26" s="947"/>
      <c r="F26" s="947"/>
      <c r="G26" s="947">
        <f>D26-D27</f>
        <v>0</v>
      </c>
      <c r="H26" s="956">
        <f>'BS-E Old format'!I22</f>
        <v>0</v>
      </c>
    </row>
    <row r="27" spans="1:8" s="295" customFormat="1" ht="27.75" customHeight="1" x14ac:dyDescent="0.25">
      <c r="A27" s="988"/>
      <c r="B27" s="950"/>
      <c r="C27" s="966"/>
      <c r="D27" s="947">
        <f>'BS-E Old format'!G22</f>
        <v>0</v>
      </c>
      <c r="E27" s="947"/>
      <c r="F27" s="947"/>
      <c r="G27" s="947"/>
      <c r="H27" s="956"/>
    </row>
    <row r="28" spans="1:8" s="291" customFormat="1" ht="24" customHeight="1" x14ac:dyDescent="0.25">
      <c r="A28" s="968" t="s">
        <v>943</v>
      </c>
      <c r="B28" s="949" t="s">
        <v>549</v>
      </c>
      <c r="C28" s="969" t="s">
        <v>262</v>
      </c>
      <c r="D28" s="952">
        <f>'BS-E Old format'!F24</f>
        <v>0</v>
      </c>
      <c r="E28" s="952"/>
      <c r="F28" s="952"/>
      <c r="G28" s="952">
        <f>D28-D29</f>
        <v>0</v>
      </c>
      <c r="H28" s="973">
        <f>'BS-E Old format'!I24</f>
        <v>0</v>
      </c>
    </row>
    <row r="29" spans="1:8" s="291" customFormat="1" ht="21.75" customHeight="1" x14ac:dyDescent="0.25">
      <c r="A29" s="968"/>
      <c r="B29" s="949"/>
      <c r="C29" s="969"/>
      <c r="D29" s="952">
        <f>'BS-E Old format'!G24</f>
        <v>0</v>
      </c>
      <c r="E29" s="952"/>
      <c r="F29" s="952"/>
      <c r="G29" s="952"/>
      <c r="H29" s="973"/>
    </row>
    <row r="30" spans="1:8" s="295" customFormat="1" ht="21.75" customHeight="1" x14ac:dyDescent="0.25">
      <c r="A30" s="989" t="s">
        <v>1056</v>
      </c>
      <c r="B30" s="950" t="s">
        <v>550</v>
      </c>
      <c r="C30" s="966" t="s">
        <v>2767</v>
      </c>
      <c r="D30" s="947">
        <f>'BS-E Old format'!F25</f>
        <v>0</v>
      </c>
      <c r="E30" s="947"/>
      <c r="F30" s="947"/>
      <c r="G30" s="947">
        <f>D30-D31</f>
        <v>0</v>
      </c>
      <c r="H30" s="956">
        <f>'BS-E Old format'!I25</f>
        <v>0</v>
      </c>
    </row>
    <row r="31" spans="1:8" s="295" customFormat="1" ht="24" customHeight="1" thickBot="1" x14ac:dyDescent="0.3">
      <c r="A31" s="990"/>
      <c r="B31" s="955"/>
      <c r="C31" s="967"/>
      <c r="D31" s="948">
        <f>'BS-E Old format'!G25</f>
        <v>0</v>
      </c>
      <c r="E31" s="948"/>
      <c r="F31" s="948"/>
      <c r="G31" s="948"/>
      <c r="H31" s="957"/>
    </row>
    <row r="32" spans="1:8" s="282" customFormat="1" ht="11.25" customHeight="1" x14ac:dyDescent="0.25">
      <c r="A32" s="960" t="s">
        <v>1184</v>
      </c>
      <c r="B32" s="946" t="s">
        <v>1185</v>
      </c>
      <c r="C32" s="962" t="s">
        <v>2430</v>
      </c>
      <c r="D32" s="946" t="s">
        <v>922</v>
      </c>
      <c r="E32" s="946"/>
      <c r="F32" s="946"/>
      <c r="G32" s="946"/>
      <c r="H32" s="976" t="s">
        <v>923</v>
      </c>
    </row>
    <row r="33" spans="1:8" s="282" customFormat="1" ht="11.25" customHeight="1" x14ac:dyDescent="0.25">
      <c r="A33" s="961"/>
      <c r="B33" s="954"/>
      <c r="C33" s="963"/>
      <c r="D33" s="978">
        <v>1</v>
      </c>
      <c r="E33" s="954" t="s">
        <v>2286</v>
      </c>
      <c r="F33" s="954"/>
      <c r="G33" s="979" t="s">
        <v>2431</v>
      </c>
      <c r="H33" s="977"/>
    </row>
    <row r="34" spans="1:8" s="282" customFormat="1" ht="11.25" customHeight="1" x14ac:dyDescent="0.25">
      <c r="A34" s="961"/>
      <c r="B34" s="954"/>
      <c r="C34" s="963"/>
      <c r="D34" s="978"/>
      <c r="E34" s="954" t="s">
        <v>2287</v>
      </c>
      <c r="F34" s="954"/>
      <c r="G34" s="979"/>
      <c r="H34" s="288" t="s">
        <v>2432</v>
      </c>
    </row>
    <row r="35" spans="1:8" s="298" customFormat="1" ht="23.25" customHeight="1" x14ac:dyDescent="0.25">
      <c r="A35" s="988" t="s">
        <v>773</v>
      </c>
      <c r="B35" s="950" t="s">
        <v>551</v>
      </c>
      <c r="C35" s="966" t="s">
        <v>347</v>
      </c>
      <c r="D35" s="947">
        <f>'BS-E Old format'!F26</f>
        <v>0</v>
      </c>
      <c r="E35" s="947"/>
      <c r="F35" s="947"/>
      <c r="G35" s="947">
        <f>D35-D36</f>
        <v>0</v>
      </c>
      <c r="H35" s="956">
        <f>'BS-E Old format'!I26</f>
        <v>0</v>
      </c>
    </row>
    <row r="36" spans="1:8" s="298" customFormat="1" ht="22.5" customHeight="1" x14ac:dyDescent="0.25">
      <c r="A36" s="988"/>
      <c r="B36" s="950"/>
      <c r="C36" s="966"/>
      <c r="D36" s="947">
        <f>'BS-E Old format'!G26</f>
        <v>0</v>
      </c>
      <c r="E36" s="947"/>
      <c r="F36" s="947"/>
      <c r="G36" s="947"/>
      <c r="H36" s="956"/>
    </row>
    <row r="37" spans="1:8" s="298" customFormat="1" ht="25.5" customHeight="1" x14ac:dyDescent="0.25">
      <c r="A37" s="988" t="s">
        <v>774</v>
      </c>
      <c r="B37" s="950" t="s">
        <v>552</v>
      </c>
      <c r="C37" s="966" t="s">
        <v>743</v>
      </c>
      <c r="D37" s="947">
        <f>'BS-E Old format'!F27</f>
        <v>0</v>
      </c>
      <c r="E37" s="947"/>
      <c r="F37" s="947"/>
      <c r="G37" s="947">
        <f>D37-D38</f>
        <v>0</v>
      </c>
      <c r="H37" s="956">
        <f>'BS-E Old format'!I27</f>
        <v>0</v>
      </c>
    </row>
    <row r="38" spans="1:8" s="298" customFormat="1" ht="26.25" customHeight="1" x14ac:dyDescent="0.25">
      <c r="A38" s="988"/>
      <c r="B38" s="950"/>
      <c r="C38" s="966"/>
      <c r="D38" s="947">
        <f>'BS-E Old format'!G27</f>
        <v>0</v>
      </c>
      <c r="E38" s="947"/>
      <c r="F38" s="947"/>
      <c r="G38" s="947"/>
      <c r="H38" s="956"/>
    </row>
    <row r="39" spans="1:8" s="298" customFormat="1" ht="23.25" customHeight="1" x14ac:dyDescent="0.25">
      <c r="A39" s="988" t="s">
        <v>1046</v>
      </c>
      <c r="B39" s="950" t="s">
        <v>553</v>
      </c>
      <c r="C39" s="966" t="s">
        <v>744</v>
      </c>
      <c r="D39" s="947">
        <f>'BS-E Old format'!F28</f>
        <v>0</v>
      </c>
      <c r="E39" s="947"/>
      <c r="F39" s="947"/>
      <c r="G39" s="947">
        <f>D39-D40</f>
        <v>0</v>
      </c>
      <c r="H39" s="956">
        <f>'BS-E Old format'!I28</f>
        <v>0</v>
      </c>
    </row>
    <row r="40" spans="1:8" s="298" customFormat="1" ht="23.25" customHeight="1" x14ac:dyDescent="0.25">
      <c r="A40" s="988"/>
      <c r="B40" s="950"/>
      <c r="C40" s="966"/>
      <c r="D40" s="947">
        <f>'BS-E Old format'!G28</f>
        <v>0</v>
      </c>
      <c r="E40" s="947"/>
      <c r="F40" s="947"/>
      <c r="G40" s="947"/>
      <c r="H40" s="956"/>
    </row>
    <row r="41" spans="1:8" s="298" customFormat="1" ht="23.25" customHeight="1" x14ac:dyDescent="0.25">
      <c r="A41" s="988" t="s">
        <v>1048</v>
      </c>
      <c r="B41" s="950" t="s">
        <v>554</v>
      </c>
      <c r="C41" s="966" t="s">
        <v>2770</v>
      </c>
      <c r="D41" s="947">
        <f>'BS-E Old format'!F29</f>
        <v>0</v>
      </c>
      <c r="E41" s="947"/>
      <c r="F41" s="947"/>
      <c r="G41" s="947">
        <f>D41-D42</f>
        <v>0</v>
      </c>
      <c r="H41" s="956">
        <f>'BS-E Old format'!I29</f>
        <v>0</v>
      </c>
    </row>
    <row r="42" spans="1:8" s="298" customFormat="1" ht="23.25" customHeight="1" x14ac:dyDescent="0.25">
      <c r="A42" s="988"/>
      <c r="B42" s="950"/>
      <c r="C42" s="966"/>
      <c r="D42" s="947">
        <f>'BS-E Old format'!G29</f>
        <v>0</v>
      </c>
      <c r="E42" s="947"/>
      <c r="F42" s="947"/>
      <c r="G42" s="947"/>
      <c r="H42" s="956"/>
    </row>
    <row r="43" spans="1:8" s="298" customFormat="1" ht="24.75" customHeight="1" x14ac:dyDescent="0.25">
      <c r="A43" s="988" t="s">
        <v>1050</v>
      </c>
      <c r="B43" s="950" t="s">
        <v>555</v>
      </c>
      <c r="C43" s="966" t="s">
        <v>2771</v>
      </c>
      <c r="D43" s="947">
        <f>'BS-E Old format'!F30</f>
        <v>0</v>
      </c>
      <c r="E43" s="947"/>
      <c r="F43" s="947"/>
      <c r="G43" s="947">
        <f>D43-D44</f>
        <v>0</v>
      </c>
      <c r="H43" s="956">
        <f>'BS-E Old format'!I30</f>
        <v>0</v>
      </c>
    </row>
    <row r="44" spans="1:8" s="298" customFormat="1" ht="25.5" customHeight="1" x14ac:dyDescent="0.25">
      <c r="A44" s="988"/>
      <c r="B44" s="950"/>
      <c r="C44" s="966"/>
      <c r="D44" s="947">
        <f>'BS-E Old format'!G30</f>
        <v>0</v>
      </c>
      <c r="E44" s="947"/>
      <c r="F44" s="947"/>
      <c r="G44" s="947"/>
      <c r="H44" s="956"/>
    </row>
    <row r="45" spans="1:8" s="298" customFormat="1" ht="24" customHeight="1" x14ac:dyDescent="0.25">
      <c r="A45" s="988" t="s">
        <v>1052</v>
      </c>
      <c r="B45" s="950" t="s">
        <v>1965</v>
      </c>
      <c r="C45" s="966" t="s">
        <v>745</v>
      </c>
      <c r="D45" s="947">
        <f>'BS-E Old format'!F31</f>
        <v>0</v>
      </c>
      <c r="E45" s="947"/>
      <c r="F45" s="947"/>
      <c r="G45" s="947">
        <f>D45-D46</f>
        <v>0</v>
      </c>
      <c r="H45" s="956">
        <f>'BS-E Old format'!I31</f>
        <v>0</v>
      </c>
    </row>
    <row r="46" spans="1:8" s="298" customFormat="1" ht="24.75" customHeight="1" x14ac:dyDescent="0.25">
      <c r="A46" s="988"/>
      <c r="B46" s="950"/>
      <c r="C46" s="966"/>
      <c r="D46" s="947">
        <f>'BS-E Old format'!G31</f>
        <v>0</v>
      </c>
      <c r="E46" s="947"/>
      <c r="F46" s="947"/>
      <c r="G46" s="947"/>
      <c r="H46" s="956"/>
    </row>
    <row r="47" spans="1:8" s="298" customFormat="1" ht="24.75" customHeight="1" x14ac:dyDescent="0.25">
      <c r="A47" s="988" t="s">
        <v>1054</v>
      </c>
      <c r="B47" s="950" t="s">
        <v>1966</v>
      </c>
      <c r="C47" s="966" t="s">
        <v>2775</v>
      </c>
      <c r="D47" s="947">
        <f>'BS-E Old format'!F32</f>
        <v>0</v>
      </c>
      <c r="E47" s="947"/>
      <c r="F47" s="947"/>
      <c r="G47" s="947">
        <f>D47-D48</f>
        <v>0</v>
      </c>
      <c r="H47" s="956">
        <f>'BS-E Old format'!I32</f>
        <v>0</v>
      </c>
    </row>
    <row r="48" spans="1:8" s="298" customFormat="1" ht="28.5" customHeight="1" x14ac:dyDescent="0.25">
      <c r="A48" s="988"/>
      <c r="B48" s="950"/>
      <c r="C48" s="966"/>
      <c r="D48" s="947">
        <f>'BS-E Old format'!G32</f>
        <v>0</v>
      </c>
      <c r="E48" s="947"/>
      <c r="F48" s="947"/>
      <c r="G48" s="947"/>
      <c r="H48" s="956"/>
    </row>
    <row r="49" spans="1:8" s="298" customFormat="1" ht="22.5" customHeight="1" x14ac:dyDescent="0.25">
      <c r="A49" s="988" t="s">
        <v>1220</v>
      </c>
      <c r="B49" s="950" t="s">
        <v>1967</v>
      </c>
      <c r="C49" s="966" t="s">
        <v>2776</v>
      </c>
      <c r="D49" s="947">
        <f>'BS-E Old format'!F33</f>
        <v>0</v>
      </c>
      <c r="E49" s="947"/>
      <c r="F49" s="947"/>
      <c r="G49" s="947">
        <f>D49-D50</f>
        <v>0</v>
      </c>
      <c r="H49" s="956">
        <f>'BS-E Old format'!I33</f>
        <v>0</v>
      </c>
    </row>
    <row r="50" spans="1:8" s="298" customFormat="1" ht="23.25" customHeight="1" x14ac:dyDescent="0.25">
      <c r="A50" s="988"/>
      <c r="B50" s="950"/>
      <c r="C50" s="966"/>
      <c r="D50" s="947">
        <f>'BS-E Old format'!G33</f>
        <v>0</v>
      </c>
      <c r="E50" s="947"/>
      <c r="F50" s="947"/>
      <c r="G50" s="947"/>
      <c r="H50" s="956"/>
    </row>
    <row r="51" spans="1:8" s="299" customFormat="1" ht="21.75" customHeight="1" x14ac:dyDescent="0.25">
      <c r="A51" s="968" t="s">
        <v>279</v>
      </c>
      <c r="B51" s="949" t="s">
        <v>1968</v>
      </c>
      <c r="C51" s="969" t="s">
        <v>902</v>
      </c>
      <c r="D51" s="952">
        <f>'BS-E Old format'!F35</f>
        <v>0</v>
      </c>
      <c r="E51" s="952"/>
      <c r="F51" s="952"/>
      <c r="G51" s="952">
        <f>D51-D52</f>
        <v>0</v>
      </c>
      <c r="H51" s="973">
        <f>'BS-E Old format'!I35</f>
        <v>0</v>
      </c>
    </row>
    <row r="52" spans="1:8" s="299" customFormat="1" ht="22.5" customHeight="1" x14ac:dyDescent="0.25">
      <c r="A52" s="968"/>
      <c r="B52" s="949"/>
      <c r="C52" s="969"/>
      <c r="D52" s="952">
        <f>'BS-E Old format'!G35</f>
        <v>0</v>
      </c>
      <c r="E52" s="952"/>
      <c r="F52" s="952"/>
      <c r="G52" s="952"/>
      <c r="H52" s="973"/>
    </row>
    <row r="53" spans="1:8" s="298" customFormat="1" ht="27" customHeight="1" x14ac:dyDescent="0.25">
      <c r="A53" s="992" t="s">
        <v>746</v>
      </c>
      <c r="B53" s="950" t="s">
        <v>1969</v>
      </c>
      <c r="C53" s="966" t="s">
        <v>1037</v>
      </c>
      <c r="D53" s="947">
        <f>'BS-E Old format'!F36</f>
        <v>0</v>
      </c>
      <c r="E53" s="947"/>
      <c r="F53" s="947"/>
      <c r="G53" s="947">
        <f>D53-D54</f>
        <v>0</v>
      </c>
      <c r="H53" s="956">
        <f>'BS-E Old format'!I36</f>
        <v>0</v>
      </c>
    </row>
    <row r="54" spans="1:8" s="298" customFormat="1" ht="25.5" customHeight="1" x14ac:dyDescent="0.25">
      <c r="A54" s="992"/>
      <c r="B54" s="950"/>
      <c r="C54" s="966"/>
      <c r="D54" s="947">
        <f>'BS-E Old format'!G36</f>
        <v>0</v>
      </c>
      <c r="E54" s="947"/>
      <c r="F54" s="947"/>
      <c r="G54" s="947"/>
      <c r="H54" s="956"/>
    </row>
    <row r="55" spans="1:8" s="298" customFormat="1" ht="26.25" customHeight="1" x14ac:dyDescent="0.25">
      <c r="A55" s="988" t="s">
        <v>773</v>
      </c>
      <c r="B55" s="950" t="s">
        <v>1970</v>
      </c>
      <c r="C55" s="966" t="s">
        <v>1038</v>
      </c>
      <c r="D55" s="947">
        <f>'BS-E Old format'!F37</f>
        <v>0</v>
      </c>
      <c r="E55" s="947"/>
      <c r="F55" s="947"/>
      <c r="G55" s="947">
        <f>D55-D56</f>
        <v>0</v>
      </c>
      <c r="H55" s="956">
        <f>'BS-E Old format'!I37</f>
        <v>0</v>
      </c>
    </row>
    <row r="56" spans="1:8" s="298" customFormat="1" ht="26.25" customHeight="1" x14ac:dyDescent="0.25">
      <c r="A56" s="988"/>
      <c r="B56" s="950"/>
      <c r="C56" s="966"/>
      <c r="D56" s="947">
        <f>'BS-E Old format'!G37</f>
        <v>0</v>
      </c>
      <c r="E56" s="947"/>
      <c r="F56" s="947"/>
      <c r="G56" s="947"/>
      <c r="H56" s="956"/>
    </row>
    <row r="57" spans="1:8" s="298" customFormat="1" ht="24" customHeight="1" x14ac:dyDescent="0.25">
      <c r="A57" s="988" t="s">
        <v>774</v>
      </c>
      <c r="B57" s="950" t="s">
        <v>1971</v>
      </c>
      <c r="C57" s="966" t="s">
        <v>1041</v>
      </c>
      <c r="D57" s="947">
        <f>'BS-E Old format'!F38</f>
        <v>0</v>
      </c>
      <c r="E57" s="947"/>
      <c r="F57" s="947"/>
      <c r="G57" s="947">
        <f>D57-D58</f>
        <v>0</v>
      </c>
      <c r="H57" s="956">
        <f>'BS-E Old format'!I38</f>
        <v>0</v>
      </c>
    </row>
    <row r="58" spans="1:8" s="298" customFormat="1" ht="22.5" customHeight="1" x14ac:dyDescent="0.25">
      <c r="A58" s="988"/>
      <c r="B58" s="950"/>
      <c r="C58" s="966"/>
      <c r="D58" s="947">
        <f>'BS-E Old format'!G38</f>
        <v>0</v>
      </c>
      <c r="E58" s="947"/>
      <c r="F58" s="947"/>
      <c r="G58" s="947"/>
      <c r="H58" s="956"/>
    </row>
    <row r="59" spans="1:8" s="298" customFormat="1" ht="26.25" customHeight="1" x14ac:dyDescent="0.25">
      <c r="A59" s="988" t="s">
        <v>1046</v>
      </c>
      <c r="B59" s="950" t="s">
        <v>2796</v>
      </c>
      <c r="C59" s="966" t="s">
        <v>747</v>
      </c>
      <c r="D59" s="947">
        <f>'BS-E Old format'!F39</f>
        <v>0</v>
      </c>
      <c r="E59" s="947"/>
      <c r="F59" s="947"/>
      <c r="G59" s="947">
        <f>D59-D60</f>
        <v>0</v>
      </c>
      <c r="H59" s="956">
        <f>'BS-E Old format'!I39</f>
        <v>0</v>
      </c>
    </row>
    <row r="60" spans="1:8" s="298" customFormat="1" ht="26.25" customHeight="1" x14ac:dyDescent="0.25">
      <c r="A60" s="988"/>
      <c r="B60" s="950"/>
      <c r="C60" s="966"/>
      <c r="D60" s="947">
        <f>'BS-E Old format'!G39</f>
        <v>0</v>
      </c>
      <c r="E60" s="947"/>
      <c r="F60" s="947"/>
      <c r="G60" s="947"/>
      <c r="H60" s="956"/>
    </row>
    <row r="61" spans="1:8" s="298" customFormat="1" ht="25.5" customHeight="1" x14ac:dyDescent="0.25">
      <c r="A61" s="988" t="s">
        <v>1048</v>
      </c>
      <c r="B61" s="950" t="s">
        <v>2797</v>
      </c>
      <c r="C61" s="966" t="s">
        <v>2633</v>
      </c>
      <c r="D61" s="947">
        <f>'BS-E Old format'!F40</f>
        <v>0</v>
      </c>
      <c r="E61" s="947"/>
      <c r="F61" s="947"/>
      <c r="G61" s="947">
        <f>D61-D62</f>
        <v>0</v>
      </c>
      <c r="H61" s="956">
        <f>'BS-E Old format'!I40</f>
        <v>0</v>
      </c>
    </row>
    <row r="62" spans="1:8" s="298" customFormat="1" ht="24" customHeight="1" thickBot="1" x14ac:dyDescent="0.3">
      <c r="A62" s="991"/>
      <c r="B62" s="955"/>
      <c r="C62" s="967"/>
      <c r="D62" s="948">
        <f>'BS-E Old format'!G40</f>
        <v>0</v>
      </c>
      <c r="E62" s="948"/>
      <c r="F62" s="948"/>
      <c r="G62" s="948"/>
      <c r="H62" s="957"/>
    </row>
    <row r="63" spans="1:8" s="282" customFormat="1" ht="11.25" customHeight="1" x14ac:dyDescent="0.25">
      <c r="A63" s="960" t="s">
        <v>1184</v>
      </c>
      <c r="B63" s="946" t="s">
        <v>1185</v>
      </c>
      <c r="C63" s="962" t="s">
        <v>2430</v>
      </c>
      <c r="D63" s="946" t="s">
        <v>922</v>
      </c>
      <c r="E63" s="946"/>
      <c r="F63" s="946"/>
      <c r="G63" s="946"/>
      <c r="H63" s="976" t="s">
        <v>923</v>
      </c>
    </row>
    <row r="64" spans="1:8" s="282" customFormat="1" ht="11.25" customHeight="1" x14ac:dyDescent="0.25">
      <c r="A64" s="961"/>
      <c r="B64" s="954"/>
      <c r="C64" s="963"/>
      <c r="D64" s="978">
        <v>1</v>
      </c>
      <c r="E64" s="954" t="s">
        <v>2286</v>
      </c>
      <c r="F64" s="954"/>
      <c r="G64" s="979" t="s">
        <v>2431</v>
      </c>
      <c r="H64" s="977"/>
    </row>
    <row r="65" spans="1:8" s="282" customFormat="1" ht="11.25" customHeight="1" x14ac:dyDescent="0.25">
      <c r="A65" s="961"/>
      <c r="B65" s="954"/>
      <c r="C65" s="963"/>
      <c r="D65" s="978"/>
      <c r="E65" s="954" t="s">
        <v>2287</v>
      </c>
      <c r="F65" s="954"/>
      <c r="G65" s="979"/>
      <c r="H65" s="288" t="s">
        <v>2432</v>
      </c>
    </row>
    <row r="66" spans="1:8" s="298" customFormat="1" ht="26.25" customHeight="1" x14ac:dyDescent="0.25">
      <c r="A66" s="988" t="s">
        <v>1050</v>
      </c>
      <c r="B66" s="950" t="s">
        <v>1743</v>
      </c>
      <c r="C66" s="966" t="s">
        <v>308</v>
      </c>
      <c r="D66" s="947">
        <f>'BS-E Old format'!F41</f>
        <v>0</v>
      </c>
      <c r="E66" s="947"/>
      <c r="F66" s="947"/>
      <c r="G66" s="947">
        <f>D66-D67</f>
        <v>0</v>
      </c>
      <c r="H66" s="956">
        <f>'BS-E Old format'!I41</f>
        <v>0</v>
      </c>
    </row>
    <row r="67" spans="1:8" s="298" customFormat="1" ht="26.25" customHeight="1" x14ac:dyDescent="0.25">
      <c r="A67" s="988"/>
      <c r="B67" s="950"/>
      <c r="C67" s="966"/>
      <c r="D67" s="947">
        <f>'BS-E Old format'!G41</f>
        <v>0</v>
      </c>
      <c r="E67" s="947"/>
      <c r="F67" s="947"/>
      <c r="G67" s="947"/>
      <c r="H67" s="956"/>
    </row>
    <row r="68" spans="1:8" s="298" customFormat="1" ht="22.5" customHeight="1" x14ac:dyDescent="0.25">
      <c r="A68" s="988" t="s">
        <v>1052</v>
      </c>
      <c r="B68" s="950" t="s">
        <v>1744</v>
      </c>
      <c r="C68" s="966" t="s">
        <v>1802</v>
      </c>
      <c r="D68" s="947">
        <f>'BS-E Old format'!F42</f>
        <v>0</v>
      </c>
      <c r="E68" s="947"/>
      <c r="F68" s="947"/>
      <c r="G68" s="947">
        <f>D68-D69</f>
        <v>0</v>
      </c>
      <c r="H68" s="956">
        <f>'BS-E Old format'!I42</f>
        <v>0</v>
      </c>
    </row>
    <row r="69" spans="1:8" s="298" customFormat="1" ht="22.5" customHeight="1" x14ac:dyDescent="0.25">
      <c r="A69" s="988"/>
      <c r="B69" s="950"/>
      <c r="C69" s="966"/>
      <c r="D69" s="947">
        <f>'BS-E Old format'!G42</f>
        <v>0</v>
      </c>
      <c r="E69" s="947"/>
      <c r="F69" s="947"/>
      <c r="G69" s="947"/>
      <c r="H69" s="956"/>
    </row>
    <row r="70" spans="1:8" s="298" customFormat="1" ht="26.25" customHeight="1" x14ac:dyDescent="0.25">
      <c r="A70" s="988" t="s">
        <v>1054</v>
      </c>
      <c r="B70" s="950" t="s">
        <v>1745</v>
      </c>
      <c r="C70" s="966" t="s">
        <v>312</v>
      </c>
      <c r="D70" s="947">
        <f>'BS-E Old format'!F43</f>
        <v>0</v>
      </c>
      <c r="E70" s="947"/>
      <c r="F70" s="947"/>
      <c r="G70" s="947">
        <f>D70-D71</f>
        <v>0</v>
      </c>
      <c r="H70" s="956">
        <f>'BS-E Old format'!I43</f>
        <v>0</v>
      </c>
    </row>
    <row r="71" spans="1:8" s="298" customFormat="1" ht="26.25" customHeight="1" x14ac:dyDescent="0.25">
      <c r="A71" s="988"/>
      <c r="B71" s="950"/>
      <c r="C71" s="966"/>
      <c r="D71" s="947">
        <f>'BS-E Old format'!G43</f>
        <v>0</v>
      </c>
      <c r="E71" s="947"/>
      <c r="F71" s="947"/>
      <c r="G71" s="947"/>
      <c r="H71" s="956"/>
    </row>
    <row r="72" spans="1:8" s="299" customFormat="1" ht="23.25" customHeight="1" x14ac:dyDescent="0.25">
      <c r="A72" s="968" t="s">
        <v>261</v>
      </c>
      <c r="B72" s="949" t="s">
        <v>1746</v>
      </c>
      <c r="C72" s="969" t="s">
        <v>315</v>
      </c>
      <c r="D72" s="952">
        <f>'BS-E Old format'!F45</f>
        <v>9087.01</v>
      </c>
      <c r="E72" s="952"/>
      <c r="F72" s="952"/>
      <c r="G72" s="952">
        <f>D72-D73</f>
        <v>9087.01</v>
      </c>
      <c r="H72" s="973" t="e">
        <f>'BS-E Old format'!I45</f>
        <v>#REF!</v>
      </c>
    </row>
    <row r="73" spans="1:8" s="299" customFormat="1" ht="23.25" customHeight="1" x14ac:dyDescent="0.25">
      <c r="A73" s="968"/>
      <c r="B73" s="949"/>
      <c r="C73" s="969"/>
      <c r="D73" s="952">
        <f>'BS-E Old format'!G45</f>
        <v>0</v>
      </c>
      <c r="E73" s="952"/>
      <c r="F73" s="952"/>
      <c r="G73" s="952"/>
      <c r="H73" s="973"/>
    </row>
    <row r="74" spans="1:8" s="299" customFormat="1" ht="23.25" customHeight="1" x14ac:dyDescent="0.25">
      <c r="A74" s="968" t="s">
        <v>944</v>
      </c>
      <c r="B74" s="949" t="s">
        <v>1747</v>
      </c>
      <c r="C74" s="969" t="s">
        <v>1805</v>
      </c>
      <c r="D74" s="952">
        <f>'BS-E Old format'!F47</f>
        <v>0</v>
      </c>
      <c r="E74" s="952"/>
      <c r="F74" s="952"/>
      <c r="G74" s="952">
        <f>D74-D75</f>
        <v>0</v>
      </c>
      <c r="H74" s="973">
        <f>'BS-E Old format'!I47</f>
        <v>0</v>
      </c>
    </row>
    <row r="75" spans="1:8" s="299" customFormat="1" ht="22.5" customHeight="1" x14ac:dyDescent="0.25">
      <c r="A75" s="968"/>
      <c r="B75" s="949"/>
      <c r="C75" s="969"/>
      <c r="D75" s="952">
        <f>'BS-E Old format'!G47</f>
        <v>0</v>
      </c>
      <c r="E75" s="952"/>
      <c r="F75" s="952"/>
      <c r="G75" s="952"/>
      <c r="H75" s="973"/>
    </row>
    <row r="76" spans="1:8" s="298" customFormat="1" ht="24" customHeight="1" x14ac:dyDescent="0.25">
      <c r="A76" s="989" t="s">
        <v>1159</v>
      </c>
      <c r="B76" s="950" t="s">
        <v>1034</v>
      </c>
      <c r="C76" s="966" t="s">
        <v>1806</v>
      </c>
      <c r="D76" s="947">
        <f>'BS-E Old format'!F48</f>
        <v>0</v>
      </c>
      <c r="E76" s="947"/>
      <c r="F76" s="947"/>
      <c r="G76" s="947">
        <f>D76-D77</f>
        <v>0</v>
      </c>
      <c r="H76" s="956">
        <f>'BS-E Old format'!I48</f>
        <v>0</v>
      </c>
    </row>
    <row r="77" spans="1:8" s="298" customFormat="1" ht="23.25" customHeight="1" x14ac:dyDescent="0.25">
      <c r="A77" s="989"/>
      <c r="B77" s="950"/>
      <c r="C77" s="966"/>
      <c r="D77" s="947">
        <f>'BS-E Old format'!G48</f>
        <v>0</v>
      </c>
      <c r="E77" s="947"/>
      <c r="F77" s="947"/>
      <c r="G77" s="947"/>
      <c r="H77" s="956"/>
    </row>
    <row r="78" spans="1:8" s="298" customFormat="1" ht="24.75" customHeight="1" x14ac:dyDescent="0.25">
      <c r="A78" s="988" t="s">
        <v>773</v>
      </c>
      <c r="B78" s="950" t="s">
        <v>1060</v>
      </c>
      <c r="C78" s="966" t="s">
        <v>1808</v>
      </c>
      <c r="D78" s="947">
        <f>'BS-E Old format'!F49</f>
        <v>0</v>
      </c>
      <c r="E78" s="947"/>
      <c r="F78" s="947"/>
      <c r="G78" s="947">
        <f>D78-D79</f>
        <v>0</v>
      </c>
      <c r="H78" s="956">
        <f>'BS-E Old format'!I49</f>
        <v>0</v>
      </c>
    </row>
    <row r="79" spans="1:8" s="298" customFormat="1" ht="24.75" customHeight="1" x14ac:dyDescent="0.25">
      <c r="A79" s="988"/>
      <c r="B79" s="950"/>
      <c r="C79" s="966"/>
      <c r="D79" s="947">
        <f>'BS-E Old format'!G49</f>
        <v>0</v>
      </c>
      <c r="E79" s="947"/>
      <c r="F79" s="947"/>
      <c r="G79" s="947"/>
      <c r="H79" s="956"/>
    </row>
    <row r="80" spans="1:8" s="298" customFormat="1" ht="26.25" customHeight="1" x14ac:dyDescent="0.25">
      <c r="A80" s="988" t="s">
        <v>774</v>
      </c>
      <c r="B80" s="950" t="s">
        <v>1061</v>
      </c>
      <c r="C80" s="966" t="s">
        <v>1809</v>
      </c>
      <c r="D80" s="947">
        <f>'BS-E Old format'!F50</f>
        <v>0</v>
      </c>
      <c r="E80" s="947"/>
      <c r="F80" s="947"/>
      <c r="G80" s="947">
        <f>D80-D81</f>
        <v>0</v>
      </c>
      <c r="H80" s="956">
        <f>'BS-E Old format'!I50</f>
        <v>0</v>
      </c>
    </row>
    <row r="81" spans="1:8" s="298" customFormat="1" ht="24.75" customHeight="1" x14ac:dyDescent="0.25">
      <c r="A81" s="988"/>
      <c r="B81" s="950"/>
      <c r="C81" s="966"/>
      <c r="D81" s="947">
        <f>'BS-E Old format'!G50</f>
        <v>0</v>
      </c>
      <c r="E81" s="947"/>
      <c r="F81" s="947"/>
      <c r="G81" s="947"/>
      <c r="H81" s="956"/>
    </row>
    <row r="82" spans="1:8" s="298" customFormat="1" ht="24.75" customHeight="1" x14ac:dyDescent="0.25">
      <c r="A82" s="988" t="s">
        <v>1046</v>
      </c>
      <c r="B82" s="950" t="s">
        <v>1062</v>
      </c>
      <c r="C82" s="966" t="s">
        <v>1810</v>
      </c>
      <c r="D82" s="947">
        <f>'BS-E Old format'!F51</f>
        <v>0</v>
      </c>
      <c r="E82" s="947"/>
      <c r="F82" s="947"/>
      <c r="G82" s="947">
        <f>D82-D83</f>
        <v>0</v>
      </c>
      <c r="H82" s="956">
        <f>'BS-E Old format'!I51</f>
        <v>0</v>
      </c>
    </row>
    <row r="83" spans="1:8" s="298" customFormat="1" ht="24.75" customHeight="1" x14ac:dyDescent="0.25">
      <c r="A83" s="988"/>
      <c r="B83" s="950"/>
      <c r="C83" s="966"/>
      <c r="D83" s="947">
        <f>'BS-E Old format'!G51</f>
        <v>0</v>
      </c>
      <c r="E83" s="947"/>
      <c r="F83" s="947"/>
      <c r="G83" s="947"/>
      <c r="H83" s="956"/>
    </row>
    <row r="84" spans="1:8" s="298" customFormat="1" ht="24.75" customHeight="1" x14ac:dyDescent="0.25">
      <c r="A84" s="988" t="s">
        <v>1048</v>
      </c>
      <c r="B84" s="950" t="s">
        <v>1063</v>
      </c>
      <c r="C84" s="966" t="s">
        <v>1811</v>
      </c>
      <c r="D84" s="947">
        <f>'BS-E Old format'!F52</f>
        <v>0</v>
      </c>
      <c r="E84" s="947"/>
      <c r="F84" s="947"/>
      <c r="G84" s="947">
        <f>D84-D85</f>
        <v>0</v>
      </c>
      <c r="H84" s="956">
        <f>'BS-E Old format'!I52</f>
        <v>0</v>
      </c>
    </row>
    <row r="85" spans="1:8" s="298" customFormat="1" ht="24.75" customHeight="1" x14ac:dyDescent="0.25">
      <c r="A85" s="988"/>
      <c r="B85" s="950"/>
      <c r="C85" s="966"/>
      <c r="D85" s="947">
        <f>'BS-E Old format'!G52</f>
        <v>0</v>
      </c>
      <c r="E85" s="947"/>
      <c r="F85" s="947"/>
      <c r="G85" s="947"/>
      <c r="H85" s="956"/>
    </row>
    <row r="86" spans="1:8" s="298" customFormat="1" ht="23.25" customHeight="1" x14ac:dyDescent="0.25">
      <c r="A86" s="988" t="s">
        <v>1050</v>
      </c>
      <c r="B86" s="950" t="s">
        <v>1064</v>
      </c>
      <c r="C86" s="966" t="s">
        <v>1812</v>
      </c>
      <c r="D86" s="947">
        <f>'BS-E Old format'!F53</f>
        <v>0</v>
      </c>
      <c r="E86" s="947"/>
      <c r="F86" s="947"/>
      <c r="G86" s="947">
        <f>D86-D87</f>
        <v>0</v>
      </c>
      <c r="H86" s="956">
        <f>'BS-E Old format'!I53</f>
        <v>0</v>
      </c>
    </row>
    <row r="87" spans="1:8" s="298" customFormat="1" ht="22.5" customHeight="1" x14ac:dyDescent="0.25">
      <c r="A87" s="988"/>
      <c r="B87" s="950"/>
      <c r="C87" s="966"/>
      <c r="D87" s="947">
        <f>'BS-E Old format'!G53</f>
        <v>0</v>
      </c>
      <c r="E87" s="947"/>
      <c r="F87" s="947"/>
      <c r="G87" s="947"/>
      <c r="H87" s="956"/>
    </row>
    <row r="88" spans="1:8" s="298" customFormat="1" ht="24.75" customHeight="1" x14ac:dyDescent="0.25">
      <c r="A88" s="988" t="s">
        <v>1052</v>
      </c>
      <c r="B88" s="950" t="s">
        <v>1065</v>
      </c>
      <c r="C88" s="966" t="s">
        <v>1544</v>
      </c>
      <c r="D88" s="947">
        <f>'BS-E Old format'!F54</f>
        <v>0</v>
      </c>
      <c r="E88" s="947"/>
      <c r="F88" s="947"/>
      <c r="G88" s="947">
        <f>D88-D89</f>
        <v>0</v>
      </c>
      <c r="H88" s="956">
        <f>'BS-E Old format'!I54</f>
        <v>0</v>
      </c>
    </row>
    <row r="89" spans="1:8" s="298" customFormat="1" ht="24.75" customHeight="1" x14ac:dyDescent="0.25">
      <c r="A89" s="988"/>
      <c r="B89" s="950"/>
      <c r="C89" s="966"/>
      <c r="D89" s="947">
        <f>'BS-E Old format'!G54</f>
        <v>0</v>
      </c>
      <c r="E89" s="947"/>
      <c r="F89" s="947"/>
      <c r="G89" s="947"/>
      <c r="H89" s="956"/>
    </row>
    <row r="90" spans="1:8" s="299" customFormat="1" ht="24.75" customHeight="1" x14ac:dyDescent="0.25">
      <c r="A90" s="970" t="s">
        <v>945</v>
      </c>
      <c r="B90" s="971" t="s">
        <v>1530</v>
      </c>
      <c r="C90" s="969" t="s">
        <v>385</v>
      </c>
      <c r="D90" s="952">
        <f>'BS-E Old format'!F56</f>
        <v>0</v>
      </c>
      <c r="E90" s="952"/>
      <c r="F90" s="952"/>
      <c r="G90" s="952">
        <f>D90-D91</f>
        <v>0</v>
      </c>
      <c r="H90" s="973">
        <f>'BS-E Old format'!I56</f>
        <v>0</v>
      </c>
    </row>
    <row r="91" spans="1:8" s="299" customFormat="1" ht="24.75" customHeight="1" x14ac:dyDescent="0.25">
      <c r="A91" s="970"/>
      <c r="B91" s="971"/>
      <c r="C91" s="969"/>
      <c r="D91" s="952">
        <f>'BS-E Old format'!G56</f>
        <v>0</v>
      </c>
      <c r="E91" s="952"/>
      <c r="F91" s="952"/>
      <c r="G91" s="952"/>
      <c r="H91" s="973"/>
    </row>
    <row r="92" spans="1:8" s="298" customFormat="1" ht="27" customHeight="1" x14ac:dyDescent="0.25">
      <c r="A92" s="989" t="s">
        <v>2861</v>
      </c>
      <c r="B92" s="950" t="s">
        <v>1066</v>
      </c>
      <c r="C92" s="966" t="s">
        <v>387</v>
      </c>
      <c r="D92" s="947">
        <f>'BS-E Old format'!F57</f>
        <v>0</v>
      </c>
      <c r="E92" s="947"/>
      <c r="F92" s="947"/>
      <c r="G92" s="947">
        <f>D92-D93</f>
        <v>0</v>
      </c>
      <c r="H92" s="956">
        <f>'BS-E Old format'!I57</f>
        <v>0</v>
      </c>
    </row>
    <row r="93" spans="1:8" s="298" customFormat="1" ht="26.25" customHeight="1" thickBot="1" x14ac:dyDescent="0.3">
      <c r="A93" s="990"/>
      <c r="B93" s="955"/>
      <c r="C93" s="967"/>
      <c r="D93" s="948">
        <f>'BS-E Old format'!G57</f>
        <v>0</v>
      </c>
      <c r="E93" s="948"/>
      <c r="F93" s="948"/>
      <c r="G93" s="948"/>
      <c r="H93" s="957"/>
    </row>
    <row r="94" spans="1:8" s="282" customFormat="1" ht="11.25" customHeight="1" x14ac:dyDescent="0.25">
      <c r="A94" s="960" t="s">
        <v>1184</v>
      </c>
      <c r="B94" s="946" t="s">
        <v>1185</v>
      </c>
      <c r="C94" s="962" t="s">
        <v>2430</v>
      </c>
      <c r="D94" s="946" t="s">
        <v>922</v>
      </c>
      <c r="E94" s="946"/>
      <c r="F94" s="946"/>
      <c r="G94" s="946"/>
      <c r="H94" s="976" t="s">
        <v>923</v>
      </c>
    </row>
    <row r="95" spans="1:8" s="282" customFormat="1" ht="11.25" customHeight="1" x14ac:dyDescent="0.25">
      <c r="A95" s="961"/>
      <c r="B95" s="954"/>
      <c r="C95" s="963"/>
      <c r="D95" s="978">
        <v>1</v>
      </c>
      <c r="E95" s="954" t="s">
        <v>2286</v>
      </c>
      <c r="F95" s="954"/>
      <c r="G95" s="979" t="s">
        <v>2431</v>
      </c>
      <c r="H95" s="977"/>
    </row>
    <row r="96" spans="1:8" s="282" customFormat="1" ht="11.25" customHeight="1" x14ac:dyDescent="0.25">
      <c r="A96" s="961"/>
      <c r="B96" s="954"/>
      <c r="C96" s="963"/>
      <c r="D96" s="978"/>
      <c r="E96" s="954" t="s">
        <v>2287</v>
      </c>
      <c r="F96" s="954"/>
      <c r="G96" s="979"/>
      <c r="H96" s="288" t="s">
        <v>2432</v>
      </c>
    </row>
    <row r="97" spans="1:8" ht="27.75" customHeight="1" x14ac:dyDescent="0.25">
      <c r="A97" s="958" t="s">
        <v>773</v>
      </c>
      <c r="B97" s="986" t="s">
        <v>1067</v>
      </c>
      <c r="C97" s="966" t="s">
        <v>1545</v>
      </c>
      <c r="D97" s="947">
        <f>'BS-E Old format'!F58</f>
        <v>0</v>
      </c>
      <c r="E97" s="947"/>
      <c r="F97" s="947"/>
      <c r="G97" s="947">
        <f>D97-D98</f>
        <v>0</v>
      </c>
      <c r="H97" s="956">
        <f>'BS-E Old format'!I58</f>
        <v>0</v>
      </c>
    </row>
    <row r="98" spans="1:8" ht="27" customHeight="1" x14ac:dyDescent="0.25">
      <c r="A98" s="958"/>
      <c r="B98" s="987"/>
      <c r="C98" s="966"/>
      <c r="D98" s="947">
        <f>'BS-E Old format'!G58</f>
        <v>0</v>
      </c>
      <c r="E98" s="947"/>
      <c r="F98" s="947"/>
      <c r="G98" s="947"/>
      <c r="H98" s="956"/>
    </row>
    <row r="99" spans="1:8" ht="24.75" customHeight="1" x14ac:dyDescent="0.25">
      <c r="A99" s="958" t="s">
        <v>774</v>
      </c>
      <c r="B99" s="986" t="s">
        <v>1068</v>
      </c>
      <c r="C99" s="966" t="s">
        <v>1546</v>
      </c>
      <c r="D99" s="947">
        <f>'BS-E Old format'!F59</f>
        <v>0</v>
      </c>
      <c r="E99" s="947"/>
      <c r="F99" s="947"/>
      <c r="G99" s="947">
        <f>D99-D100</f>
        <v>0</v>
      </c>
      <c r="H99" s="956">
        <f>'BS-E Old format'!I59</f>
        <v>0</v>
      </c>
    </row>
    <row r="100" spans="1:8" ht="27.75" customHeight="1" x14ac:dyDescent="0.25">
      <c r="A100" s="958"/>
      <c r="B100" s="987"/>
      <c r="C100" s="966"/>
      <c r="D100" s="947">
        <f>'BS-E Old format'!G59</f>
        <v>0</v>
      </c>
      <c r="E100" s="947"/>
      <c r="F100" s="947"/>
      <c r="G100" s="947"/>
      <c r="H100" s="956"/>
    </row>
    <row r="101" spans="1:8" ht="24.75" customHeight="1" x14ac:dyDescent="0.25">
      <c r="A101" s="958" t="s">
        <v>1046</v>
      </c>
      <c r="B101" s="984" t="s">
        <v>1069</v>
      </c>
      <c r="C101" s="966" t="s">
        <v>700</v>
      </c>
      <c r="D101" s="947">
        <f>'BS-E Old format'!F60</f>
        <v>0</v>
      </c>
      <c r="E101" s="947"/>
      <c r="F101" s="947"/>
      <c r="G101" s="947">
        <f>D101-D102</f>
        <v>0</v>
      </c>
      <c r="H101" s="956">
        <f>'BS-E Old format'!I60</f>
        <v>0</v>
      </c>
    </row>
    <row r="102" spans="1:8" ht="28.5" customHeight="1" x14ac:dyDescent="0.25">
      <c r="A102" s="958"/>
      <c r="B102" s="984"/>
      <c r="C102" s="966"/>
      <c r="D102" s="947">
        <f>'BS-E Old format'!G60</f>
        <v>0</v>
      </c>
      <c r="E102" s="947"/>
      <c r="F102" s="947"/>
      <c r="G102" s="947"/>
      <c r="H102" s="956"/>
    </row>
    <row r="103" spans="1:8" ht="23.25" customHeight="1" x14ac:dyDescent="0.25">
      <c r="A103" s="958" t="s">
        <v>1048</v>
      </c>
      <c r="B103" s="964" t="s">
        <v>1070</v>
      </c>
      <c r="C103" s="966" t="s">
        <v>701</v>
      </c>
      <c r="D103" s="947">
        <f>'BS-E Old format'!F61</f>
        <v>0</v>
      </c>
      <c r="E103" s="947"/>
      <c r="F103" s="947"/>
      <c r="G103" s="947">
        <f>D103-D104</f>
        <v>0</v>
      </c>
      <c r="H103" s="956">
        <f>'BS-E Old format'!I61</f>
        <v>0</v>
      </c>
    </row>
    <row r="104" spans="1:8" ht="23.25" customHeight="1" x14ac:dyDescent="0.25">
      <c r="A104" s="958"/>
      <c r="B104" s="964"/>
      <c r="C104" s="966"/>
      <c r="D104" s="947">
        <f>'BS-E Old format'!G61</f>
        <v>0</v>
      </c>
      <c r="E104" s="947"/>
      <c r="F104" s="947"/>
      <c r="G104" s="947"/>
      <c r="H104" s="956"/>
    </row>
    <row r="105" spans="1:8" ht="23.25" customHeight="1" x14ac:dyDescent="0.25">
      <c r="A105" s="958" t="s">
        <v>1050</v>
      </c>
      <c r="B105" s="964" t="s">
        <v>1071</v>
      </c>
      <c r="C105" s="966" t="s">
        <v>702</v>
      </c>
      <c r="D105" s="947">
        <f>'BS-E Old format'!F62</f>
        <v>0</v>
      </c>
      <c r="E105" s="947"/>
      <c r="F105" s="947"/>
      <c r="G105" s="947">
        <f>D105-D106</f>
        <v>0</v>
      </c>
      <c r="H105" s="956">
        <f>'BS-E Old format'!I62</f>
        <v>0</v>
      </c>
    </row>
    <row r="106" spans="1:8" ht="23.25" customHeight="1" x14ac:dyDescent="0.25">
      <c r="A106" s="958"/>
      <c r="B106" s="964"/>
      <c r="C106" s="966"/>
      <c r="D106" s="947">
        <f>'BS-E Old format'!G62</f>
        <v>0</v>
      </c>
      <c r="E106" s="947"/>
      <c r="F106" s="947"/>
      <c r="G106" s="947"/>
      <c r="H106" s="956"/>
    </row>
    <row r="107" spans="1:8" s="299" customFormat="1" ht="22.5" customHeight="1" x14ac:dyDescent="0.25">
      <c r="A107" s="981" t="s">
        <v>946</v>
      </c>
      <c r="B107" s="949" t="s">
        <v>1956</v>
      </c>
      <c r="C107" s="969" t="s">
        <v>703</v>
      </c>
      <c r="D107" s="952">
        <f>'BS-E Old format'!F64</f>
        <v>9070.5</v>
      </c>
      <c r="E107" s="952"/>
      <c r="F107" s="952"/>
      <c r="G107" s="952">
        <f>D107-D108</f>
        <v>9070.5</v>
      </c>
      <c r="H107" s="973" t="e">
        <f>'BS-E Old format'!I64</f>
        <v>#REF!</v>
      </c>
    </row>
    <row r="108" spans="1:8" s="299" customFormat="1" ht="23.25" customHeight="1" x14ac:dyDescent="0.25">
      <c r="A108" s="981"/>
      <c r="B108" s="949"/>
      <c r="C108" s="969"/>
      <c r="D108" s="952">
        <f>'BS-E Old format'!G64</f>
        <v>0</v>
      </c>
      <c r="E108" s="952"/>
      <c r="F108" s="952"/>
      <c r="G108" s="952"/>
      <c r="H108" s="973"/>
    </row>
    <row r="109" spans="1:8" ht="24.75" customHeight="1" x14ac:dyDescent="0.25">
      <c r="A109" s="985" t="s">
        <v>1329</v>
      </c>
      <c r="B109" s="964" t="s">
        <v>1072</v>
      </c>
      <c r="C109" s="966" t="s">
        <v>704</v>
      </c>
      <c r="D109" s="947">
        <f>'BS-E Old format'!F65</f>
        <v>8541</v>
      </c>
      <c r="E109" s="947"/>
      <c r="F109" s="947"/>
      <c r="G109" s="947">
        <f>D109-D110</f>
        <v>8541</v>
      </c>
      <c r="H109" s="956" t="e">
        <f>'BS-E Old format'!I65</f>
        <v>#REF!</v>
      </c>
    </row>
    <row r="110" spans="1:8" ht="27" customHeight="1" x14ac:dyDescent="0.25">
      <c r="A110" s="985"/>
      <c r="B110" s="964"/>
      <c r="C110" s="966"/>
      <c r="D110" s="947">
        <f>'BS-E Old format'!G65</f>
        <v>0</v>
      </c>
      <c r="E110" s="947"/>
      <c r="F110" s="947"/>
      <c r="G110" s="947"/>
      <c r="H110" s="956"/>
    </row>
    <row r="111" spans="1:8" ht="24.75" customHeight="1" x14ac:dyDescent="0.25">
      <c r="A111" s="958" t="s">
        <v>773</v>
      </c>
      <c r="B111" s="964" t="s">
        <v>1067</v>
      </c>
      <c r="C111" s="966" t="s">
        <v>705</v>
      </c>
      <c r="D111" s="947">
        <f>'BS-E Old format'!F66</f>
        <v>0</v>
      </c>
      <c r="E111" s="947"/>
      <c r="F111" s="947"/>
      <c r="G111" s="947">
        <f>D111-D112</f>
        <v>0</v>
      </c>
      <c r="H111" s="956">
        <f>'BS-E Old format'!I66</f>
        <v>0</v>
      </c>
    </row>
    <row r="112" spans="1:8" ht="27" customHeight="1" x14ac:dyDescent="0.25">
      <c r="A112" s="958"/>
      <c r="B112" s="964"/>
      <c r="C112" s="966"/>
      <c r="D112" s="947">
        <f>'BS-E Old format'!G66</f>
        <v>0</v>
      </c>
      <c r="E112" s="947"/>
      <c r="F112" s="947"/>
      <c r="G112" s="947"/>
      <c r="H112" s="956"/>
    </row>
    <row r="113" spans="1:8" ht="24.75" customHeight="1" x14ac:dyDescent="0.25">
      <c r="A113" s="958" t="s">
        <v>774</v>
      </c>
      <c r="B113" s="964" t="s">
        <v>1068</v>
      </c>
      <c r="C113" s="966" t="s">
        <v>1474</v>
      </c>
      <c r="D113" s="947">
        <f>'BS-E Old format'!F67</f>
        <v>0</v>
      </c>
      <c r="E113" s="947"/>
      <c r="F113" s="947"/>
      <c r="G113" s="947">
        <f>D113-D114</f>
        <v>0</v>
      </c>
      <c r="H113" s="956">
        <f>'BS-E Old format'!I67</f>
        <v>0</v>
      </c>
    </row>
    <row r="114" spans="1:8" ht="27" customHeight="1" x14ac:dyDescent="0.25">
      <c r="A114" s="958"/>
      <c r="B114" s="964"/>
      <c r="C114" s="966"/>
      <c r="D114" s="947">
        <f>'BS-E Old format'!G67</f>
        <v>0</v>
      </c>
      <c r="E114" s="947"/>
      <c r="F114" s="947"/>
      <c r="G114" s="947"/>
      <c r="H114" s="956"/>
    </row>
    <row r="115" spans="1:8" ht="24.75" customHeight="1" x14ac:dyDescent="0.25">
      <c r="A115" s="958" t="s">
        <v>1046</v>
      </c>
      <c r="B115" s="984" t="s">
        <v>1073</v>
      </c>
      <c r="C115" s="966" t="s">
        <v>1476</v>
      </c>
      <c r="D115" s="947">
        <f>'BS-E Old format'!F68</f>
        <v>0</v>
      </c>
      <c r="E115" s="947"/>
      <c r="F115" s="947"/>
      <c r="G115" s="947">
        <f>D115-D116</f>
        <v>0</v>
      </c>
      <c r="H115" s="956">
        <f>'BS-E Old format'!I68</f>
        <v>0</v>
      </c>
    </row>
    <row r="116" spans="1:8" ht="27.75" customHeight="1" x14ac:dyDescent="0.25">
      <c r="A116" s="958"/>
      <c r="B116" s="984"/>
      <c r="C116" s="966"/>
      <c r="D116" s="947">
        <f>'BS-E Old format'!G68</f>
        <v>0</v>
      </c>
      <c r="E116" s="947"/>
      <c r="F116" s="947"/>
      <c r="G116" s="947"/>
      <c r="H116" s="956"/>
    </row>
    <row r="117" spans="1:8" ht="22.5" customHeight="1" x14ac:dyDescent="0.25">
      <c r="A117" s="958" t="s">
        <v>1048</v>
      </c>
      <c r="B117" s="964" t="s">
        <v>1074</v>
      </c>
      <c r="C117" s="966" t="s">
        <v>706</v>
      </c>
      <c r="D117" s="947">
        <f>'BS-E Old format'!F69</f>
        <v>0</v>
      </c>
      <c r="E117" s="947"/>
      <c r="F117" s="947"/>
      <c r="G117" s="947">
        <f>D117-D118</f>
        <v>0</v>
      </c>
      <c r="H117" s="956">
        <f>'BS-E Old format'!I69</f>
        <v>0</v>
      </c>
    </row>
    <row r="118" spans="1:8" ht="22.5" customHeight="1" x14ac:dyDescent="0.25">
      <c r="A118" s="958"/>
      <c r="B118" s="964"/>
      <c r="C118" s="966"/>
      <c r="D118" s="947">
        <f>'BS-E Old format'!G69</f>
        <v>0</v>
      </c>
      <c r="E118" s="947"/>
      <c r="F118" s="947"/>
      <c r="G118" s="947"/>
      <c r="H118" s="956"/>
    </row>
    <row r="119" spans="1:8" ht="22.5" customHeight="1" x14ac:dyDescent="0.25">
      <c r="A119" s="958" t="s">
        <v>1050</v>
      </c>
      <c r="B119" s="964" t="s">
        <v>1075</v>
      </c>
      <c r="C119" s="966" t="s">
        <v>707</v>
      </c>
      <c r="D119" s="947">
        <f>'BS-E Old format'!F70</f>
        <v>529.5</v>
      </c>
      <c r="E119" s="947"/>
      <c r="F119" s="947"/>
      <c r="G119" s="947">
        <f>D119-D120</f>
        <v>529.5</v>
      </c>
      <c r="H119" s="956">
        <f>'BS-E Old format'!I70</f>
        <v>0</v>
      </c>
    </row>
    <row r="120" spans="1:8" ht="23.25" customHeight="1" x14ac:dyDescent="0.25">
      <c r="A120" s="958"/>
      <c r="B120" s="964"/>
      <c r="C120" s="966"/>
      <c r="D120" s="947">
        <f>'BS-E Old format'!G70</f>
        <v>0</v>
      </c>
      <c r="E120" s="947"/>
      <c r="F120" s="947"/>
      <c r="G120" s="947"/>
      <c r="H120" s="956"/>
    </row>
    <row r="121" spans="1:8" ht="23.25" customHeight="1" x14ac:dyDescent="0.25">
      <c r="A121" s="958" t="s">
        <v>1052</v>
      </c>
      <c r="B121" s="964" t="s">
        <v>1070</v>
      </c>
      <c r="C121" s="966" t="s">
        <v>708</v>
      </c>
      <c r="D121" s="947">
        <f>'BS-E Old format'!F71</f>
        <v>0</v>
      </c>
      <c r="E121" s="947"/>
      <c r="F121" s="947"/>
      <c r="G121" s="947">
        <f>D121-D122</f>
        <v>0</v>
      </c>
      <c r="H121" s="956">
        <f>'BS-E Old format'!I71</f>
        <v>0</v>
      </c>
    </row>
    <row r="122" spans="1:8" ht="23.25" customHeight="1" x14ac:dyDescent="0.25">
      <c r="A122" s="958"/>
      <c r="B122" s="964"/>
      <c r="C122" s="966"/>
      <c r="D122" s="947">
        <f>'BS-E Old format'!G71</f>
        <v>0</v>
      </c>
      <c r="E122" s="947"/>
      <c r="F122" s="947"/>
      <c r="G122" s="947"/>
      <c r="H122" s="956"/>
    </row>
    <row r="123" spans="1:8" s="299" customFormat="1" ht="24" customHeight="1" x14ac:dyDescent="0.25">
      <c r="A123" s="981" t="s">
        <v>947</v>
      </c>
      <c r="B123" s="949" t="s">
        <v>1076</v>
      </c>
      <c r="C123" s="969" t="s">
        <v>709</v>
      </c>
      <c r="D123" s="952">
        <f>'BS-E Old format'!F73</f>
        <v>16.509999999999991</v>
      </c>
      <c r="E123" s="952"/>
      <c r="F123" s="952"/>
      <c r="G123" s="952">
        <f>D123-D124</f>
        <v>16.509999999999991</v>
      </c>
      <c r="H123" s="973">
        <f>'BS-E Old format'!I73</f>
        <v>0</v>
      </c>
    </row>
    <row r="124" spans="1:8" s="299" customFormat="1" ht="22.5" customHeight="1" thickBot="1" x14ac:dyDescent="0.3">
      <c r="A124" s="982"/>
      <c r="B124" s="951"/>
      <c r="C124" s="983"/>
      <c r="D124" s="953">
        <f>'BS-E Old format'!G73</f>
        <v>0</v>
      </c>
      <c r="E124" s="953"/>
      <c r="F124" s="953"/>
      <c r="G124" s="953"/>
      <c r="H124" s="980"/>
    </row>
    <row r="125" spans="1:8" s="282" customFormat="1" ht="11.25" customHeight="1" x14ac:dyDescent="0.25">
      <c r="A125" s="960" t="s">
        <v>1184</v>
      </c>
      <c r="B125" s="946" t="s">
        <v>1185</v>
      </c>
      <c r="C125" s="962" t="s">
        <v>2430</v>
      </c>
      <c r="D125" s="946" t="s">
        <v>922</v>
      </c>
      <c r="E125" s="946"/>
      <c r="F125" s="946"/>
      <c r="G125" s="946"/>
      <c r="H125" s="976" t="s">
        <v>923</v>
      </c>
    </row>
    <row r="126" spans="1:8" s="282" customFormat="1" ht="11.25" customHeight="1" x14ac:dyDescent="0.25">
      <c r="A126" s="961"/>
      <c r="B126" s="954"/>
      <c r="C126" s="963"/>
      <c r="D126" s="978">
        <v>1</v>
      </c>
      <c r="E126" s="954" t="s">
        <v>2286</v>
      </c>
      <c r="F126" s="954"/>
      <c r="G126" s="979" t="s">
        <v>2431</v>
      </c>
      <c r="H126" s="977"/>
    </row>
    <row r="127" spans="1:8" s="282" customFormat="1" ht="11.25" customHeight="1" x14ac:dyDescent="0.25">
      <c r="A127" s="961"/>
      <c r="B127" s="954"/>
      <c r="C127" s="963"/>
      <c r="D127" s="978"/>
      <c r="E127" s="954" t="s">
        <v>2287</v>
      </c>
      <c r="F127" s="954"/>
      <c r="G127" s="979"/>
      <c r="H127" s="288" t="s">
        <v>2432</v>
      </c>
    </row>
    <row r="128" spans="1:8" ht="24.75" customHeight="1" x14ac:dyDescent="0.25">
      <c r="A128" s="972" t="s">
        <v>1334</v>
      </c>
      <c r="B128" s="964" t="s">
        <v>1077</v>
      </c>
      <c r="C128" s="966" t="s">
        <v>710</v>
      </c>
      <c r="D128" s="947">
        <f>'BS-E Old format'!F74</f>
        <v>16.509999999999991</v>
      </c>
      <c r="E128" s="947"/>
      <c r="F128" s="947"/>
      <c r="G128" s="947">
        <f>D128-D129</f>
        <v>16.509999999999991</v>
      </c>
      <c r="H128" s="956">
        <f>'BS-E Old format'!I74</f>
        <v>0</v>
      </c>
    </row>
    <row r="129" spans="1:8" ht="24.75" customHeight="1" x14ac:dyDescent="0.25">
      <c r="A129" s="972"/>
      <c r="B129" s="964"/>
      <c r="C129" s="966"/>
      <c r="D129" s="947">
        <f>'BS-E Old format'!G74</f>
        <v>0</v>
      </c>
      <c r="E129" s="947"/>
      <c r="F129" s="947"/>
      <c r="G129" s="947"/>
      <c r="H129" s="956"/>
    </row>
    <row r="130" spans="1:8" ht="24.75" customHeight="1" x14ac:dyDescent="0.25">
      <c r="A130" s="958" t="s">
        <v>773</v>
      </c>
      <c r="B130" s="964" t="s">
        <v>1078</v>
      </c>
      <c r="C130" s="966" t="s">
        <v>1085</v>
      </c>
      <c r="D130" s="947">
        <f>'BS-E Old format'!F75</f>
        <v>0</v>
      </c>
      <c r="E130" s="947"/>
      <c r="F130" s="947"/>
      <c r="G130" s="947">
        <f>D130-D131</f>
        <v>0</v>
      </c>
      <c r="H130" s="956">
        <f>'BS-E Old format'!I75</f>
        <v>0</v>
      </c>
    </row>
    <row r="131" spans="1:8" ht="24.75" customHeight="1" x14ac:dyDescent="0.25">
      <c r="A131" s="958"/>
      <c r="B131" s="964"/>
      <c r="C131" s="966"/>
      <c r="D131" s="947">
        <f>'BS-E Old format'!G75</f>
        <v>0</v>
      </c>
      <c r="E131" s="947"/>
      <c r="F131" s="947"/>
      <c r="G131" s="947"/>
      <c r="H131" s="956"/>
    </row>
    <row r="132" spans="1:8" ht="24.75" customHeight="1" x14ac:dyDescent="0.25">
      <c r="A132" s="958" t="s">
        <v>774</v>
      </c>
      <c r="B132" s="964" t="s">
        <v>1122</v>
      </c>
      <c r="C132" s="966" t="s">
        <v>1086</v>
      </c>
      <c r="D132" s="947">
        <f>'BS-E Old format'!F76</f>
        <v>0</v>
      </c>
      <c r="E132" s="947"/>
      <c r="F132" s="947"/>
      <c r="G132" s="947">
        <f>D132-D133</f>
        <v>0</v>
      </c>
      <c r="H132" s="956">
        <f>'BS-E Old format'!I76</f>
        <v>0</v>
      </c>
    </row>
    <row r="133" spans="1:8" ht="24.75" customHeight="1" x14ac:dyDescent="0.25">
      <c r="A133" s="958"/>
      <c r="B133" s="964"/>
      <c r="C133" s="966"/>
      <c r="D133" s="947">
        <f>'BS-E Old format'!G76</f>
        <v>0</v>
      </c>
      <c r="E133" s="947"/>
      <c r="F133" s="947"/>
      <c r="G133" s="947"/>
      <c r="H133" s="956"/>
    </row>
    <row r="134" spans="1:8" ht="24.75" customHeight="1" x14ac:dyDescent="0.25">
      <c r="A134" s="958" t="s">
        <v>1046</v>
      </c>
      <c r="B134" s="964" t="s">
        <v>1123</v>
      </c>
      <c r="C134" s="966" t="s">
        <v>1087</v>
      </c>
      <c r="D134" s="947">
        <f>'BS-E Old format'!F77</f>
        <v>0</v>
      </c>
      <c r="E134" s="947"/>
      <c r="F134" s="947"/>
      <c r="G134" s="947">
        <f>D134-D135</f>
        <v>0</v>
      </c>
      <c r="H134" s="956">
        <f>'BS-E Old format'!I77</f>
        <v>0</v>
      </c>
    </row>
    <row r="135" spans="1:8" ht="24.75" customHeight="1" x14ac:dyDescent="0.25">
      <c r="A135" s="958"/>
      <c r="B135" s="964"/>
      <c r="C135" s="966"/>
      <c r="D135" s="947">
        <f>'BS-E Old format'!G77</f>
        <v>0</v>
      </c>
      <c r="E135" s="947"/>
      <c r="F135" s="947"/>
      <c r="G135" s="947"/>
      <c r="H135" s="956"/>
    </row>
    <row r="136" spans="1:8" ht="24.75" customHeight="1" x14ac:dyDescent="0.25">
      <c r="A136" s="958" t="s">
        <v>1048</v>
      </c>
      <c r="B136" s="964" t="s">
        <v>1124</v>
      </c>
      <c r="C136" s="966" t="s">
        <v>224</v>
      </c>
      <c r="D136" s="947">
        <f>'BS-E Old format'!F78</f>
        <v>0</v>
      </c>
      <c r="E136" s="947"/>
      <c r="F136" s="947"/>
      <c r="G136" s="947">
        <f>D136-D137</f>
        <v>0</v>
      </c>
      <c r="H136" s="956">
        <f>'BS-E Old format'!I78</f>
        <v>0</v>
      </c>
    </row>
    <row r="137" spans="1:8" ht="24.75" customHeight="1" x14ac:dyDescent="0.25">
      <c r="A137" s="958"/>
      <c r="B137" s="964"/>
      <c r="C137" s="966"/>
      <c r="D137" s="947">
        <f>'BS-E Old format'!G78</f>
        <v>0</v>
      </c>
      <c r="E137" s="947"/>
      <c r="F137" s="947"/>
      <c r="G137" s="947"/>
      <c r="H137" s="956"/>
    </row>
    <row r="138" spans="1:8" s="299" customFormat="1" ht="24.75" customHeight="1" x14ac:dyDescent="0.25">
      <c r="A138" s="968" t="s">
        <v>934</v>
      </c>
      <c r="B138" s="949" t="s">
        <v>1125</v>
      </c>
      <c r="C138" s="969" t="s">
        <v>226</v>
      </c>
      <c r="D138" s="952">
        <f>'BS-E Old format'!F80</f>
        <v>0</v>
      </c>
      <c r="E138" s="952"/>
      <c r="F138" s="952"/>
      <c r="G138" s="952">
        <f>D138-D139</f>
        <v>0</v>
      </c>
      <c r="H138" s="973">
        <f>'BS-E Old format'!I80</f>
        <v>0</v>
      </c>
    </row>
    <row r="139" spans="1:8" s="299" customFormat="1" ht="24.75" customHeight="1" x14ac:dyDescent="0.25">
      <c r="A139" s="968"/>
      <c r="B139" s="949"/>
      <c r="C139" s="969"/>
      <c r="D139" s="952">
        <f>'BS-E Old format'!G80</f>
        <v>0</v>
      </c>
      <c r="E139" s="952"/>
      <c r="F139" s="952"/>
      <c r="G139" s="952"/>
      <c r="H139" s="973"/>
    </row>
    <row r="140" spans="1:8" ht="24.75" customHeight="1" x14ac:dyDescent="0.25">
      <c r="A140" s="972" t="s">
        <v>2595</v>
      </c>
      <c r="B140" s="964" t="s">
        <v>1126</v>
      </c>
      <c r="C140" s="966" t="s">
        <v>228</v>
      </c>
      <c r="D140" s="947">
        <f>'BS-E Old format'!F82</f>
        <v>0</v>
      </c>
      <c r="E140" s="947"/>
      <c r="F140" s="947"/>
      <c r="G140" s="947">
        <f>D140-D141</f>
        <v>0</v>
      </c>
      <c r="H140" s="974">
        <f>'BS-E Old format'!I82</f>
        <v>0</v>
      </c>
    </row>
    <row r="141" spans="1:8" ht="24.75" customHeight="1" x14ac:dyDescent="0.25">
      <c r="A141" s="972"/>
      <c r="B141" s="964"/>
      <c r="C141" s="966"/>
      <c r="D141" s="947">
        <f>'BS-E Old format'!G82</f>
        <v>0</v>
      </c>
      <c r="E141" s="947"/>
      <c r="F141" s="947"/>
      <c r="G141" s="947"/>
      <c r="H141" s="975"/>
    </row>
    <row r="142" spans="1:8" s="307" customFormat="1" ht="24.75" customHeight="1" x14ac:dyDescent="0.2">
      <c r="A142" s="958" t="s">
        <v>773</v>
      </c>
      <c r="B142" s="964" t="s">
        <v>1127</v>
      </c>
      <c r="C142" s="966" t="s">
        <v>1139</v>
      </c>
      <c r="D142" s="947">
        <f>'BS-E Old format'!F83</f>
        <v>0</v>
      </c>
      <c r="E142" s="947"/>
      <c r="F142" s="947"/>
      <c r="G142" s="947">
        <f>D142-D143</f>
        <v>0</v>
      </c>
      <c r="H142" s="956">
        <f>'BS-E Old format'!I83</f>
        <v>0</v>
      </c>
    </row>
    <row r="143" spans="1:8" s="307" customFormat="1" ht="24.75" customHeight="1" thickBot="1" x14ac:dyDescent="0.25">
      <c r="A143" s="959"/>
      <c r="B143" s="965"/>
      <c r="C143" s="967"/>
      <c r="D143" s="948">
        <f>'BS-E Old format'!G83</f>
        <v>0</v>
      </c>
      <c r="E143" s="948"/>
      <c r="F143" s="948"/>
      <c r="G143" s="948"/>
      <c r="H143" s="957"/>
    </row>
    <row r="144" spans="1:8" ht="33.75" customHeight="1" x14ac:dyDescent="0.25">
      <c r="A144" s="418" t="s">
        <v>1184</v>
      </c>
      <c r="B144" s="946" t="s">
        <v>1128</v>
      </c>
      <c r="C144" s="946"/>
      <c r="D144" s="946"/>
      <c r="E144" s="946"/>
      <c r="F144" s="450" t="s">
        <v>2430</v>
      </c>
      <c r="G144" s="449" t="s">
        <v>1129</v>
      </c>
      <c r="H144" s="451" t="s">
        <v>1837</v>
      </c>
    </row>
    <row r="145" spans="1:8" s="299" customFormat="1" ht="24.75" customHeight="1" x14ac:dyDescent="0.25">
      <c r="A145" s="312"/>
      <c r="B145" s="949" t="s">
        <v>1838</v>
      </c>
      <c r="C145" s="949"/>
      <c r="D145" s="949"/>
      <c r="E145" s="949"/>
      <c r="F145" s="290" t="s">
        <v>1141</v>
      </c>
      <c r="G145" s="435">
        <f>'BS-E Old format'!F91</f>
        <v>9087.01</v>
      </c>
      <c r="H145" s="436" t="e">
        <f>'BS-E Old format'!G91</f>
        <v>#REF!</v>
      </c>
    </row>
    <row r="146" spans="1:8" s="299" customFormat="1" ht="24.75" customHeight="1" x14ac:dyDescent="0.25">
      <c r="A146" s="292" t="s">
        <v>932</v>
      </c>
      <c r="B146" s="949" t="s">
        <v>1839</v>
      </c>
      <c r="C146" s="949"/>
      <c r="D146" s="949"/>
      <c r="E146" s="949"/>
      <c r="F146" s="290" t="s">
        <v>1687</v>
      </c>
      <c r="G146" s="435">
        <f>'BS-E Old format'!F93</f>
        <v>459.97000000000116</v>
      </c>
      <c r="H146" s="436" t="e">
        <f>'BS-E Old format'!G93</f>
        <v>#REF!</v>
      </c>
    </row>
    <row r="147" spans="1:8" s="299" customFormat="1" ht="22.5" customHeight="1" x14ac:dyDescent="0.25">
      <c r="A147" s="292" t="s">
        <v>948</v>
      </c>
      <c r="B147" s="949" t="s">
        <v>1840</v>
      </c>
      <c r="C147" s="949"/>
      <c r="D147" s="949"/>
      <c r="E147" s="949"/>
      <c r="F147" s="290" t="s">
        <v>1689</v>
      </c>
      <c r="G147" s="435">
        <f>'BS-E Old format'!F95</f>
        <v>11618</v>
      </c>
      <c r="H147" s="436">
        <f>'BS-E Old format'!G95</f>
        <v>0</v>
      </c>
    </row>
    <row r="148" spans="1:8" ht="21" customHeight="1" x14ac:dyDescent="0.25">
      <c r="A148" s="306" t="s">
        <v>2809</v>
      </c>
      <c r="B148" s="950" t="s">
        <v>1018</v>
      </c>
      <c r="C148" s="950"/>
      <c r="D148" s="950"/>
      <c r="E148" s="950"/>
      <c r="F148" s="294" t="s">
        <v>2467</v>
      </c>
      <c r="G148" s="437">
        <f>'BS-E Old format'!F96</f>
        <v>11618</v>
      </c>
      <c r="H148" s="438">
        <f>'BS-E Old format'!G96</f>
        <v>0</v>
      </c>
    </row>
    <row r="149" spans="1:8" ht="19.5" customHeight="1" x14ac:dyDescent="0.25">
      <c r="A149" s="300" t="s">
        <v>773</v>
      </c>
      <c r="B149" s="950" t="s">
        <v>1019</v>
      </c>
      <c r="C149" s="950"/>
      <c r="D149" s="950"/>
      <c r="E149" s="950"/>
      <c r="F149" s="294" t="s">
        <v>1692</v>
      </c>
      <c r="G149" s="437">
        <f>'BS-E Old format'!F97</f>
        <v>0</v>
      </c>
      <c r="H149" s="438">
        <f>'BS-E Old format'!G97</f>
        <v>0</v>
      </c>
    </row>
    <row r="150" spans="1:8" ht="22.5" customHeight="1" x14ac:dyDescent="0.25">
      <c r="A150" s="300" t="s">
        <v>774</v>
      </c>
      <c r="B150" s="950" t="s">
        <v>2255</v>
      </c>
      <c r="C150" s="950"/>
      <c r="D150" s="950"/>
      <c r="E150" s="950"/>
      <c r="F150" s="294" t="s">
        <v>2470</v>
      </c>
      <c r="G150" s="437">
        <f>'BS-E Old format'!F98</f>
        <v>0</v>
      </c>
      <c r="H150" s="438">
        <f>'BS-E Old format'!G98</f>
        <v>0</v>
      </c>
    </row>
    <row r="151" spans="1:8" s="299" customFormat="1" ht="24.75" customHeight="1" x14ac:dyDescent="0.25">
      <c r="A151" s="292" t="s">
        <v>949</v>
      </c>
      <c r="B151" s="949" t="s">
        <v>1960</v>
      </c>
      <c r="C151" s="949"/>
      <c r="D151" s="949"/>
      <c r="E151" s="949"/>
      <c r="F151" s="290" t="s">
        <v>1696</v>
      </c>
      <c r="G151" s="435">
        <f>'BS-E Old format'!F100</f>
        <v>0</v>
      </c>
      <c r="H151" s="436">
        <f>'BS-E Old format'!G100</f>
        <v>0</v>
      </c>
    </row>
    <row r="152" spans="1:8" ht="22.5" customHeight="1" x14ac:dyDescent="0.25">
      <c r="A152" s="306" t="s">
        <v>2811</v>
      </c>
      <c r="B152" s="950" t="s">
        <v>1986</v>
      </c>
      <c r="C152" s="950"/>
      <c r="D152" s="950"/>
      <c r="E152" s="950"/>
      <c r="F152" s="294" t="s">
        <v>1698</v>
      </c>
      <c r="G152" s="437">
        <f>'BS-E Old format'!F101</f>
        <v>0</v>
      </c>
      <c r="H152" s="438">
        <f>'BS-E Old format'!G101</f>
        <v>0</v>
      </c>
    </row>
    <row r="153" spans="1:8" ht="22.5" customHeight="1" x14ac:dyDescent="0.25">
      <c r="A153" s="300" t="s">
        <v>773</v>
      </c>
      <c r="B153" s="950" t="s">
        <v>1987</v>
      </c>
      <c r="C153" s="950"/>
      <c r="D153" s="950"/>
      <c r="E153" s="950"/>
      <c r="F153" s="294" t="s">
        <v>1719</v>
      </c>
      <c r="G153" s="437">
        <f>'BS-E Old format'!F102</f>
        <v>0</v>
      </c>
      <c r="H153" s="438">
        <f>'BS-E Old format'!G102</f>
        <v>0</v>
      </c>
    </row>
    <row r="154" spans="1:8" ht="30.75" customHeight="1" x14ac:dyDescent="0.25">
      <c r="A154" s="300" t="s">
        <v>774</v>
      </c>
      <c r="B154" s="950" t="s">
        <v>1631</v>
      </c>
      <c r="C154" s="950"/>
      <c r="D154" s="950"/>
      <c r="E154" s="950"/>
      <c r="F154" s="294" t="s">
        <v>1721</v>
      </c>
      <c r="G154" s="437">
        <f>'BS-E Old format'!F103</f>
        <v>0</v>
      </c>
      <c r="H154" s="438">
        <f>'BS-E Old format'!G103</f>
        <v>0</v>
      </c>
    </row>
    <row r="155" spans="1:8" ht="29.25" customHeight="1" x14ac:dyDescent="0.25">
      <c r="A155" s="300" t="s">
        <v>1046</v>
      </c>
      <c r="B155" s="950" t="s">
        <v>2256</v>
      </c>
      <c r="C155" s="950"/>
      <c r="D155" s="950"/>
      <c r="E155" s="950"/>
      <c r="F155" s="294" t="s">
        <v>729</v>
      </c>
      <c r="G155" s="437">
        <f>'BS-E Old format'!F104</f>
        <v>0</v>
      </c>
      <c r="H155" s="438">
        <f>'BS-E Old format'!G104</f>
        <v>0</v>
      </c>
    </row>
    <row r="156" spans="1:8" ht="23.25" customHeight="1" x14ac:dyDescent="0.25">
      <c r="A156" s="300" t="s">
        <v>1048</v>
      </c>
      <c r="B156" s="950" t="s">
        <v>2257</v>
      </c>
      <c r="C156" s="950"/>
      <c r="D156" s="950"/>
      <c r="E156" s="950"/>
      <c r="F156" s="294" t="s">
        <v>730</v>
      </c>
      <c r="G156" s="437">
        <f>'BS-E Old format'!F105</f>
        <v>0</v>
      </c>
      <c r="H156" s="438">
        <f>'BS-E Old format'!G105</f>
        <v>0</v>
      </c>
    </row>
    <row r="157" spans="1:8" ht="25.5" customHeight="1" x14ac:dyDescent="0.25">
      <c r="A157" s="300" t="s">
        <v>1050</v>
      </c>
      <c r="B157" s="950" t="s">
        <v>1991</v>
      </c>
      <c r="C157" s="950"/>
      <c r="D157" s="950"/>
      <c r="E157" s="950"/>
      <c r="F157" s="294" t="s">
        <v>731</v>
      </c>
      <c r="G157" s="437">
        <f>'BS-E Old format'!F106</f>
        <v>0</v>
      </c>
      <c r="H157" s="438">
        <f>'BS-E Old format'!G106</f>
        <v>0</v>
      </c>
    </row>
    <row r="158" spans="1:8" s="299" customFormat="1" ht="24.75" customHeight="1" x14ac:dyDescent="0.25">
      <c r="A158" s="292" t="s">
        <v>1749</v>
      </c>
      <c r="B158" s="949" t="s">
        <v>2258</v>
      </c>
      <c r="C158" s="949"/>
      <c r="D158" s="949"/>
      <c r="E158" s="949"/>
      <c r="F158" s="290" t="s">
        <v>1724</v>
      </c>
      <c r="G158" s="435">
        <f>'BS-E Old format'!F108</f>
        <v>0</v>
      </c>
      <c r="H158" s="436">
        <f>'BS-E Old format'!G108</f>
        <v>0</v>
      </c>
    </row>
    <row r="159" spans="1:8" ht="24.75" customHeight="1" x14ac:dyDescent="0.25">
      <c r="A159" s="300" t="s">
        <v>254</v>
      </c>
      <c r="B159" s="950" t="s">
        <v>1632</v>
      </c>
      <c r="C159" s="950"/>
      <c r="D159" s="950"/>
      <c r="E159" s="950"/>
      <c r="F159" s="294" t="s">
        <v>1725</v>
      </c>
      <c r="G159" s="437">
        <f>'BS-E Old format'!F109</f>
        <v>0</v>
      </c>
      <c r="H159" s="438">
        <f>'BS-E Old format'!G109</f>
        <v>0</v>
      </c>
    </row>
    <row r="160" spans="1:8" ht="24.75" customHeight="1" x14ac:dyDescent="0.25">
      <c r="A160" s="300" t="s">
        <v>773</v>
      </c>
      <c r="B160" s="950" t="s">
        <v>1633</v>
      </c>
      <c r="C160" s="950"/>
      <c r="D160" s="950"/>
      <c r="E160" s="950"/>
      <c r="F160" s="294" t="s">
        <v>732</v>
      </c>
      <c r="G160" s="437">
        <f>'BS-E Old format'!F110</f>
        <v>0</v>
      </c>
      <c r="H160" s="438">
        <f>'BS-E Old format'!G110</f>
        <v>0</v>
      </c>
    </row>
    <row r="161" spans="1:8" ht="24.75" customHeight="1" x14ac:dyDescent="0.25">
      <c r="A161" s="300" t="s">
        <v>774</v>
      </c>
      <c r="B161" s="950" t="s">
        <v>2259</v>
      </c>
      <c r="C161" s="950"/>
      <c r="D161" s="950"/>
      <c r="E161" s="950"/>
      <c r="F161" s="294" t="s">
        <v>1729</v>
      </c>
      <c r="G161" s="437">
        <f>'BS-E Old format'!F111</f>
        <v>0</v>
      </c>
      <c r="H161" s="438">
        <f>'BS-E Old format'!G111</f>
        <v>0</v>
      </c>
    </row>
    <row r="162" spans="1:8" s="299" customFormat="1" ht="24.75" customHeight="1" x14ac:dyDescent="0.25">
      <c r="A162" s="292" t="s">
        <v>1750</v>
      </c>
      <c r="B162" s="949" t="s">
        <v>2260</v>
      </c>
      <c r="C162" s="949"/>
      <c r="D162" s="949"/>
      <c r="E162" s="949"/>
      <c r="F162" s="290" t="s">
        <v>1730</v>
      </c>
      <c r="G162" s="435">
        <f>'BS-E Old format'!F113</f>
        <v>-9769.3700000000008</v>
      </c>
      <c r="H162" s="436">
        <f>'BS-E Old format'!G113</f>
        <v>0</v>
      </c>
    </row>
    <row r="163" spans="1:8" ht="22.5" customHeight="1" x14ac:dyDescent="0.25">
      <c r="A163" s="300" t="s">
        <v>2816</v>
      </c>
      <c r="B163" s="950" t="s">
        <v>1792</v>
      </c>
      <c r="C163" s="950"/>
      <c r="D163" s="950"/>
      <c r="E163" s="950"/>
      <c r="F163" s="294" t="s">
        <v>1731</v>
      </c>
      <c r="G163" s="437">
        <f>'BS-E Old format'!F114</f>
        <v>0</v>
      </c>
      <c r="H163" s="438">
        <f>'BS-E Old format'!G114</f>
        <v>0</v>
      </c>
    </row>
    <row r="164" spans="1:8" ht="22.5" customHeight="1" x14ac:dyDescent="0.25">
      <c r="A164" s="300" t="s">
        <v>773</v>
      </c>
      <c r="B164" s="950" t="s">
        <v>1026</v>
      </c>
      <c r="C164" s="950"/>
      <c r="D164" s="950"/>
      <c r="E164" s="950"/>
      <c r="F164" s="294" t="s">
        <v>1732</v>
      </c>
      <c r="G164" s="437">
        <f>'BS-E Old format'!F115</f>
        <v>-9769.3700000000008</v>
      </c>
      <c r="H164" s="438">
        <f>'BS-E Old format'!G115</f>
        <v>0</v>
      </c>
    </row>
    <row r="165" spans="1:8" s="299" customFormat="1" ht="31.5" customHeight="1" x14ac:dyDescent="0.25">
      <c r="A165" s="292" t="s">
        <v>1751</v>
      </c>
      <c r="B165" s="949" t="s">
        <v>2261</v>
      </c>
      <c r="C165" s="949"/>
      <c r="D165" s="949"/>
      <c r="E165" s="949"/>
      <c r="F165" s="290" t="s">
        <v>1733</v>
      </c>
      <c r="G165" s="435">
        <f>'BS-E Old format'!F117</f>
        <v>-1388.659999999998</v>
      </c>
      <c r="H165" s="436" t="e">
        <f>'BS-E Old format'!G117</f>
        <v>#REF!</v>
      </c>
    </row>
    <row r="166" spans="1:8" s="299" customFormat="1" ht="25.5" customHeight="1" x14ac:dyDescent="0.25">
      <c r="A166" s="292" t="s">
        <v>933</v>
      </c>
      <c r="B166" s="949" t="s">
        <v>2262</v>
      </c>
      <c r="C166" s="949"/>
      <c r="D166" s="949"/>
      <c r="E166" s="949"/>
      <c r="F166" s="290" t="s">
        <v>1736</v>
      </c>
      <c r="G166" s="435">
        <f>'BS-E Old format'!F119</f>
        <v>8627.0399999999991</v>
      </c>
      <c r="H166" s="436">
        <f>'BS-E Old format'!G119</f>
        <v>0</v>
      </c>
    </row>
    <row r="167" spans="1:8" s="299" customFormat="1" ht="27" customHeight="1" x14ac:dyDescent="0.25">
      <c r="A167" s="292" t="s">
        <v>942</v>
      </c>
      <c r="B167" s="949" t="s">
        <v>1121</v>
      </c>
      <c r="C167" s="949"/>
      <c r="D167" s="949"/>
      <c r="E167" s="949"/>
      <c r="F167" s="290" t="s">
        <v>1926</v>
      </c>
      <c r="G167" s="435">
        <f>'BS-E Old format'!F121</f>
        <v>0</v>
      </c>
      <c r="H167" s="436">
        <f>'BS-E Old format'!G121</f>
        <v>0</v>
      </c>
    </row>
    <row r="168" spans="1:8" ht="27.75" customHeight="1" x14ac:dyDescent="0.25">
      <c r="A168" s="306" t="s">
        <v>1042</v>
      </c>
      <c r="B168" s="950" t="s">
        <v>2263</v>
      </c>
      <c r="C168" s="950"/>
      <c r="D168" s="950"/>
      <c r="E168" s="950"/>
      <c r="F168" s="294" t="s">
        <v>1738</v>
      </c>
      <c r="G168" s="437">
        <f>'BS-E Old format'!F122</f>
        <v>0</v>
      </c>
      <c r="H168" s="438">
        <f>'BS-E Old format'!G122</f>
        <v>0</v>
      </c>
    </row>
    <row r="169" spans="1:8" ht="24.75" customHeight="1" x14ac:dyDescent="0.25">
      <c r="A169" s="300" t="s">
        <v>773</v>
      </c>
      <c r="B169" s="950" t="s">
        <v>2264</v>
      </c>
      <c r="C169" s="950"/>
      <c r="D169" s="950"/>
      <c r="E169" s="950"/>
      <c r="F169" s="294" t="s">
        <v>1198</v>
      </c>
      <c r="G169" s="437">
        <f>'BS-E Old format'!F123</f>
        <v>0</v>
      </c>
      <c r="H169" s="438">
        <f>'BS-E Old format'!G123</f>
        <v>0</v>
      </c>
    </row>
    <row r="170" spans="1:8" ht="24.75" customHeight="1" x14ac:dyDescent="0.25">
      <c r="A170" s="300" t="s">
        <v>774</v>
      </c>
      <c r="B170" s="950" t="s">
        <v>2265</v>
      </c>
      <c r="C170" s="950"/>
      <c r="D170" s="950"/>
      <c r="E170" s="950"/>
      <c r="F170" s="294" t="s">
        <v>2052</v>
      </c>
      <c r="G170" s="437">
        <f>'BS-E Old format'!F124</f>
        <v>0</v>
      </c>
      <c r="H170" s="438">
        <f>'BS-E Old format'!G124</f>
        <v>0</v>
      </c>
    </row>
    <row r="171" spans="1:8" s="299" customFormat="1" ht="24.75" customHeight="1" thickBot="1" x14ac:dyDescent="0.3">
      <c r="A171" s="313" t="s">
        <v>943</v>
      </c>
      <c r="B171" s="951" t="s">
        <v>1962</v>
      </c>
      <c r="C171" s="951"/>
      <c r="D171" s="951"/>
      <c r="E171" s="951"/>
      <c r="F171" s="305" t="s">
        <v>1542</v>
      </c>
      <c r="G171" s="439">
        <f>'BS-E Old format'!F126</f>
        <v>0</v>
      </c>
      <c r="H171" s="440">
        <f>'BS-E Old format'!G126</f>
        <v>0</v>
      </c>
    </row>
    <row r="172" spans="1:8" ht="33.75" customHeight="1" x14ac:dyDescent="0.25">
      <c r="A172" s="418" t="s">
        <v>1184</v>
      </c>
      <c r="B172" s="946" t="s">
        <v>1128</v>
      </c>
      <c r="C172" s="946"/>
      <c r="D172" s="946"/>
      <c r="E172" s="946"/>
      <c r="F172" s="450" t="s">
        <v>2430</v>
      </c>
      <c r="G172" s="449" t="s">
        <v>1129</v>
      </c>
      <c r="H172" s="451" t="s">
        <v>1837</v>
      </c>
    </row>
    <row r="173" spans="1:8" ht="22.5" customHeight="1" x14ac:dyDescent="0.25">
      <c r="A173" s="293" t="s">
        <v>1056</v>
      </c>
      <c r="B173" s="950" t="s">
        <v>493</v>
      </c>
      <c r="C173" s="950"/>
      <c r="D173" s="950"/>
      <c r="E173" s="950"/>
      <c r="F173" s="294" t="s">
        <v>1300</v>
      </c>
      <c r="G173" s="437">
        <f>'BS-E Old format'!F127</f>
        <v>0</v>
      </c>
      <c r="H173" s="438">
        <f>'BS-E Old format'!G127</f>
        <v>0</v>
      </c>
    </row>
    <row r="174" spans="1:8" ht="22.5" customHeight="1" x14ac:dyDescent="0.25">
      <c r="A174" s="296" t="s">
        <v>773</v>
      </c>
      <c r="B174" s="950" t="s">
        <v>1938</v>
      </c>
      <c r="C174" s="950"/>
      <c r="D174" s="950"/>
      <c r="E174" s="950"/>
      <c r="F174" s="294" t="s">
        <v>2375</v>
      </c>
      <c r="G174" s="437">
        <f>'BS-E Old format'!F128</f>
        <v>0</v>
      </c>
      <c r="H174" s="438">
        <f>'BS-E Old format'!G128</f>
        <v>0</v>
      </c>
    </row>
    <row r="175" spans="1:8" ht="29.25" customHeight="1" x14ac:dyDescent="0.25">
      <c r="A175" s="296" t="s">
        <v>774</v>
      </c>
      <c r="B175" s="950" t="s">
        <v>2266</v>
      </c>
      <c r="C175" s="950"/>
      <c r="D175" s="950"/>
      <c r="E175" s="950"/>
      <c r="F175" s="294" t="s">
        <v>2377</v>
      </c>
      <c r="G175" s="437">
        <f>'BS-E Old format'!F129</f>
        <v>0</v>
      </c>
      <c r="H175" s="438">
        <f>'BS-E Old format'!G129</f>
        <v>0</v>
      </c>
    </row>
    <row r="176" spans="1:8" ht="27" customHeight="1" x14ac:dyDescent="0.25">
      <c r="A176" s="296" t="s">
        <v>1046</v>
      </c>
      <c r="B176" s="950" t="s">
        <v>1212</v>
      </c>
      <c r="C176" s="950"/>
      <c r="D176" s="950"/>
      <c r="E176" s="950"/>
      <c r="F176" s="294" t="s">
        <v>2379</v>
      </c>
      <c r="G176" s="437">
        <f>'BS-E Old format'!F130</f>
        <v>0</v>
      </c>
      <c r="H176" s="438">
        <f>'BS-E Old format'!G130</f>
        <v>0</v>
      </c>
    </row>
    <row r="177" spans="1:8" ht="24.75" customHeight="1" x14ac:dyDescent="0.25">
      <c r="A177" s="296" t="s">
        <v>1048</v>
      </c>
      <c r="B177" s="950" t="s">
        <v>494</v>
      </c>
      <c r="C177" s="950"/>
      <c r="D177" s="950"/>
      <c r="E177" s="950"/>
      <c r="F177" s="294" t="s">
        <v>808</v>
      </c>
      <c r="G177" s="437">
        <f>'BS-E Old format'!F131</f>
        <v>0</v>
      </c>
      <c r="H177" s="438">
        <f>'BS-E Old format'!G131</f>
        <v>0</v>
      </c>
    </row>
    <row r="178" spans="1:8" ht="24.75" customHeight="1" x14ac:dyDescent="0.25">
      <c r="A178" s="296" t="s">
        <v>1050</v>
      </c>
      <c r="B178" s="950" t="s">
        <v>495</v>
      </c>
      <c r="C178" s="950"/>
      <c r="D178" s="950"/>
      <c r="E178" s="950"/>
      <c r="F178" s="294" t="s">
        <v>41</v>
      </c>
      <c r="G178" s="437">
        <f>'BS-E Old format'!F132</f>
        <v>0</v>
      </c>
      <c r="H178" s="438">
        <f>'BS-E Old format'!G132</f>
        <v>0</v>
      </c>
    </row>
    <row r="179" spans="1:8" ht="24.75" customHeight="1" x14ac:dyDescent="0.25">
      <c r="A179" s="296" t="s">
        <v>1052</v>
      </c>
      <c r="B179" s="950" t="s">
        <v>2267</v>
      </c>
      <c r="C179" s="950"/>
      <c r="D179" s="950"/>
      <c r="E179" s="950"/>
      <c r="F179" s="294" t="s">
        <v>1499</v>
      </c>
      <c r="G179" s="437">
        <f>'BS-E Old format'!F133</f>
        <v>0</v>
      </c>
      <c r="H179" s="438">
        <f>'BS-E Old format'!G133</f>
        <v>0</v>
      </c>
    </row>
    <row r="180" spans="1:8" ht="21.75" customHeight="1" x14ac:dyDescent="0.25">
      <c r="A180" s="296" t="s">
        <v>1054</v>
      </c>
      <c r="B180" s="950" t="s">
        <v>496</v>
      </c>
      <c r="C180" s="950"/>
      <c r="D180" s="950"/>
      <c r="E180" s="950"/>
      <c r="F180" s="294" t="s">
        <v>274</v>
      </c>
      <c r="G180" s="437">
        <f>'BS-E Old format'!F134</f>
        <v>0</v>
      </c>
      <c r="H180" s="438">
        <f>'BS-E Old format'!G134</f>
        <v>0</v>
      </c>
    </row>
    <row r="181" spans="1:8" ht="22.5" customHeight="1" x14ac:dyDescent="0.25">
      <c r="A181" s="296" t="s">
        <v>1220</v>
      </c>
      <c r="B181" s="950" t="s">
        <v>2268</v>
      </c>
      <c r="C181" s="950"/>
      <c r="D181" s="950"/>
      <c r="E181" s="950"/>
      <c r="F181" s="294" t="s">
        <v>276</v>
      </c>
      <c r="G181" s="437">
        <f>'BS-E Old format'!F135</f>
        <v>0</v>
      </c>
      <c r="H181" s="438">
        <f>'BS-E Old format'!G135</f>
        <v>0</v>
      </c>
    </row>
    <row r="182" spans="1:8" ht="23.25" customHeight="1" x14ac:dyDescent="0.25">
      <c r="A182" s="296" t="s">
        <v>1432</v>
      </c>
      <c r="B182" s="950" t="s">
        <v>99</v>
      </c>
      <c r="C182" s="950"/>
      <c r="D182" s="950"/>
      <c r="E182" s="950"/>
      <c r="F182" s="294" t="s">
        <v>278</v>
      </c>
      <c r="G182" s="437">
        <f>'BS-E Old format'!F136</f>
        <v>0</v>
      </c>
      <c r="H182" s="438">
        <f>'BS-E Old format'!G136</f>
        <v>0</v>
      </c>
    </row>
    <row r="183" spans="1:8" s="299" customFormat="1" ht="24.75" customHeight="1" x14ac:dyDescent="0.25">
      <c r="A183" s="292" t="s">
        <v>279</v>
      </c>
      <c r="B183" s="949" t="s">
        <v>1767</v>
      </c>
      <c r="C183" s="949"/>
      <c r="D183" s="949"/>
      <c r="E183" s="949"/>
      <c r="F183" s="290" t="s">
        <v>2411</v>
      </c>
      <c r="G183" s="435">
        <f>'BS-E Old format'!F138</f>
        <v>8627.0399999999991</v>
      </c>
      <c r="H183" s="436">
        <f>'BS-E Old format'!G138</f>
        <v>0</v>
      </c>
    </row>
    <row r="184" spans="1:8" ht="30.75" customHeight="1" x14ac:dyDescent="0.25">
      <c r="A184" s="300" t="s">
        <v>746</v>
      </c>
      <c r="B184" s="950" t="s">
        <v>1768</v>
      </c>
      <c r="C184" s="950"/>
      <c r="D184" s="950"/>
      <c r="E184" s="950"/>
      <c r="F184" s="294" t="s">
        <v>2412</v>
      </c>
      <c r="G184" s="437">
        <f>'BS-E Old format'!F139</f>
        <v>29.839999999999918</v>
      </c>
      <c r="H184" s="438">
        <f>'BS-E Old format'!G139</f>
        <v>0</v>
      </c>
    </row>
    <row r="185" spans="1:8" ht="21.75" customHeight="1" x14ac:dyDescent="0.25">
      <c r="A185" s="300" t="s">
        <v>773</v>
      </c>
      <c r="B185" s="950" t="s">
        <v>1939</v>
      </c>
      <c r="C185" s="950"/>
      <c r="D185" s="950"/>
      <c r="E185" s="950"/>
      <c r="F185" s="294" t="s">
        <v>2413</v>
      </c>
      <c r="G185" s="437">
        <f>'BS-E Old format'!F140</f>
        <v>0</v>
      </c>
      <c r="H185" s="438">
        <f>'BS-E Old format'!G140</f>
        <v>0</v>
      </c>
    </row>
    <row r="186" spans="1:8" ht="27" customHeight="1" x14ac:dyDescent="0.25">
      <c r="A186" s="300" t="s">
        <v>774</v>
      </c>
      <c r="B186" s="950" t="s">
        <v>1769</v>
      </c>
      <c r="C186" s="950"/>
      <c r="D186" s="950"/>
      <c r="E186" s="950"/>
      <c r="F186" s="294" t="s">
        <v>281</v>
      </c>
      <c r="G186" s="437">
        <f>'BS-E Old format'!F141</f>
        <v>0</v>
      </c>
      <c r="H186" s="438">
        <f>'BS-E Old format'!G141</f>
        <v>0</v>
      </c>
    </row>
    <row r="187" spans="1:8" ht="22.5" customHeight="1" x14ac:dyDescent="0.25">
      <c r="A187" s="300" t="s">
        <v>1046</v>
      </c>
      <c r="B187" s="950" t="s">
        <v>1770</v>
      </c>
      <c r="C187" s="950"/>
      <c r="D187" s="950"/>
      <c r="E187" s="950"/>
      <c r="F187" s="294" t="s">
        <v>989</v>
      </c>
      <c r="G187" s="437">
        <f>'BS-E Old format'!F142</f>
        <v>0</v>
      </c>
      <c r="H187" s="438">
        <f>'BS-E Old format'!G142</f>
        <v>0</v>
      </c>
    </row>
    <row r="188" spans="1:8" ht="22.5" customHeight="1" x14ac:dyDescent="0.25">
      <c r="A188" s="300" t="s">
        <v>1048</v>
      </c>
      <c r="B188" s="950" t="s">
        <v>1213</v>
      </c>
      <c r="C188" s="950"/>
      <c r="D188" s="950"/>
      <c r="E188" s="950"/>
      <c r="F188" s="294" t="s">
        <v>2414</v>
      </c>
      <c r="G188" s="437">
        <f>'BS-E Old format'!F143</f>
        <v>1790</v>
      </c>
      <c r="H188" s="438">
        <f>'BS-E Old format'!G143</f>
        <v>0</v>
      </c>
    </row>
    <row r="189" spans="1:8" ht="23.25" customHeight="1" x14ac:dyDescent="0.25">
      <c r="A189" s="300" t="s">
        <v>1050</v>
      </c>
      <c r="B189" s="950" t="s">
        <v>1771</v>
      </c>
      <c r="C189" s="950"/>
      <c r="D189" s="950"/>
      <c r="E189" s="950"/>
      <c r="F189" s="294" t="s">
        <v>2415</v>
      </c>
      <c r="G189" s="437">
        <f>'BS-E Old format'!F144</f>
        <v>0</v>
      </c>
      <c r="H189" s="438">
        <f>'BS-E Old format'!G144</f>
        <v>0</v>
      </c>
    </row>
    <row r="190" spans="1:8" ht="22.5" customHeight="1" x14ac:dyDescent="0.25">
      <c r="A190" s="300" t="s">
        <v>1052</v>
      </c>
      <c r="B190" s="950" t="s">
        <v>1772</v>
      </c>
      <c r="C190" s="950"/>
      <c r="D190" s="950"/>
      <c r="E190" s="950"/>
      <c r="F190" s="294" t="s">
        <v>2416</v>
      </c>
      <c r="G190" s="437">
        <f>'BS-E Old format'!F145</f>
        <v>0</v>
      </c>
      <c r="H190" s="438">
        <f>'BS-E Old format'!G145</f>
        <v>0</v>
      </c>
    </row>
    <row r="191" spans="1:8" ht="23.25" customHeight="1" x14ac:dyDescent="0.25">
      <c r="A191" s="300" t="s">
        <v>1054</v>
      </c>
      <c r="B191" s="950" t="s">
        <v>1773</v>
      </c>
      <c r="C191" s="950"/>
      <c r="D191" s="950"/>
      <c r="E191" s="950"/>
      <c r="F191" s="294" t="s">
        <v>2417</v>
      </c>
      <c r="G191" s="437">
        <f>'BS-E Old format'!F146</f>
        <v>6807.2</v>
      </c>
      <c r="H191" s="438">
        <f>'BS-E Old format'!G146</f>
        <v>0</v>
      </c>
    </row>
    <row r="192" spans="1:8" ht="22.5" customHeight="1" x14ac:dyDescent="0.25">
      <c r="A192" s="300" t="s">
        <v>1220</v>
      </c>
      <c r="B192" s="950" t="s">
        <v>1774</v>
      </c>
      <c r="C192" s="950"/>
      <c r="D192" s="950"/>
      <c r="E192" s="950"/>
      <c r="F192" s="294" t="s">
        <v>993</v>
      </c>
      <c r="G192" s="437">
        <f>'BS-E Old format'!F147</f>
        <v>0</v>
      </c>
      <c r="H192" s="438">
        <f>'BS-E Old format'!G147</f>
        <v>0</v>
      </c>
    </row>
    <row r="193" spans="1:8" s="299" customFormat="1" ht="24.75" customHeight="1" x14ac:dyDescent="0.25">
      <c r="A193" s="292" t="s">
        <v>1752</v>
      </c>
      <c r="B193" s="949" t="s">
        <v>1775</v>
      </c>
      <c r="C193" s="949"/>
      <c r="D193" s="949"/>
      <c r="E193" s="949"/>
      <c r="F193" s="290" t="s">
        <v>994</v>
      </c>
      <c r="G193" s="435">
        <f>'BS-E Old format'!F149</f>
        <v>0</v>
      </c>
      <c r="H193" s="436">
        <f>'BS-E Old format'!G149</f>
        <v>0</v>
      </c>
    </row>
    <row r="194" spans="1:8" ht="24.75" customHeight="1" x14ac:dyDescent="0.25">
      <c r="A194" s="306" t="s">
        <v>1872</v>
      </c>
      <c r="B194" s="950" t="s">
        <v>497</v>
      </c>
      <c r="C194" s="950"/>
      <c r="D194" s="950"/>
      <c r="E194" s="950"/>
      <c r="F194" s="294" t="s">
        <v>996</v>
      </c>
      <c r="G194" s="437">
        <f>'BS-E Old format'!F150</f>
        <v>0</v>
      </c>
      <c r="H194" s="438">
        <f>'BS-E Old format'!G150</f>
        <v>0</v>
      </c>
    </row>
    <row r="195" spans="1:8" ht="24.75" customHeight="1" x14ac:dyDescent="0.25">
      <c r="A195" s="300" t="s">
        <v>773</v>
      </c>
      <c r="B195" s="950" t="s">
        <v>498</v>
      </c>
      <c r="C195" s="950"/>
      <c r="D195" s="950"/>
      <c r="E195" s="950"/>
      <c r="F195" s="294" t="s">
        <v>998</v>
      </c>
      <c r="G195" s="437">
        <f>'BS-E Old format'!F151</f>
        <v>0</v>
      </c>
      <c r="H195" s="438">
        <f>'BS-E Old format'!G151</f>
        <v>0</v>
      </c>
    </row>
    <row r="196" spans="1:8" ht="24.75" customHeight="1" x14ac:dyDescent="0.25">
      <c r="A196" s="300" t="s">
        <v>774</v>
      </c>
      <c r="B196" s="950" t="s">
        <v>499</v>
      </c>
      <c r="C196" s="950"/>
      <c r="D196" s="950"/>
      <c r="E196" s="950"/>
      <c r="F196" s="294" t="s">
        <v>1000</v>
      </c>
      <c r="G196" s="437">
        <f>'BS-E Old format'!F152</f>
        <v>0</v>
      </c>
      <c r="H196" s="438">
        <f>'BS-E Old format'!G152</f>
        <v>0</v>
      </c>
    </row>
    <row r="197" spans="1:8" s="299" customFormat="1" ht="24.75" customHeight="1" x14ac:dyDescent="0.25">
      <c r="A197" s="292" t="s">
        <v>261</v>
      </c>
      <c r="B197" s="949" t="s">
        <v>500</v>
      </c>
      <c r="C197" s="949"/>
      <c r="D197" s="949"/>
      <c r="E197" s="949"/>
      <c r="F197" s="290" t="s">
        <v>1001</v>
      </c>
      <c r="G197" s="435">
        <f>'BS-E Old format'!F154</f>
        <v>0</v>
      </c>
      <c r="H197" s="436">
        <f>'BS-E Old format'!G154</f>
        <v>0</v>
      </c>
    </row>
    <row r="198" spans="1:8" ht="24.75" customHeight="1" x14ac:dyDescent="0.25">
      <c r="A198" s="306" t="s">
        <v>1874</v>
      </c>
      <c r="B198" s="950" t="s">
        <v>405</v>
      </c>
      <c r="C198" s="950"/>
      <c r="D198" s="950"/>
      <c r="E198" s="950"/>
      <c r="F198" s="294" t="s">
        <v>1002</v>
      </c>
      <c r="G198" s="437">
        <f>'BS-E Old format'!F156</f>
        <v>0</v>
      </c>
      <c r="H198" s="438">
        <f>'BS-E Old format'!G156</f>
        <v>0</v>
      </c>
    </row>
    <row r="199" spans="1:8" ht="24.75" customHeight="1" thickBot="1" x14ac:dyDescent="0.3">
      <c r="A199" s="308" t="s">
        <v>773</v>
      </c>
      <c r="B199" s="955" t="s">
        <v>406</v>
      </c>
      <c r="C199" s="955"/>
      <c r="D199" s="955"/>
      <c r="E199" s="955"/>
      <c r="F199" s="297" t="s">
        <v>1003</v>
      </c>
      <c r="G199" s="494">
        <f>'BS-E Old format'!F157</f>
        <v>0</v>
      </c>
      <c r="H199" s="495">
        <f>'BS-E Old format'!G157</f>
        <v>0</v>
      </c>
    </row>
  </sheetData>
  <mergeCells count="549">
    <mergeCell ref="H14:H15"/>
    <mergeCell ref="H12:H13"/>
    <mergeCell ref="G4:G5"/>
    <mergeCell ref="D13:F13"/>
    <mergeCell ref="H8:H9"/>
    <mergeCell ref="G10:G11"/>
    <mergeCell ref="H10:H11"/>
    <mergeCell ref="G6:G7"/>
    <mergeCell ref="H6:H7"/>
    <mergeCell ref="G8:G9"/>
    <mergeCell ref="D2:D3"/>
    <mergeCell ref="C4:C5"/>
    <mergeCell ref="C1:C3"/>
    <mergeCell ref="H1:H2"/>
    <mergeCell ref="G2:G3"/>
    <mergeCell ref="H4:H5"/>
    <mergeCell ref="D1:G1"/>
    <mergeCell ref="A1:A3"/>
    <mergeCell ref="B1:B3"/>
    <mergeCell ref="A4:A5"/>
    <mergeCell ref="B4:B5"/>
    <mergeCell ref="A6:A7"/>
    <mergeCell ref="B6:B7"/>
    <mergeCell ref="C6:C7"/>
    <mergeCell ref="A8:A9"/>
    <mergeCell ref="B8:B9"/>
    <mergeCell ref="C8:C9"/>
    <mergeCell ref="G14:G15"/>
    <mergeCell ref="D15:F15"/>
    <mergeCell ref="A12:A13"/>
    <mergeCell ref="B12:B13"/>
    <mergeCell ref="C12:C13"/>
    <mergeCell ref="G12:G13"/>
    <mergeCell ref="A14:A15"/>
    <mergeCell ref="D12:F12"/>
    <mergeCell ref="B14:B15"/>
    <mergeCell ref="C14:C15"/>
    <mergeCell ref="D14:F14"/>
    <mergeCell ref="A10:A11"/>
    <mergeCell ref="B10:B11"/>
    <mergeCell ref="C10:C11"/>
    <mergeCell ref="D10:F10"/>
    <mergeCell ref="D11:F11"/>
    <mergeCell ref="D16:F16"/>
    <mergeCell ref="D17:F17"/>
    <mergeCell ref="H18:H19"/>
    <mergeCell ref="A16:A17"/>
    <mergeCell ref="B16:B17"/>
    <mergeCell ref="C16:C17"/>
    <mergeCell ref="G16:G17"/>
    <mergeCell ref="H16:H17"/>
    <mergeCell ref="H20:H21"/>
    <mergeCell ref="A18:A19"/>
    <mergeCell ref="B18:B19"/>
    <mergeCell ref="C18:C19"/>
    <mergeCell ref="D21:F21"/>
    <mergeCell ref="G18:G19"/>
    <mergeCell ref="D18:F18"/>
    <mergeCell ref="D19:F19"/>
    <mergeCell ref="A20:A21"/>
    <mergeCell ref="B20:B21"/>
    <mergeCell ref="C20:C21"/>
    <mergeCell ref="G20:G21"/>
    <mergeCell ref="D20:F20"/>
    <mergeCell ref="G28:G29"/>
    <mergeCell ref="H28:H29"/>
    <mergeCell ref="A26:A27"/>
    <mergeCell ref="B26:B27"/>
    <mergeCell ref="G26:G27"/>
    <mergeCell ref="D26:F26"/>
    <mergeCell ref="D27:F27"/>
    <mergeCell ref="G22:G23"/>
    <mergeCell ref="H22:H23"/>
    <mergeCell ref="A24:A25"/>
    <mergeCell ref="B24:B25"/>
    <mergeCell ref="C24:C25"/>
    <mergeCell ref="G24:G25"/>
    <mergeCell ref="H24:H25"/>
    <mergeCell ref="A22:A23"/>
    <mergeCell ref="H26:H27"/>
    <mergeCell ref="B22:B23"/>
    <mergeCell ref="C22:C23"/>
    <mergeCell ref="A35:A36"/>
    <mergeCell ref="B35:B36"/>
    <mergeCell ref="C35:C36"/>
    <mergeCell ref="C26:C27"/>
    <mergeCell ref="D28:F28"/>
    <mergeCell ref="A30:A31"/>
    <mergeCell ref="B30:B31"/>
    <mergeCell ref="C30:C31"/>
    <mergeCell ref="D22:F22"/>
    <mergeCell ref="D23:F23"/>
    <mergeCell ref="D24:F24"/>
    <mergeCell ref="D25:F25"/>
    <mergeCell ref="D29:F29"/>
    <mergeCell ref="A28:A29"/>
    <mergeCell ref="B28:B29"/>
    <mergeCell ref="C28:C29"/>
    <mergeCell ref="H39:H40"/>
    <mergeCell ref="D39:F39"/>
    <mergeCell ref="D40:F40"/>
    <mergeCell ref="D37:F37"/>
    <mergeCell ref="D38:F38"/>
    <mergeCell ref="A37:A38"/>
    <mergeCell ref="B37:B38"/>
    <mergeCell ref="C37:C38"/>
    <mergeCell ref="H30:H31"/>
    <mergeCell ref="H35:H36"/>
    <mergeCell ref="G37:G38"/>
    <mergeCell ref="H37:H38"/>
    <mergeCell ref="D32:G32"/>
    <mergeCell ref="E33:F33"/>
    <mergeCell ref="G35:G36"/>
    <mergeCell ref="D36:F36"/>
    <mergeCell ref="D35:F35"/>
    <mergeCell ref="A39:A40"/>
    <mergeCell ref="B39:B40"/>
    <mergeCell ref="C39:C40"/>
    <mergeCell ref="G39:G40"/>
    <mergeCell ref="D30:F30"/>
    <mergeCell ref="D31:F31"/>
    <mergeCell ref="G30:G31"/>
    <mergeCell ref="H43:H44"/>
    <mergeCell ref="A41:A42"/>
    <mergeCell ref="B41:B42"/>
    <mergeCell ref="C41:C42"/>
    <mergeCell ref="G41:G42"/>
    <mergeCell ref="H41:H42"/>
    <mergeCell ref="A43:A44"/>
    <mergeCell ref="B43:B44"/>
    <mergeCell ref="C43:C44"/>
    <mergeCell ref="G43:G44"/>
    <mergeCell ref="D42:F42"/>
    <mergeCell ref="H45:H46"/>
    <mergeCell ref="A47:A48"/>
    <mergeCell ref="B47:B48"/>
    <mergeCell ref="C47:C48"/>
    <mergeCell ref="G47:G48"/>
    <mergeCell ref="H47:H48"/>
    <mergeCell ref="A45:A46"/>
    <mergeCell ref="B45:B46"/>
    <mergeCell ref="C45:C46"/>
    <mergeCell ref="D46:F46"/>
    <mergeCell ref="D47:F47"/>
    <mergeCell ref="D48:F48"/>
    <mergeCell ref="H49:H50"/>
    <mergeCell ref="A51:A52"/>
    <mergeCell ref="B51:B52"/>
    <mergeCell ref="C51:C52"/>
    <mergeCell ref="G51:G52"/>
    <mergeCell ref="H51:H52"/>
    <mergeCell ref="A49:A50"/>
    <mergeCell ref="B49:B50"/>
    <mergeCell ref="C49:C50"/>
    <mergeCell ref="D49:F49"/>
    <mergeCell ref="D50:F50"/>
    <mergeCell ref="D51:F51"/>
    <mergeCell ref="D52:F52"/>
    <mergeCell ref="H53:H54"/>
    <mergeCell ref="A55:A56"/>
    <mergeCell ref="B55:B56"/>
    <mergeCell ref="C55:C56"/>
    <mergeCell ref="G55:G56"/>
    <mergeCell ref="H55:H56"/>
    <mergeCell ref="A53:A54"/>
    <mergeCell ref="B53:B54"/>
    <mergeCell ref="C53:C54"/>
    <mergeCell ref="D53:F53"/>
    <mergeCell ref="H57:H58"/>
    <mergeCell ref="A59:A60"/>
    <mergeCell ref="B59:B60"/>
    <mergeCell ref="C59:C60"/>
    <mergeCell ref="G59:G60"/>
    <mergeCell ref="H59:H60"/>
    <mergeCell ref="A57:A58"/>
    <mergeCell ref="B57:B58"/>
    <mergeCell ref="C57:C58"/>
    <mergeCell ref="D59:F59"/>
    <mergeCell ref="D60:F60"/>
    <mergeCell ref="D57:F57"/>
    <mergeCell ref="H61:H62"/>
    <mergeCell ref="A66:A67"/>
    <mergeCell ref="B66:B67"/>
    <mergeCell ref="C66:C67"/>
    <mergeCell ref="G66:G67"/>
    <mergeCell ref="H66:H67"/>
    <mergeCell ref="A61:A62"/>
    <mergeCell ref="B61:B62"/>
    <mergeCell ref="C61:C62"/>
    <mergeCell ref="H63:H64"/>
    <mergeCell ref="E64:F64"/>
    <mergeCell ref="E65:F65"/>
    <mergeCell ref="D63:G63"/>
    <mergeCell ref="D61:F61"/>
    <mergeCell ref="D62:F62"/>
    <mergeCell ref="G61:G62"/>
    <mergeCell ref="D64:D65"/>
    <mergeCell ref="G68:G69"/>
    <mergeCell ref="H68:H69"/>
    <mergeCell ref="A70:A71"/>
    <mergeCell ref="B70:B71"/>
    <mergeCell ref="C70:C71"/>
    <mergeCell ref="G70:G71"/>
    <mergeCell ref="H70:H71"/>
    <mergeCell ref="A68:A69"/>
    <mergeCell ref="B68:B69"/>
    <mergeCell ref="C68:C69"/>
    <mergeCell ref="D69:F69"/>
    <mergeCell ref="D70:F70"/>
    <mergeCell ref="D71:F71"/>
    <mergeCell ref="G72:G73"/>
    <mergeCell ref="H72:H73"/>
    <mergeCell ref="A74:A75"/>
    <mergeCell ref="B74:B75"/>
    <mergeCell ref="C74:C75"/>
    <mergeCell ref="G74:G75"/>
    <mergeCell ref="H74:H75"/>
    <mergeCell ref="A72:A73"/>
    <mergeCell ref="B72:B73"/>
    <mergeCell ref="C72:C73"/>
    <mergeCell ref="D75:F75"/>
    <mergeCell ref="G76:G77"/>
    <mergeCell ref="H76:H77"/>
    <mergeCell ref="A78:A79"/>
    <mergeCell ref="B78:B79"/>
    <mergeCell ref="C78:C79"/>
    <mergeCell ref="G78:G79"/>
    <mergeCell ref="H78:H79"/>
    <mergeCell ref="A76:A77"/>
    <mergeCell ref="B76:B77"/>
    <mergeCell ref="C76:C77"/>
    <mergeCell ref="D78:F78"/>
    <mergeCell ref="D79:F79"/>
    <mergeCell ref="G80:G81"/>
    <mergeCell ref="H80:H81"/>
    <mergeCell ref="A82:A83"/>
    <mergeCell ref="B82:B83"/>
    <mergeCell ref="C82:C83"/>
    <mergeCell ref="G82:G83"/>
    <mergeCell ref="H82:H83"/>
    <mergeCell ref="A80:A81"/>
    <mergeCell ref="B80:B81"/>
    <mergeCell ref="C80:C81"/>
    <mergeCell ref="D80:F80"/>
    <mergeCell ref="D81:F81"/>
    <mergeCell ref="G84:G85"/>
    <mergeCell ref="H84:H85"/>
    <mergeCell ref="A86:A87"/>
    <mergeCell ref="B86:B87"/>
    <mergeCell ref="C86:C87"/>
    <mergeCell ref="G86:G87"/>
    <mergeCell ref="H86:H87"/>
    <mergeCell ref="A84:A85"/>
    <mergeCell ref="B84:B85"/>
    <mergeCell ref="C84:C85"/>
    <mergeCell ref="D84:F84"/>
    <mergeCell ref="D85:F85"/>
    <mergeCell ref="G90:G91"/>
    <mergeCell ref="H90:H91"/>
    <mergeCell ref="A88:A89"/>
    <mergeCell ref="B88:B89"/>
    <mergeCell ref="C88:C89"/>
    <mergeCell ref="H97:H98"/>
    <mergeCell ref="A92:A93"/>
    <mergeCell ref="B92:B93"/>
    <mergeCell ref="C92:C93"/>
    <mergeCell ref="A97:A98"/>
    <mergeCell ref="B97:B98"/>
    <mergeCell ref="C97:C98"/>
    <mergeCell ref="G97:G98"/>
    <mergeCell ref="G92:G93"/>
    <mergeCell ref="H92:H93"/>
    <mergeCell ref="G88:G89"/>
    <mergeCell ref="H88:H89"/>
    <mergeCell ref="D95:D96"/>
    <mergeCell ref="G95:G96"/>
    <mergeCell ref="D88:F88"/>
    <mergeCell ref="D89:F89"/>
    <mergeCell ref="D90:F90"/>
    <mergeCell ref="D91:F91"/>
    <mergeCell ref="D92:F92"/>
    <mergeCell ref="H99:H100"/>
    <mergeCell ref="A101:A102"/>
    <mergeCell ref="B101:B102"/>
    <mergeCell ref="C101:C102"/>
    <mergeCell ref="G101:G102"/>
    <mergeCell ref="H101:H102"/>
    <mergeCell ref="A99:A100"/>
    <mergeCell ref="B99:B100"/>
    <mergeCell ref="C99:C100"/>
    <mergeCell ref="D99:F99"/>
    <mergeCell ref="D100:F100"/>
    <mergeCell ref="G99:G100"/>
    <mergeCell ref="H103:H104"/>
    <mergeCell ref="A105:A106"/>
    <mergeCell ref="B105:B106"/>
    <mergeCell ref="C105:C106"/>
    <mergeCell ref="G105:G106"/>
    <mergeCell ref="H105:H106"/>
    <mergeCell ref="A103:A104"/>
    <mergeCell ref="B103:B104"/>
    <mergeCell ref="C103:C104"/>
    <mergeCell ref="D105:F105"/>
    <mergeCell ref="D106:F106"/>
    <mergeCell ref="H107:H108"/>
    <mergeCell ref="A109:A110"/>
    <mergeCell ref="B109:B110"/>
    <mergeCell ref="C109:C110"/>
    <mergeCell ref="G109:G110"/>
    <mergeCell ref="H109:H110"/>
    <mergeCell ref="A107:A108"/>
    <mergeCell ref="B107:B108"/>
    <mergeCell ref="C107:C108"/>
    <mergeCell ref="D107:F107"/>
    <mergeCell ref="D108:F108"/>
    <mergeCell ref="D109:F109"/>
    <mergeCell ref="D110:F110"/>
    <mergeCell ref="H111:H112"/>
    <mergeCell ref="A113:A114"/>
    <mergeCell ref="B113:B114"/>
    <mergeCell ref="C113:C114"/>
    <mergeCell ref="G113:G114"/>
    <mergeCell ref="H113:H114"/>
    <mergeCell ref="A111:A112"/>
    <mergeCell ref="B111:B112"/>
    <mergeCell ref="C111:C112"/>
    <mergeCell ref="D113:F113"/>
    <mergeCell ref="D114:F114"/>
    <mergeCell ref="H115:H116"/>
    <mergeCell ref="A117:A118"/>
    <mergeCell ref="B117:B118"/>
    <mergeCell ref="C117:C118"/>
    <mergeCell ref="G117:G118"/>
    <mergeCell ref="H117:H118"/>
    <mergeCell ref="A115:A116"/>
    <mergeCell ref="B115:B116"/>
    <mergeCell ref="C115:C116"/>
    <mergeCell ref="D115:F115"/>
    <mergeCell ref="D116:F116"/>
    <mergeCell ref="D117:F117"/>
    <mergeCell ref="D118:F118"/>
    <mergeCell ref="G115:G116"/>
    <mergeCell ref="H119:H120"/>
    <mergeCell ref="A121:A122"/>
    <mergeCell ref="B121:B122"/>
    <mergeCell ref="C121:C122"/>
    <mergeCell ref="G121:G122"/>
    <mergeCell ref="H121:H122"/>
    <mergeCell ref="A119:A120"/>
    <mergeCell ref="B119:B120"/>
    <mergeCell ref="C119:C120"/>
    <mergeCell ref="D121:F121"/>
    <mergeCell ref="D122:F122"/>
    <mergeCell ref="D119:F119"/>
    <mergeCell ref="D120:F120"/>
    <mergeCell ref="G119:G120"/>
    <mergeCell ref="H123:H124"/>
    <mergeCell ref="A128:A129"/>
    <mergeCell ref="B128:B129"/>
    <mergeCell ref="C128:C129"/>
    <mergeCell ref="G128:G129"/>
    <mergeCell ref="H128:H129"/>
    <mergeCell ref="A123:A124"/>
    <mergeCell ref="B123:B124"/>
    <mergeCell ref="C123:C124"/>
    <mergeCell ref="D128:F128"/>
    <mergeCell ref="H125:H126"/>
    <mergeCell ref="D126:D127"/>
    <mergeCell ref="G126:G127"/>
    <mergeCell ref="H130:H131"/>
    <mergeCell ref="A132:A133"/>
    <mergeCell ref="B132:B133"/>
    <mergeCell ref="C132:C133"/>
    <mergeCell ref="G132:G133"/>
    <mergeCell ref="H132:H133"/>
    <mergeCell ref="A130:A131"/>
    <mergeCell ref="B130:B131"/>
    <mergeCell ref="C130:C131"/>
    <mergeCell ref="H134:H135"/>
    <mergeCell ref="A136:A137"/>
    <mergeCell ref="B136:B137"/>
    <mergeCell ref="C136:C137"/>
    <mergeCell ref="G136:G137"/>
    <mergeCell ref="H136:H137"/>
    <mergeCell ref="A134:A135"/>
    <mergeCell ref="B134:B135"/>
    <mergeCell ref="C134:C135"/>
    <mergeCell ref="G134:G135"/>
    <mergeCell ref="A140:A141"/>
    <mergeCell ref="B140:B141"/>
    <mergeCell ref="C140:C141"/>
    <mergeCell ref="H138:H139"/>
    <mergeCell ref="H140:H141"/>
    <mergeCell ref="D139:F139"/>
    <mergeCell ref="A32:A34"/>
    <mergeCell ref="B32:B34"/>
    <mergeCell ref="C32:C34"/>
    <mergeCell ref="H32:H33"/>
    <mergeCell ref="D33:D34"/>
    <mergeCell ref="G33:G34"/>
    <mergeCell ref="C90:C91"/>
    <mergeCell ref="D43:F43"/>
    <mergeCell ref="D44:F44"/>
    <mergeCell ref="D45:F45"/>
    <mergeCell ref="G64:G65"/>
    <mergeCell ref="G57:G58"/>
    <mergeCell ref="G53:G54"/>
    <mergeCell ref="G49:G50"/>
    <mergeCell ref="G45:G46"/>
    <mergeCell ref="H94:H95"/>
    <mergeCell ref="D67:F67"/>
    <mergeCell ref="D68:F68"/>
    <mergeCell ref="G142:G143"/>
    <mergeCell ref="H142:H143"/>
    <mergeCell ref="G140:G141"/>
    <mergeCell ref="G138:G139"/>
    <mergeCell ref="E34:F34"/>
    <mergeCell ref="A142:A143"/>
    <mergeCell ref="A63:A65"/>
    <mergeCell ref="B63:B65"/>
    <mergeCell ref="C63:C65"/>
    <mergeCell ref="B142:B143"/>
    <mergeCell ref="C142:C143"/>
    <mergeCell ref="A138:A139"/>
    <mergeCell ref="B138:B139"/>
    <mergeCell ref="C138:C139"/>
    <mergeCell ref="A125:A127"/>
    <mergeCell ref="B125:B127"/>
    <mergeCell ref="C125:C127"/>
    <mergeCell ref="A94:A96"/>
    <mergeCell ref="B94:B96"/>
    <mergeCell ref="C94:C96"/>
    <mergeCell ref="D76:F76"/>
    <mergeCell ref="D77:F77"/>
    <mergeCell ref="A90:A91"/>
    <mergeCell ref="B90:B91"/>
    <mergeCell ref="B199:E199"/>
    <mergeCell ref="E2:F2"/>
    <mergeCell ref="E3:F3"/>
    <mergeCell ref="D4:F4"/>
    <mergeCell ref="D5:F5"/>
    <mergeCell ref="D6:F6"/>
    <mergeCell ref="D72:F72"/>
    <mergeCell ref="D73:F73"/>
    <mergeCell ref="D74:F74"/>
    <mergeCell ref="D7:F7"/>
    <mergeCell ref="D8:F8"/>
    <mergeCell ref="D9:F9"/>
    <mergeCell ref="B195:E195"/>
    <mergeCell ref="B183:E183"/>
    <mergeCell ref="B184:E184"/>
    <mergeCell ref="B185:E185"/>
    <mergeCell ref="B186:E186"/>
    <mergeCell ref="D66:F66"/>
    <mergeCell ref="D41:F41"/>
    <mergeCell ref="B188:E188"/>
    <mergeCell ref="B189:E189"/>
    <mergeCell ref="B190:E190"/>
    <mergeCell ref="B198:E198"/>
    <mergeCell ref="B191:E191"/>
    <mergeCell ref="B192:E192"/>
    <mergeCell ref="B193:E193"/>
    <mergeCell ref="B194:E194"/>
    <mergeCell ref="B196:E196"/>
    <mergeCell ref="B197:E197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7:E187"/>
    <mergeCell ref="B173:E173"/>
    <mergeCell ref="B174:E174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D140:F140"/>
    <mergeCell ref="D54:F54"/>
    <mergeCell ref="D55:F55"/>
    <mergeCell ref="D56:F56"/>
    <mergeCell ref="D86:F86"/>
    <mergeCell ref="D87:F87"/>
    <mergeCell ref="D58:F58"/>
    <mergeCell ref="D82:F82"/>
    <mergeCell ref="D83:F83"/>
    <mergeCell ref="D93:F93"/>
    <mergeCell ref="D97:F97"/>
    <mergeCell ref="E95:F95"/>
    <mergeCell ref="E96:F96"/>
    <mergeCell ref="D98:F98"/>
    <mergeCell ref="D111:F111"/>
    <mergeCell ref="D112:F112"/>
    <mergeCell ref="D101:F101"/>
    <mergeCell ref="D102:F102"/>
    <mergeCell ref="D103:F103"/>
    <mergeCell ref="D104:F104"/>
    <mergeCell ref="D94:G94"/>
    <mergeCell ref="G111:G112"/>
    <mergeCell ref="G107:G108"/>
    <mergeCell ref="G103:G104"/>
    <mergeCell ref="D138:F138"/>
    <mergeCell ref="D133:F133"/>
    <mergeCell ref="D134:F134"/>
    <mergeCell ref="D135:F135"/>
    <mergeCell ref="D136:F136"/>
    <mergeCell ref="D124:F124"/>
    <mergeCell ref="D125:G125"/>
    <mergeCell ref="E126:F126"/>
    <mergeCell ref="E127:F127"/>
    <mergeCell ref="G123:G124"/>
    <mergeCell ref="D137:F137"/>
    <mergeCell ref="D129:F129"/>
    <mergeCell ref="D130:F130"/>
    <mergeCell ref="D131:F131"/>
    <mergeCell ref="D132:F132"/>
    <mergeCell ref="D123:F123"/>
    <mergeCell ref="G130:G131"/>
    <mergeCell ref="B144:E144"/>
    <mergeCell ref="B172:E172"/>
    <mergeCell ref="D141:F141"/>
    <mergeCell ref="D142:F142"/>
    <mergeCell ref="D143:F143"/>
    <mergeCell ref="B145:E145"/>
    <mergeCell ref="B146:E146"/>
    <mergeCell ref="B147:E147"/>
    <mergeCell ref="B148:E148"/>
    <mergeCell ref="B149:E149"/>
    <mergeCell ref="B156:E156"/>
    <mergeCell ref="B157:E157"/>
    <mergeCell ref="B150:E150"/>
    <mergeCell ref="B151:E151"/>
    <mergeCell ref="B152:E152"/>
    <mergeCell ref="B153:E153"/>
    <mergeCell ref="B166:E166"/>
    <mergeCell ref="B167:E167"/>
    <mergeCell ref="B168:E168"/>
    <mergeCell ref="B169:E169"/>
    <mergeCell ref="B170:E170"/>
    <mergeCell ref="B171:E171"/>
    <mergeCell ref="B154:E154"/>
    <mergeCell ref="B155:E155"/>
  </mergeCells>
  <phoneticPr fontId="7" type="noConversion"/>
  <pageMargins left="0.55118110236220474" right="0.55118110236220474" top="0.59055118110236227" bottom="0.47244094488188981" header="0.51181102362204722" footer="0.23622047244094491"/>
  <pageSetup orientation="portrait" r:id="rId1"/>
  <headerFooter alignWithMargins="0"/>
  <rowBreaks count="6" manualBreakCount="6">
    <brk id="31" max="16383" man="1"/>
    <brk id="62" max="16383" man="1"/>
    <brk id="93" max="16383" man="1"/>
    <brk id="124" max="16383" man="1"/>
    <brk id="143" max="16383" man="1"/>
    <brk id="17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indexed="13"/>
    <outlinePr summaryBelow="0" summaryRight="0"/>
  </sheetPr>
  <dimension ref="A1:E63"/>
  <sheetViews>
    <sheetView workbookViewId="0"/>
  </sheetViews>
  <sheetFormatPr defaultColWidth="9.109375" defaultRowHeight="10.199999999999999" x14ac:dyDescent="0.25"/>
  <cols>
    <col min="1" max="1" width="4.44140625" style="318" customWidth="1"/>
    <col min="2" max="2" width="36.88671875" style="318" customWidth="1"/>
    <col min="3" max="3" width="4.88671875" style="318" customWidth="1"/>
    <col min="4" max="4" width="22" style="318" customWidth="1"/>
    <col min="5" max="5" width="24.109375" style="318" customWidth="1"/>
    <col min="6" max="16384" width="9.109375" style="318"/>
  </cols>
  <sheetData>
    <row r="1" spans="1:5" s="315" customFormat="1" ht="11.25" customHeight="1" x14ac:dyDescent="0.25">
      <c r="A1" s="314"/>
      <c r="B1" s="281"/>
      <c r="C1" s="281"/>
      <c r="D1" s="946" t="s">
        <v>1521</v>
      </c>
      <c r="E1" s="976"/>
    </row>
    <row r="2" spans="1:5" s="315" customFormat="1" ht="33.75" customHeight="1" x14ac:dyDescent="0.25">
      <c r="A2" s="283" t="s">
        <v>1184</v>
      </c>
      <c r="B2" s="284" t="s">
        <v>1876</v>
      </c>
      <c r="C2" s="285" t="s">
        <v>501</v>
      </c>
      <c r="D2" s="284" t="s">
        <v>502</v>
      </c>
      <c r="E2" s="287" t="s">
        <v>503</v>
      </c>
    </row>
    <row r="3" spans="1:5" s="315" customFormat="1" ht="24.75" customHeight="1" x14ac:dyDescent="0.25">
      <c r="A3" s="306" t="s">
        <v>1879</v>
      </c>
      <c r="B3" s="303" t="s">
        <v>504</v>
      </c>
      <c r="C3" s="301" t="s">
        <v>2211</v>
      </c>
      <c r="D3" s="443">
        <f>'IS-E Old format'!G7</f>
        <v>0</v>
      </c>
      <c r="E3" s="444">
        <f>'IS-E Old format'!H7</f>
        <v>0</v>
      </c>
    </row>
    <row r="4" spans="1:5" s="315" customFormat="1" ht="24.75" customHeight="1" x14ac:dyDescent="0.25">
      <c r="A4" s="306" t="s">
        <v>1880</v>
      </c>
      <c r="B4" s="303" t="s">
        <v>505</v>
      </c>
      <c r="C4" s="301" t="s">
        <v>2212</v>
      </c>
      <c r="D4" s="443">
        <f>'IS-E Old format'!G8</f>
        <v>0</v>
      </c>
      <c r="E4" s="444">
        <f>'IS-E Old format'!H8</f>
        <v>0</v>
      </c>
    </row>
    <row r="5" spans="1:5" s="316" customFormat="1" ht="24.75" customHeight="1" x14ac:dyDescent="0.25">
      <c r="A5" s="292" t="s">
        <v>1757</v>
      </c>
      <c r="B5" s="289" t="s">
        <v>506</v>
      </c>
      <c r="C5" s="290" t="s">
        <v>2213</v>
      </c>
      <c r="D5" s="447">
        <f>'IS-E Old format'!G10</f>
        <v>0</v>
      </c>
      <c r="E5" s="448">
        <f>'IS-E Old format'!H10</f>
        <v>0</v>
      </c>
    </row>
    <row r="6" spans="1:5" s="316" customFormat="1" ht="24.75" customHeight="1" x14ac:dyDescent="0.25">
      <c r="A6" s="292" t="s">
        <v>1882</v>
      </c>
      <c r="B6" s="289" t="s">
        <v>507</v>
      </c>
      <c r="C6" s="290" t="s">
        <v>2214</v>
      </c>
      <c r="D6" s="447">
        <f>'IS-E Old format'!G12</f>
        <v>0</v>
      </c>
      <c r="E6" s="448">
        <f>'IS-E Old format'!H12</f>
        <v>0</v>
      </c>
    </row>
    <row r="7" spans="1:5" s="315" customFormat="1" ht="24.75" customHeight="1" x14ac:dyDescent="0.25">
      <c r="A7" s="300" t="s">
        <v>1884</v>
      </c>
      <c r="B7" s="303" t="s">
        <v>508</v>
      </c>
      <c r="C7" s="301" t="s">
        <v>442</v>
      </c>
      <c r="D7" s="443">
        <f>'IS-E Old format'!G13</f>
        <v>0</v>
      </c>
      <c r="E7" s="444">
        <f>'IS-E Old format'!H13</f>
        <v>0</v>
      </c>
    </row>
    <row r="8" spans="1:5" s="315" customFormat="1" ht="24.75" customHeight="1" x14ac:dyDescent="0.25">
      <c r="A8" s="300" t="s">
        <v>773</v>
      </c>
      <c r="B8" s="303" t="s">
        <v>509</v>
      </c>
      <c r="C8" s="301" t="s">
        <v>443</v>
      </c>
      <c r="D8" s="443">
        <f>'IS-E Old format'!G14</f>
        <v>0</v>
      </c>
      <c r="E8" s="444">
        <f>'IS-E Old format'!H14</f>
        <v>0</v>
      </c>
    </row>
    <row r="9" spans="1:5" s="315" customFormat="1" ht="24.75" customHeight="1" x14ac:dyDescent="0.25">
      <c r="A9" s="300" t="s">
        <v>774</v>
      </c>
      <c r="B9" s="303" t="s">
        <v>510</v>
      </c>
      <c r="C9" s="301" t="s">
        <v>444</v>
      </c>
      <c r="D9" s="443">
        <f>'IS-E Old format'!G15</f>
        <v>0</v>
      </c>
      <c r="E9" s="444">
        <f>'IS-E Old format'!H15</f>
        <v>0</v>
      </c>
    </row>
    <row r="10" spans="1:5" s="316" customFormat="1" ht="24.75" customHeight="1" x14ac:dyDescent="0.25">
      <c r="A10" s="292" t="s">
        <v>933</v>
      </c>
      <c r="B10" s="289" t="s">
        <v>511</v>
      </c>
      <c r="C10" s="290" t="s">
        <v>445</v>
      </c>
      <c r="D10" s="447">
        <f>'IS-E Old format'!G17</f>
        <v>408.59</v>
      </c>
      <c r="E10" s="448">
        <f>'IS-E Old format'!H17</f>
        <v>0</v>
      </c>
    </row>
    <row r="11" spans="1:5" s="315" customFormat="1" ht="24.75" customHeight="1" x14ac:dyDescent="0.25">
      <c r="A11" s="306" t="s">
        <v>2661</v>
      </c>
      <c r="B11" s="303" t="s">
        <v>512</v>
      </c>
      <c r="C11" s="301" t="s">
        <v>258</v>
      </c>
      <c r="D11" s="443">
        <f>'IS-E Old format'!G18</f>
        <v>6.75</v>
      </c>
      <c r="E11" s="444">
        <f>'IS-E Old format'!H18</f>
        <v>0</v>
      </c>
    </row>
    <row r="12" spans="1:5" s="315" customFormat="1" ht="24.75" customHeight="1" x14ac:dyDescent="0.25">
      <c r="A12" s="306" t="s">
        <v>1918</v>
      </c>
      <c r="B12" s="303" t="s">
        <v>513</v>
      </c>
      <c r="C12" s="301" t="s">
        <v>259</v>
      </c>
      <c r="D12" s="443">
        <f>'IS-E Old format'!G19</f>
        <v>401.84</v>
      </c>
      <c r="E12" s="444">
        <f>'IS-E Old format'!H19</f>
        <v>0</v>
      </c>
    </row>
    <row r="13" spans="1:5" s="316" customFormat="1" ht="24.75" customHeight="1" x14ac:dyDescent="0.25">
      <c r="A13" s="292" t="s">
        <v>1757</v>
      </c>
      <c r="B13" s="289" t="s">
        <v>514</v>
      </c>
      <c r="C13" s="290" t="s">
        <v>260</v>
      </c>
      <c r="D13" s="447">
        <f>'IS-E Old format'!G21</f>
        <v>-408.59</v>
      </c>
      <c r="E13" s="448">
        <f>'IS-E Old format'!H21</f>
        <v>0</v>
      </c>
    </row>
    <row r="14" spans="1:5" s="315" customFormat="1" ht="24.75" customHeight="1" x14ac:dyDescent="0.25">
      <c r="A14" s="306" t="s">
        <v>261</v>
      </c>
      <c r="B14" s="303" t="s">
        <v>1020</v>
      </c>
      <c r="C14" s="301" t="s">
        <v>1739</v>
      </c>
      <c r="D14" s="443">
        <f>'IS-E Old format'!G23</f>
        <v>0</v>
      </c>
      <c r="E14" s="444">
        <f>'IS-E Old format'!H23</f>
        <v>0</v>
      </c>
    </row>
    <row r="15" spans="1:5" s="315" customFormat="1" ht="24.75" customHeight="1" x14ac:dyDescent="0.25">
      <c r="A15" s="306" t="s">
        <v>1874</v>
      </c>
      <c r="B15" s="303" t="s">
        <v>1021</v>
      </c>
      <c r="C15" s="301" t="s">
        <v>1740</v>
      </c>
      <c r="D15" s="443">
        <f>'IS-E Old format'!G24</f>
        <v>0</v>
      </c>
      <c r="E15" s="444">
        <f>'IS-E Old format'!H24</f>
        <v>0</v>
      </c>
    </row>
    <row r="16" spans="1:5" s="315" customFormat="1" ht="24.75" customHeight="1" x14ac:dyDescent="0.25">
      <c r="A16" s="306" t="s">
        <v>1918</v>
      </c>
      <c r="B16" s="303" t="s">
        <v>1274</v>
      </c>
      <c r="C16" s="301" t="s">
        <v>1741</v>
      </c>
      <c r="D16" s="443">
        <f>'IS-E Old format'!G25</f>
        <v>0</v>
      </c>
      <c r="E16" s="444">
        <f>'IS-E Old format'!H25</f>
        <v>0</v>
      </c>
    </row>
    <row r="17" spans="1:5" s="315" customFormat="1" ht="24.75" customHeight="1" x14ac:dyDescent="0.25">
      <c r="A17" s="306" t="s">
        <v>1924</v>
      </c>
      <c r="B17" s="303" t="s">
        <v>1275</v>
      </c>
      <c r="C17" s="301" t="s">
        <v>1742</v>
      </c>
      <c r="D17" s="443">
        <f>'IS-E Old format'!G26</f>
        <v>0</v>
      </c>
      <c r="E17" s="444">
        <f>'IS-E Old format'!H26</f>
        <v>0</v>
      </c>
    </row>
    <row r="18" spans="1:5" s="315" customFormat="1" ht="24.75" customHeight="1" x14ac:dyDescent="0.25">
      <c r="A18" s="306" t="s">
        <v>284</v>
      </c>
      <c r="B18" s="303" t="s">
        <v>1276</v>
      </c>
      <c r="C18" s="301" t="s">
        <v>171</v>
      </c>
      <c r="D18" s="443">
        <f>'IS-E Old format'!G27</f>
        <v>0</v>
      </c>
      <c r="E18" s="444">
        <f>'IS-E Old format'!H27</f>
        <v>0</v>
      </c>
    </row>
    <row r="19" spans="1:5" s="315" customFormat="1" ht="24.75" customHeight="1" x14ac:dyDescent="0.25">
      <c r="A19" s="306" t="s">
        <v>934</v>
      </c>
      <c r="B19" s="303" t="s">
        <v>1277</v>
      </c>
      <c r="C19" s="301" t="s">
        <v>172</v>
      </c>
      <c r="D19" s="443">
        <f>'IS-E Old format'!G28</f>
        <v>0</v>
      </c>
      <c r="E19" s="444">
        <f>'IS-E Old format'!H28</f>
        <v>0</v>
      </c>
    </row>
    <row r="20" spans="1:5" s="315" customFormat="1" ht="24.75" customHeight="1" x14ac:dyDescent="0.25">
      <c r="A20" s="306" t="s">
        <v>611</v>
      </c>
      <c r="B20" s="303" t="s">
        <v>1278</v>
      </c>
      <c r="C20" s="301" t="s">
        <v>173</v>
      </c>
      <c r="D20" s="443">
        <f>'IS-E Old format'!G29</f>
        <v>0</v>
      </c>
      <c r="E20" s="444">
        <f>'IS-E Old format'!H29</f>
        <v>0</v>
      </c>
    </row>
    <row r="21" spans="1:5" s="315" customFormat="1" ht="24.75" customHeight="1" x14ac:dyDescent="0.25">
      <c r="A21" s="306" t="s">
        <v>288</v>
      </c>
      <c r="B21" s="303" t="s">
        <v>1279</v>
      </c>
      <c r="C21" s="301" t="s">
        <v>1106</v>
      </c>
      <c r="D21" s="443">
        <f>'IS-E Old format'!G30</f>
        <v>0</v>
      </c>
      <c r="E21" s="444">
        <f>'IS-E Old format'!H30</f>
        <v>0</v>
      </c>
    </row>
    <row r="22" spans="1:5" s="315" customFormat="1" ht="24.75" customHeight="1" x14ac:dyDescent="0.25">
      <c r="A22" s="306" t="s">
        <v>616</v>
      </c>
      <c r="B22" s="303" t="s">
        <v>1280</v>
      </c>
      <c r="C22" s="301" t="s">
        <v>1107</v>
      </c>
      <c r="D22" s="443">
        <f>'IS-E Old format'!G31</f>
        <v>0</v>
      </c>
      <c r="E22" s="444">
        <f>'IS-E Old format'!H31</f>
        <v>0</v>
      </c>
    </row>
    <row r="23" spans="1:5" s="315" customFormat="1" ht="24.75" customHeight="1" x14ac:dyDescent="0.25">
      <c r="A23" s="306" t="s">
        <v>291</v>
      </c>
      <c r="B23" s="303" t="s">
        <v>570</v>
      </c>
      <c r="C23" s="301" t="s">
        <v>1108</v>
      </c>
      <c r="D23" s="443">
        <f>'IS-E Old format'!G32</f>
        <v>0</v>
      </c>
      <c r="E23" s="444">
        <f>'IS-E Old format'!H32</f>
        <v>0</v>
      </c>
    </row>
    <row r="24" spans="1:5" s="315" customFormat="1" ht="24.75" customHeight="1" x14ac:dyDescent="0.25">
      <c r="A24" s="306" t="s">
        <v>617</v>
      </c>
      <c r="B24" s="303" t="s">
        <v>571</v>
      </c>
      <c r="C24" s="301" t="s">
        <v>339</v>
      </c>
      <c r="D24" s="443">
        <f>'IS-E Old format'!G33</f>
        <v>20</v>
      </c>
      <c r="E24" s="444">
        <f>'IS-E Old format'!H33</f>
        <v>0</v>
      </c>
    </row>
    <row r="25" spans="1:5" s="315" customFormat="1" ht="24.75" customHeight="1" x14ac:dyDescent="0.25">
      <c r="A25" s="306" t="s">
        <v>2011</v>
      </c>
      <c r="B25" s="303" t="s">
        <v>572</v>
      </c>
      <c r="C25" s="301" t="s">
        <v>340</v>
      </c>
      <c r="D25" s="443">
        <f>'IS-E Old format'!G34</f>
        <v>0</v>
      </c>
      <c r="E25" s="444">
        <f>'IS-E Old format'!H34</f>
        <v>0</v>
      </c>
    </row>
    <row r="26" spans="1:5" s="315" customFormat="1" ht="24.75" customHeight="1" x14ac:dyDescent="0.25">
      <c r="A26" s="306" t="s">
        <v>1891</v>
      </c>
      <c r="B26" s="303" t="s">
        <v>573</v>
      </c>
      <c r="C26" s="301" t="s">
        <v>341</v>
      </c>
      <c r="D26" s="443">
        <f>'IS-E Old format'!G35</f>
        <v>0</v>
      </c>
      <c r="E26" s="444">
        <f>'IS-E Old format'!H35</f>
        <v>0</v>
      </c>
    </row>
    <row r="27" spans="1:5" s="316" customFormat="1" ht="30" customHeight="1" x14ac:dyDescent="0.25">
      <c r="A27" s="292" t="s">
        <v>901</v>
      </c>
      <c r="B27" s="289" t="s">
        <v>574</v>
      </c>
      <c r="C27" s="290" t="s">
        <v>342</v>
      </c>
      <c r="D27" s="447">
        <f>'IS-E Old format'!G37</f>
        <v>-428.59</v>
      </c>
      <c r="E27" s="448">
        <f>'IS-E Old format'!H37</f>
        <v>0</v>
      </c>
    </row>
    <row r="28" spans="1:5" s="315" customFormat="1" ht="24.75" customHeight="1" x14ac:dyDescent="0.25">
      <c r="A28" s="306" t="s">
        <v>2059</v>
      </c>
      <c r="B28" s="303" t="s">
        <v>575</v>
      </c>
      <c r="C28" s="301" t="s">
        <v>343</v>
      </c>
      <c r="D28" s="443">
        <f>'IS-E Old format'!G39</f>
        <v>0</v>
      </c>
      <c r="E28" s="444">
        <f>'IS-E Old format'!H39</f>
        <v>0</v>
      </c>
    </row>
    <row r="29" spans="1:5" s="315" customFormat="1" ht="24.75" customHeight="1" thickBot="1" x14ac:dyDescent="0.3">
      <c r="A29" s="317" t="s">
        <v>2061</v>
      </c>
      <c r="B29" s="309" t="s">
        <v>576</v>
      </c>
      <c r="C29" s="310" t="s">
        <v>344</v>
      </c>
      <c r="D29" s="445">
        <f>'IS-E Old format'!G40</f>
        <v>0</v>
      </c>
      <c r="E29" s="446">
        <f>'IS-E Old format'!H40</f>
        <v>0</v>
      </c>
    </row>
    <row r="30" spans="1:5" s="315" customFormat="1" ht="11.25" customHeight="1" x14ac:dyDescent="0.25">
      <c r="A30" s="314"/>
      <c r="B30" s="281"/>
      <c r="C30" s="281"/>
      <c r="D30" s="946" t="s">
        <v>1521</v>
      </c>
      <c r="E30" s="976"/>
    </row>
    <row r="31" spans="1:5" s="315" customFormat="1" ht="33.75" customHeight="1" x14ac:dyDescent="0.25">
      <c r="A31" s="283" t="s">
        <v>1184</v>
      </c>
      <c r="B31" s="284" t="s">
        <v>1876</v>
      </c>
      <c r="C31" s="285" t="s">
        <v>501</v>
      </c>
      <c r="D31" s="284" t="s">
        <v>502</v>
      </c>
      <c r="E31" s="287" t="s">
        <v>503</v>
      </c>
    </row>
    <row r="32" spans="1:5" ht="24.75" customHeight="1" x14ac:dyDescent="0.25">
      <c r="A32" s="306" t="s">
        <v>2063</v>
      </c>
      <c r="B32" s="303" t="s">
        <v>577</v>
      </c>
      <c r="C32" s="301" t="s">
        <v>345</v>
      </c>
      <c r="D32" s="443">
        <f>'IS-E Old format'!G42</f>
        <v>0</v>
      </c>
      <c r="E32" s="444">
        <f>'IS-E Old format'!H42</f>
        <v>0</v>
      </c>
    </row>
    <row r="33" spans="1:5" ht="24.75" customHeight="1" x14ac:dyDescent="0.25">
      <c r="A33" s="306" t="s">
        <v>2064</v>
      </c>
      <c r="B33" s="303" t="s">
        <v>578</v>
      </c>
      <c r="C33" s="301" t="s">
        <v>346</v>
      </c>
      <c r="D33" s="443">
        <f>'IS-E Old format'!G43</f>
        <v>0</v>
      </c>
      <c r="E33" s="444">
        <f>'IS-E Old format'!H43</f>
        <v>0</v>
      </c>
    </row>
    <row r="34" spans="1:5" ht="24.75" customHeight="1" x14ac:dyDescent="0.25">
      <c r="A34" s="306" t="s">
        <v>2066</v>
      </c>
      <c r="B34" s="303" t="s">
        <v>1134</v>
      </c>
      <c r="C34" s="301" t="s">
        <v>2068</v>
      </c>
      <c r="D34" s="443">
        <f>'IS-E Old format'!G44</f>
        <v>0</v>
      </c>
      <c r="E34" s="444">
        <f>'IS-E Old format'!H44</f>
        <v>0</v>
      </c>
    </row>
    <row r="35" spans="1:5" ht="24.75" customHeight="1" x14ac:dyDescent="0.25">
      <c r="A35" s="306" t="s">
        <v>2069</v>
      </c>
      <c r="B35" s="303" t="s">
        <v>579</v>
      </c>
      <c r="C35" s="301" t="s">
        <v>2071</v>
      </c>
      <c r="D35" s="443">
        <f>'IS-E Old format'!G45</f>
        <v>0</v>
      </c>
      <c r="E35" s="444">
        <f>'IS-E Old format'!H45</f>
        <v>0</v>
      </c>
    </row>
    <row r="36" spans="1:5" ht="24.75" customHeight="1" x14ac:dyDescent="0.25">
      <c r="A36" s="306" t="s">
        <v>2072</v>
      </c>
      <c r="B36" s="303" t="s">
        <v>580</v>
      </c>
      <c r="C36" s="301" t="s">
        <v>2074</v>
      </c>
      <c r="D36" s="443">
        <f>'IS-E Old format'!G46</f>
        <v>0</v>
      </c>
      <c r="E36" s="444">
        <f>'IS-E Old format'!H46</f>
        <v>0</v>
      </c>
    </row>
    <row r="37" spans="1:5" ht="24.75" customHeight="1" x14ac:dyDescent="0.25">
      <c r="A37" s="306" t="s">
        <v>2075</v>
      </c>
      <c r="B37" s="303" t="s">
        <v>581</v>
      </c>
      <c r="C37" s="301" t="s">
        <v>2077</v>
      </c>
      <c r="D37" s="443">
        <f>'IS-E Old format'!G47</f>
        <v>0</v>
      </c>
      <c r="E37" s="444">
        <f>'IS-E Old format'!H47</f>
        <v>0</v>
      </c>
    </row>
    <row r="38" spans="1:5" ht="24.75" customHeight="1" x14ac:dyDescent="0.25">
      <c r="A38" s="306" t="s">
        <v>2078</v>
      </c>
      <c r="B38" s="303" t="s">
        <v>837</v>
      </c>
      <c r="C38" s="301" t="s">
        <v>126</v>
      </c>
      <c r="D38" s="443">
        <f>'IS-E Old format'!G48</f>
        <v>0</v>
      </c>
      <c r="E38" s="444">
        <f>'IS-E Old format'!H48</f>
        <v>0</v>
      </c>
    </row>
    <row r="39" spans="1:5" ht="24.75" customHeight="1" x14ac:dyDescent="0.25">
      <c r="A39" s="306" t="s">
        <v>907</v>
      </c>
      <c r="B39" s="303" t="s">
        <v>838</v>
      </c>
      <c r="C39" s="301" t="s">
        <v>128</v>
      </c>
      <c r="D39" s="443">
        <f>'IS-E Old format'!G49</f>
        <v>0</v>
      </c>
      <c r="E39" s="444">
        <f>'IS-E Old format'!H49</f>
        <v>0</v>
      </c>
    </row>
    <row r="40" spans="1:5" ht="24.75" customHeight="1" x14ac:dyDescent="0.25">
      <c r="A40" s="306" t="s">
        <v>908</v>
      </c>
      <c r="B40" s="303" t="s">
        <v>839</v>
      </c>
      <c r="C40" s="301" t="s">
        <v>130</v>
      </c>
      <c r="D40" s="443">
        <f>'IS-E Old format'!G50</f>
        <v>0</v>
      </c>
      <c r="E40" s="444">
        <f>'IS-E Old format'!H50</f>
        <v>0</v>
      </c>
    </row>
    <row r="41" spans="1:5" ht="24.75" customHeight="1" x14ac:dyDescent="0.25">
      <c r="A41" s="306" t="s">
        <v>131</v>
      </c>
      <c r="B41" s="303" t="s">
        <v>840</v>
      </c>
      <c r="C41" s="301" t="s">
        <v>132</v>
      </c>
      <c r="D41" s="443">
        <f>'IS-E Old format'!G51</f>
        <v>0</v>
      </c>
      <c r="E41" s="444">
        <f>'IS-E Old format'!H51</f>
        <v>0</v>
      </c>
    </row>
    <row r="42" spans="1:5" ht="24.75" customHeight="1" x14ac:dyDescent="0.25">
      <c r="A42" s="306" t="s">
        <v>1618</v>
      </c>
      <c r="B42" s="303" t="s">
        <v>841</v>
      </c>
      <c r="C42" s="301" t="s">
        <v>134</v>
      </c>
      <c r="D42" s="443">
        <f>'IS-E Old format'!G52</f>
        <v>0</v>
      </c>
      <c r="E42" s="444">
        <f>'IS-E Old format'!H52</f>
        <v>0</v>
      </c>
    </row>
    <row r="43" spans="1:5" ht="24.75" customHeight="1" x14ac:dyDescent="0.25">
      <c r="A43" s="306" t="s">
        <v>135</v>
      </c>
      <c r="B43" s="303" t="s">
        <v>842</v>
      </c>
      <c r="C43" s="301" t="s">
        <v>136</v>
      </c>
      <c r="D43" s="443">
        <f>'IS-E Old format'!G53</f>
        <v>0</v>
      </c>
      <c r="E43" s="444">
        <f>'IS-E Old format'!H53</f>
        <v>0</v>
      </c>
    </row>
    <row r="44" spans="1:5" ht="24.75" customHeight="1" x14ac:dyDescent="0.25">
      <c r="A44" s="306" t="s">
        <v>914</v>
      </c>
      <c r="B44" s="303" t="s">
        <v>843</v>
      </c>
      <c r="C44" s="301" t="s">
        <v>137</v>
      </c>
      <c r="D44" s="443">
        <f>'IS-E Old format'!G54</f>
        <v>0</v>
      </c>
      <c r="E44" s="444">
        <f>'IS-E Old format'!H54</f>
        <v>0</v>
      </c>
    </row>
    <row r="45" spans="1:5" ht="24.75" customHeight="1" x14ac:dyDescent="0.25">
      <c r="A45" s="306" t="s">
        <v>138</v>
      </c>
      <c r="B45" s="303" t="s">
        <v>844</v>
      </c>
      <c r="C45" s="301" t="s">
        <v>140</v>
      </c>
      <c r="D45" s="443">
        <f>'IS-E Old format'!G55</f>
        <v>0</v>
      </c>
      <c r="E45" s="444">
        <f>'IS-E Old format'!H55</f>
        <v>0</v>
      </c>
    </row>
    <row r="46" spans="1:5" ht="24.75" customHeight="1" x14ac:dyDescent="0.25">
      <c r="A46" s="306" t="s">
        <v>1149</v>
      </c>
      <c r="B46" s="303" t="s">
        <v>845</v>
      </c>
      <c r="C46" s="301" t="s">
        <v>142</v>
      </c>
      <c r="D46" s="443">
        <f>'IS-E Old format'!G56</f>
        <v>0</v>
      </c>
      <c r="E46" s="444">
        <f>'IS-E Old format'!H56</f>
        <v>0</v>
      </c>
    </row>
    <row r="47" spans="1:5" ht="24.75" customHeight="1" x14ac:dyDescent="0.25">
      <c r="A47" s="306" t="s">
        <v>143</v>
      </c>
      <c r="B47" s="303" t="s">
        <v>846</v>
      </c>
      <c r="C47" s="301" t="s">
        <v>145</v>
      </c>
      <c r="D47" s="443">
        <f>'IS-E Old format'!G57</f>
        <v>0</v>
      </c>
      <c r="E47" s="444">
        <f>'IS-E Old format'!H57</f>
        <v>0</v>
      </c>
    </row>
    <row r="48" spans="1:5" ht="24.75" customHeight="1" x14ac:dyDescent="0.25">
      <c r="A48" s="306" t="s">
        <v>917</v>
      </c>
      <c r="B48" s="303" t="s">
        <v>2528</v>
      </c>
      <c r="C48" s="301" t="s">
        <v>147</v>
      </c>
      <c r="D48" s="443">
        <f>'IS-E Old format'!G58</f>
        <v>0</v>
      </c>
      <c r="E48" s="444">
        <f>'IS-E Old format'!H58</f>
        <v>0</v>
      </c>
    </row>
    <row r="49" spans="1:5" s="319" customFormat="1" ht="29.25" customHeight="1" x14ac:dyDescent="0.25">
      <c r="A49" s="292" t="s">
        <v>901</v>
      </c>
      <c r="B49" s="289" t="s">
        <v>2529</v>
      </c>
      <c r="C49" s="442" t="s">
        <v>148</v>
      </c>
      <c r="D49" s="490">
        <f>'IS-E Old format'!G59</f>
        <v>0</v>
      </c>
      <c r="E49" s="491">
        <f>'IS-E Old format'!H59</f>
        <v>0</v>
      </c>
    </row>
    <row r="50" spans="1:5" ht="24.75" customHeight="1" x14ac:dyDescent="0.25">
      <c r="A50" s="306" t="s">
        <v>1623</v>
      </c>
      <c r="B50" s="303" t="s">
        <v>1168</v>
      </c>
      <c r="C50" s="301" t="s">
        <v>149</v>
      </c>
      <c r="D50" s="443">
        <f>'IS-E Old format'!G61</f>
        <v>960</v>
      </c>
      <c r="E50" s="444">
        <f>'IS-E Old format'!H61</f>
        <v>0</v>
      </c>
    </row>
    <row r="51" spans="1:5" ht="24.75" customHeight="1" x14ac:dyDescent="0.25">
      <c r="A51" s="306" t="s">
        <v>150</v>
      </c>
      <c r="B51" s="303" t="s">
        <v>2530</v>
      </c>
      <c r="C51" s="301" t="s">
        <v>152</v>
      </c>
      <c r="D51" s="443">
        <f>'IS-E Old format'!G62</f>
        <v>960</v>
      </c>
      <c r="E51" s="444">
        <f>'IS-E Old format'!H62</f>
        <v>0</v>
      </c>
    </row>
    <row r="52" spans="1:5" ht="24.75" customHeight="1" x14ac:dyDescent="0.25">
      <c r="A52" s="306" t="s">
        <v>1918</v>
      </c>
      <c r="B52" s="303" t="s">
        <v>2531</v>
      </c>
      <c r="C52" s="301" t="s">
        <v>154</v>
      </c>
      <c r="D52" s="443">
        <f>'IS-E Old format'!G63</f>
        <v>0</v>
      </c>
      <c r="E52" s="444">
        <f>'IS-E Old format'!H63</f>
        <v>0</v>
      </c>
    </row>
    <row r="53" spans="1:5" s="319" customFormat="1" ht="24.75" customHeight="1" x14ac:dyDescent="0.25">
      <c r="A53" s="292" t="s">
        <v>918</v>
      </c>
      <c r="B53" s="289" t="s">
        <v>1433</v>
      </c>
      <c r="C53" s="442" t="s">
        <v>352</v>
      </c>
      <c r="D53" s="490">
        <f>'IS-E Old format'!G65</f>
        <v>-1388.59</v>
      </c>
      <c r="E53" s="491">
        <f>'IS-E Old format'!H65</f>
        <v>0</v>
      </c>
    </row>
    <row r="54" spans="1:5" ht="24.75" customHeight="1" x14ac:dyDescent="0.25">
      <c r="A54" s="306" t="s">
        <v>155</v>
      </c>
      <c r="B54" s="303" t="s">
        <v>0</v>
      </c>
      <c r="C54" s="301" t="s">
        <v>353</v>
      </c>
      <c r="D54" s="443">
        <f>'IS-E Old format'!G67</f>
        <v>0</v>
      </c>
      <c r="E54" s="444">
        <f>'IS-E Old format'!H67</f>
        <v>0</v>
      </c>
    </row>
    <row r="55" spans="1:5" ht="24.75" customHeight="1" x14ac:dyDescent="0.25">
      <c r="A55" s="306" t="s">
        <v>355</v>
      </c>
      <c r="B55" s="303" t="s">
        <v>1</v>
      </c>
      <c r="C55" s="301" t="s">
        <v>158</v>
      </c>
      <c r="D55" s="443">
        <f>'IS-E Old format'!G68</f>
        <v>0</v>
      </c>
      <c r="E55" s="444">
        <f>'IS-E Old format'!H68</f>
        <v>0</v>
      </c>
    </row>
    <row r="56" spans="1:5" ht="24.75" customHeight="1" x14ac:dyDescent="0.25">
      <c r="A56" s="306" t="s">
        <v>356</v>
      </c>
      <c r="B56" s="303" t="s">
        <v>1167</v>
      </c>
      <c r="C56" s="301" t="s">
        <v>1625</v>
      </c>
      <c r="D56" s="443">
        <f>'IS-E Old format'!G70</f>
        <v>0</v>
      </c>
      <c r="E56" s="444">
        <f>'IS-E Old format'!H70</f>
        <v>0</v>
      </c>
    </row>
    <row r="57" spans="1:5" ht="24.75" customHeight="1" x14ac:dyDescent="0.25">
      <c r="A57" s="306" t="s">
        <v>159</v>
      </c>
      <c r="B57" s="303" t="s">
        <v>2</v>
      </c>
      <c r="C57" s="301" t="s">
        <v>1626</v>
      </c>
      <c r="D57" s="443">
        <f>'IS-E Old format'!G71</f>
        <v>0</v>
      </c>
      <c r="E57" s="444">
        <f>'IS-E Old format'!H71</f>
        <v>0</v>
      </c>
    </row>
    <row r="58" spans="1:5" ht="24.75" customHeight="1" thickBot="1" x14ac:dyDescent="0.3">
      <c r="A58" s="317" t="s">
        <v>1918</v>
      </c>
      <c r="B58" s="309" t="s">
        <v>3</v>
      </c>
      <c r="C58" s="310" t="s">
        <v>162</v>
      </c>
      <c r="D58" s="445">
        <f>'IS-E Old format'!G72</f>
        <v>0</v>
      </c>
      <c r="E58" s="446">
        <f>'IS-E Old format'!H72</f>
        <v>0</v>
      </c>
    </row>
    <row r="59" spans="1:5" s="315" customFormat="1" ht="11.25" customHeight="1" x14ac:dyDescent="0.25">
      <c r="A59" s="314"/>
      <c r="B59" s="281"/>
      <c r="C59" s="281"/>
      <c r="D59" s="946" t="s">
        <v>1521</v>
      </c>
      <c r="E59" s="976"/>
    </row>
    <row r="60" spans="1:5" s="315" customFormat="1" ht="33.75" customHeight="1" x14ac:dyDescent="0.25">
      <c r="A60" s="283" t="s">
        <v>1184</v>
      </c>
      <c r="B60" s="284" t="s">
        <v>1876</v>
      </c>
      <c r="C60" s="285" t="s">
        <v>501</v>
      </c>
      <c r="D60" s="284" t="s">
        <v>502</v>
      </c>
      <c r="E60" s="287" t="s">
        <v>503</v>
      </c>
    </row>
    <row r="61" spans="1:5" s="319" customFormat="1" ht="24.75" customHeight="1" x14ac:dyDescent="0.25">
      <c r="A61" s="292" t="s">
        <v>901</v>
      </c>
      <c r="B61" s="289" t="s">
        <v>4</v>
      </c>
      <c r="C61" s="290" t="s">
        <v>1627</v>
      </c>
      <c r="D61" s="447">
        <f>'IS-E Old format'!G74</f>
        <v>0</v>
      </c>
      <c r="E61" s="448">
        <f>'IS-E Old format'!H74</f>
        <v>0</v>
      </c>
    </row>
    <row r="62" spans="1:5" ht="24.75" customHeight="1" x14ac:dyDescent="0.25">
      <c r="A62" s="306" t="s">
        <v>358</v>
      </c>
      <c r="B62" s="303" t="s">
        <v>5</v>
      </c>
      <c r="C62" s="301" t="s">
        <v>1628</v>
      </c>
      <c r="D62" s="443">
        <f>'IS-E Old format'!G76</f>
        <v>0</v>
      </c>
      <c r="E62" s="444">
        <f>'IS-E Old format'!H76</f>
        <v>0</v>
      </c>
    </row>
    <row r="63" spans="1:5" s="319" customFormat="1" ht="24.75" customHeight="1" thickBot="1" x14ac:dyDescent="0.3">
      <c r="A63" s="313" t="s">
        <v>1758</v>
      </c>
      <c r="B63" s="304" t="s">
        <v>2285</v>
      </c>
      <c r="C63" s="305" t="s">
        <v>359</v>
      </c>
      <c r="D63" s="492">
        <f>'IS-E Old format'!G78</f>
        <v>-1388.59</v>
      </c>
      <c r="E63" s="493">
        <f>'IS-E Old format'!H78</f>
        <v>0</v>
      </c>
    </row>
  </sheetData>
  <mergeCells count="3">
    <mergeCell ref="D1:E1"/>
    <mergeCell ref="D30:E30"/>
    <mergeCell ref="D59:E59"/>
  </mergeCells>
  <phoneticPr fontId="7" type="noConversion"/>
  <pageMargins left="0.55118110236220474" right="0.55118110236220474" top="0.59055118110236227" bottom="0.47244094488188981" header="0.23622047244094491" footer="0.23622047244094491"/>
  <pageSetup orientation="portrait" r:id="rId1"/>
  <headerFooter alignWithMargins="0"/>
  <rowBreaks count="2" manualBreakCount="2">
    <brk id="29" max="16383" man="1"/>
    <brk id="5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indexed="43"/>
    <outlinePr summaryBelow="0" summaryRight="0"/>
  </sheetPr>
  <dimension ref="A1:AK51"/>
  <sheetViews>
    <sheetView workbookViewId="0"/>
  </sheetViews>
  <sheetFormatPr defaultColWidth="9.109375" defaultRowHeight="13.2" x14ac:dyDescent="0.25"/>
  <cols>
    <col min="1" max="10" width="2.5546875" style="327" customWidth="1"/>
    <col min="11" max="11" width="3.44140625" style="327" customWidth="1"/>
    <col min="12" max="45" width="2.5546875" style="327" customWidth="1"/>
    <col min="46" max="46" width="7.6640625" style="327" customWidth="1"/>
    <col min="47" max="61" width="2.5546875" style="327" customWidth="1"/>
    <col min="62" max="16384" width="9.109375" style="327"/>
  </cols>
  <sheetData>
    <row r="1" spans="1:37" s="320" customFormat="1" ht="10.199999999999999" thickBot="1" x14ac:dyDescent="0.3">
      <c r="C1" s="321" t="s">
        <v>163</v>
      </c>
    </row>
    <row r="2" spans="1:37" s="322" customFormat="1" ht="21" customHeight="1" thickBot="1" x14ac:dyDescent="0.3">
      <c r="C2" s="323" t="s">
        <v>1646</v>
      </c>
      <c r="D2" s="324"/>
      <c r="E2" s="324"/>
      <c r="F2" s="324"/>
      <c r="G2" s="324"/>
      <c r="H2" s="324"/>
      <c r="I2" s="324"/>
      <c r="J2" s="325"/>
      <c r="Q2" s="326" t="s">
        <v>2194</v>
      </c>
    </row>
    <row r="3" spans="1:37" ht="13.8" thickBot="1" x14ac:dyDescent="0.3"/>
    <row r="4" spans="1:37" ht="28.5" customHeight="1" thickBot="1" x14ac:dyDescent="0.3">
      <c r="K4" s="536" t="s">
        <v>360</v>
      </c>
      <c r="L4" s="432" t="e">
        <f>+MID(#REF!,1,1)</f>
        <v>#REF!</v>
      </c>
      <c r="M4" s="432" t="e">
        <f>+MID(#REF!,2,1)</f>
        <v>#REF!</v>
      </c>
      <c r="N4" s="433" t="s">
        <v>2687</v>
      </c>
      <c r="O4" s="432" t="e">
        <f>LEFT(#REF!,1)</f>
        <v>#REF!</v>
      </c>
      <c r="P4" s="432" t="e">
        <f>RIGHT(#REF!,1)</f>
        <v>#REF!</v>
      </c>
      <c r="Q4" s="433" t="s">
        <v>2687</v>
      </c>
      <c r="R4" s="432" t="e">
        <f>+LEFT(#REF!,1)</f>
        <v>#REF!</v>
      </c>
      <c r="S4" s="432" t="e">
        <f>+MID(#REF!,2,1)</f>
        <v>#REF!</v>
      </c>
      <c r="T4" s="432" t="e">
        <f>+MID(#REF!,3,1)</f>
        <v>#REF!</v>
      </c>
      <c r="U4" s="432" t="e">
        <f>+MID(#REF!,4,1)</f>
        <v>#REF!</v>
      </c>
      <c r="V4" s="535" t="str">
        <f>'[2]BS-G CS'!$V$4</f>
        <v>(in tausend SKK)</v>
      </c>
      <c r="W4" s="329"/>
      <c r="X4" s="329"/>
      <c r="Y4" s="329"/>
      <c r="Z4" s="330"/>
    </row>
    <row r="5" spans="1:37" ht="7.5" customHeight="1" thickBot="1" x14ac:dyDescent="0.3"/>
    <row r="6" spans="1:37" s="334" customFormat="1" ht="14.25" customHeight="1" x14ac:dyDescent="0.25">
      <c r="A6" s="331" t="s">
        <v>1268</v>
      </c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3"/>
      <c r="T6" s="332"/>
      <c r="U6" s="332"/>
      <c r="V6" s="332"/>
      <c r="W6" s="332"/>
      <c r="X6" s="332"/>
      <c r="Y6" s="332"/>
      <c r="Z6" s="332"/>
      <c r="AA6" s="332"/>
      <c r="AB6" s="332"/>
      <c r="AC6" s="332"/>
      <c r="AD6" s="332"/>
      <c r="AE6" s="332"/>
      <c r="AF6" s="332"/>
      <c r="AG6" s="332"/>
      <c r="AH6" s="332"/>
      <c r="AI6" s="332"/>
      <c r="AJ6" s="332"/>
      <c r="AK6" s="333"/>
    </row>
    <row r="7" spans="1:37" s="338" customFormat="1" ht="15" customHeight="1" x14ac:dyDescent="0.25">
      <c r="A7" s="335" t="s">
        <v>1269</v>
      </c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7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7"/>
    </row>
    <row r="8" spans="1:37" s="342" customFormat="1" ht="18" customHeight="1" thickBot="1" x14ac:dyDescent="0.3">
      <c r="A8" s="339" t="s">
        <v>1186</v>
      </c>
      <c r="B8" s="340"/>
      <c r="C8" s="340"/>
      <c r="D8" s="340"/>
      <c r="E8" s="339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1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0"/>
      <c r="AE8" s="340"/>
      <c r="AF8" s="340"/>
      <c r="AG8" s="340"/>
      <c r="AH8" s="340"/>
      <c r="AI8" s="340"/>
      <c r="AJ8" s="340"/>
      <c r="AK8" s="341"/>
    </row>
    <row r="9" spans="1:37" s="343" customFormat="1" ht="3.75" customHeight="1" thickBot="1" x14ac:dyDescent="0.3"/>
    <row r="10" spans="1:37" s="343" customFormat="1" ht="14.25" customHeight="1" x14ac:dyDescent="0.25">
      <c r="A10" s="344" t="s">
        <v>600</v>
      </c>
      <c r="B10" s="345"/>
      <c r="C10" s="345"/>
      <c r="D10" s="345"/>
      <c r="E10" s="345"/>
      <c r="F10" s="345"/>
      <c r="G10" s="345"/>
      <c r="H10" s="345"/>
      <c r="I10" s="346"/>
      <c r="J10" s="347"/>
      <c r="K10" s="348" t="s">
        <v>1272</v>
      </c>
      <c r="L10" s="345"/>
      <c r="M10" s="349"/>
      <c r="N10" s="349"/>
      <c r="O10" s="349"/>
      <c r="P10" s="345"/>
      <c r="Q10" s="348" t="s">
        <v>1273</v>
      </c>
      <c r="R10" s="345"/>
      <c r="S10" s="346"/>
      <c r="T10" s="345"/>
      <c r="U10" s="345"/>
      <c r="V10" s="350"/>
      <c r="W10" s="345"/>
      <c r="X10" s="345"/>
      <c r="Y10" s="345"/>
      <c r="Z10" s="345"/>
      <c r="AA10" s="345"/>
      <c r="AB10" s="345"/>
      <c r="AC10" s="345"/>
      <c r="AD10" s="348" t="s">
        <v>361</v>
      </c>
      <c r="AE10" s="348"/>
      <c r="AF10" s="348"/>
      <c r="AG10" s="348" t="s">
        <v>362</v>
      </c>
      <c r="AH10" s="345"/>
      <c r="AI10" s="345"/>
      <c r="AJ10" s="345"/>
      <c r="AK10" s="351"/>
    </row>
    <row r="11" spans="1:37" s="343" customFormat="1" ht="19.5" customHeight="1" x14ac:dyDescent="0.2">
      <c r="A11" s="425" t="e">
        <f>LEFT(#REF!,1)</f>
        <v>#REF!</v>
      </c>
      <c r="B11" s="426" t="e">
        <f>MID(#REF!,2,1)</f>
        <v>#REF!</v>
      </c>
      <c r="C11" s="424" t="e">
        <f>MID(#REF!,3,1)</f>
        <v>#REF!</v>
      </c>
      <c r="D11" s="424" t="e">
        <f>MID(#REF!,4,1)</f>
        <v>#REF!</v>
      </c>
      <c r="E11" s="424" t="e">
        <f>MID(#REF!,5,1)</f>
        <v>#REF!</v>
      </c>
      <c r="F11" s="424" t="e">
        <f>MID(#REF!,6,1)</f>
        <v>#REF!</v>
      </c>
      <c r="G11" s="424" t="e">
        <f>MID(#REF!,7,1)</f>
        <v>#REF!</v>
      </c>
      <c r="H11" s="424" t="e">
        <f>MID(#REF!,8,1)</f>
        <v>#REF!</v>
      </c>
      <c r="I11" s="424" t="e">
        <f>MID(#REF!,9,1)</f>
        <v>#REF!</v>
      </c>
      <c r="J11" s="424" t="e">
        <f>MID(#REF!,10,1)</f>
        <v>#REF!</v>
      </c>
      <c r="K11" s="353"/>
      <c r="L11" s="354"/>
      <c r="M11" s="354"/>
      <c r="N11" s="354"/>
      <c r="O11" s="354"/>
      <c r="P11" s="354"/>
      <c r="Q11" s="354"/>
      <c r="R11" s="354"/>
      <c r="S11" s="354"/>
      <c r="T11" s="354"/>
      <c r="U11" s="354"/>
      <c r="V11" s="355"/>
      <c r="W11" s="356" t="str">
        <f>'[2]BS-G CS'!$W$11</f>
        <v>Für period</v>
      </c>
      <c r="X11" s="354"/>
      <c r="Y11" s="354"/>
      <c r="Z11" s="354"/>
      <c r="AA11" s="354"/>
      <c r="AB11" s="356" t="s">
        <v>2196</v>
      </c>
      <c r="AC11" s="354"/>
      <c r="AD11" s="424" t="e">
        <f>MID(#REF!,1,1)</f>
        <v>#REF!</v>
      </c>
      <c r="AE11" s="424" t="e">
        <f>MID(#REF!,2,1)</f>
        <v>#REF!</v>
      </c>
      <c r="AF11" s="427"/>
      <c r="AG11" s="424" t="e">
        <f>MID(#REF!,1,1)</f>
        <v>#REF!</v>
      </c>
      <c r="AH11" s="424" t="e">
        <f>MID(#REF!,2,1)</f>
        <v>#REF!</v>
      </c>
      <c r="AI11" s="424" t="e">
        <f>MID(#REF!,3,1)</f>
        <v>#REF!</v>
      </c>
      <c r="AJ11" s="424" t="e">
        <f>MID(#REF!,4,1)</f>
        <v>#REF!</v>
      </c>
      <c r="AK11" s="357"/>
    </row>
    <row r="12" spans="1:37" s="343" customFormat="1" ht="19.5" customHeight="1" x14ac:dyDescent="0.3">
      <c r="A12" s="358"/>
      <c r="B12" s="354"/>
      <c r="C12" s="354"/>
      <c r="D12" s="354"/>
      <c r="E12" s="354"/>
      <c r="F12" s="354"/>
      <c r="G12" s="354"/>
      <c r="H12" s="354"/>
      <c r="I12" s="353"/>
      <c r="J12" s="359"/>
      <c r="K12" s="353"/>
      <c r="L12" s="434" t="e">
        <f>IF(#REF!="X","X"," ")</f>
        <v>#REF!</v>
      </c>
      <c r="M12" s="356" t="s">
        <v>364</v>
      </c>
      <c r="N12" s="360"/>
      <c r="O12" s="360"/>
      <c r="P12" s="360"/>
      <c r="Q12" s="360"/>
      <c r="R12" s="434" t="e">
        <f>IF(#REF!="X","X"," ")</f>
        <v>#REF!</v>
      </c>
      <c r="S12" s="356" t="s">
        <v>366</v>
      </c>
      <c r="T12" s="354"/>
      <c r="U12" s="354"/>
      <c r="V12" s="355"/>
      <c r="W12" s="362"/>
      <c r="X12" s="363"/>
      <c r="Y12" s="363"/>
      <c r="Z12" s="363"/>
      <c r="AA12" s="363"/>
      <c r="AB12" s="364" t="s">
        <v>363</v>
      </c>
      <c r="AC12" s="363"/>
      <c r="AD12" s="424" t="e">
        <f>MID(#REF!,1,1)</f>
        <v>#REF!</v>
      </c>
      <c r="AE12" s="424" t="e">
        <f>MID(#REF!,2,1)</f>
        <v>#REF!</v>
      </c>
      <c r="AF12" s="428"/>
      <c r="AG12" s="424" t="e">
        <f>MID(#REF!,1,1)</f>
        <v>#REF!</v>
      </c>
      <c r="AH12" s="424" t="e">
        <f>MID(#REF!,2,1)</f>
        <v>#REF!</v>
      </c>
      <c r="AI12" s="424" t="e">
        <f>MID(#REF!,3,1)</f>
        <v>#REF!</v>
      </c>
      <c r="AJ12" s="424" t="e">
        <f>MID(#REF!,4,1)</f>
        <v>#REF!</v>
      </c>
      <c r="AK12" s="365"/>
    </row>
    <row r="13" spans="1:37" s="343" customFormat="1" ht="19.5" customHeight="1" x14ac:dyDescent="0.25">
      <c r="A13" s="540" t="s">
        <v>1209</v>
      </c>
      <c r="B13" s="354"/>
      <c r="C13" s="354"/>
      <c r="D13" s="354"/>
      <c r="E13" s="354"/>
      <c r="F13" s="354"/>
      <c r="G13" s="354"/>
      <c r="H13" s="353"/>
      <c r="I13" s="353"/>
      <c r="J13" s="359"/>
      <c r="K13" s="353"/>
      <c r="L13" s="352" t="e">
        <f>IF(#REF!="X",#NAME?, "")</f>
        <v>#REF!</v>
      </c>
      <c r="M13" s="356" t="s">
        <v>365</v>
      </c>
      <c r="N13" s="360"/>
      <c r="O13" s="360"/>
      <c r="P13" s="360"/>
      <c r="Q13" s="360"/>
      <c r="R13" s="361" t="e">
        <f>IF(#REF!="X","X"," ")</f>
        <v>#REF!</v>
      </c>
      <c r="S13" s="356" t="s">
        <v>367</v>
      </c>
      <c r="T13" s="354"/>
      <c r="U13" s="354"/>
      <c r="V13" s="355"/>
      <c r="W13" s="356"/>
      <c r="X13" s="354"/>
      <c r="Y13" s="366"/>
      <c r="Z13" s="353"/>
      <c r="AA13" s="353"/>
      <c r="AB13" s="360"/>
      <c r="AC13" s="353"/>
      <c r="AD13" s="427"/>
      <c r="AE13" s="427"/>
      <c r="AF13" s="427"/>
      <c r="AG13" s="427"/>
      <c r="AH13" s="427"/>
      <c r="AI13" s="427"/>
      <c r="AJ13" s="427"/>
      <c r="AK13" s="367"/>
    </row>
    <row r="14" spans="1:37" s="343" customFormat="1" ht="19.5" customHeight="1" x14ac:dyDescent="0.25">
      <c r="A14" s="425" t="e">
        <f>LEFT(#REF!,1)</f>
        <v>#REF!</v>
      </c>
      <c r="B14" s="426" t="e">
        <f>MID(#REF!,2,1)</f>
        <v>#REF!</v>
      </c>
      <c r="C14" s="424" t="e">
        <f>MID(#REF!,3,1)</f>
        <v>#REF!</v>
      </c>
      <c r="D14" s="424" t="e">
        <f>MID(#REF!,4,1)</f>
        <v>#REF!</v>
      </c>
      <c r="E14" s="424" t="e">
        <f>MID(#REF!,5,1)</f>
        <v>#REF!</v>
      </c>
      <c r="F14" s="424" t="e">
        <f>MID(#REF!,6,1)</f>
        <v>#REF!</v>
      </c>
      <c r="G14" s="424" t="e">
        <f>MID(#REF!,7,1)</f>
        <v>#REF!</v>
      </c>
      <c r="H14" s="424" t="e">
        <f>MID(#REF!,8,1)</f>
        <v>#REF!</v>
      </c>
      <c r="I14" s="353"/>
      <c r="J14" s="359"/>
      <c r="K14" s="353"/>
      <c r="L14" s="352" t="e">
        <f>IF(#REF!="X",#NAME?, "")</f>
        <v>#REF!</v>
      </c>
      <c r="M14" s="356" t="s">
        <v>2118</v>
      </c>
      <c r="N14" s="360"/>
      <c r="O14" s="360"/>
      <c r="P14" s="360"/>
      <c r="Q14" s="360"/>
      <c r="R14" s="537" t="s">
        <v>2195</v>
      </c>
      <c r="S14" s="360"/>
      <c r="T14" s="354"/>
      <c r="U14" s="354"/>
      <c r="V14" s="355"/>
      <c r="W14" s="356" t="str">
        <f>'[2]BS-G CS'!$W$14</f>
        <v>Vorjahr</v>
      </c>
      <c r="X14" s="354"/>
      <c r="Y14" s="366"/>
      <c r="Z14" s="353"/>
      <c r="AA14" s="353"/>
      <c r="AB14" s="356" t="s">
        <v>2196</v>
      </c>
      <c r="AC14" s="353"/>
      <c r="AD14" s="424" t="e">
        <f>MID(#REF!,1,1)</f>
        <v>#REF!</v>
      </c>
      <c r="AE14" s="424" t="e">
        <f>MID(#REF!,2,1)</f>
        <v>#REF!</v>
      </c>
      <c r="AF14" s="427"/>
      <c r="AG14" s="424" t="e">
        <f>MID(#REF!,1,1)</f>
        <v>#REF!</v>
      </c>
      <c r="AH14" s="424" t="e">
        <f>MID(#REF!,2,1)</f>
        <v>#REF!</v>
      </c>
      <c r="AI14" s="424" t="e">
        <f>MID(#REF!,3,1)</f>
        <v>#REF!</v>
      </c>
      <c r="AJ14" s="424" t="e">
        <f>MID(#REF!,4,1)</f>
        <v>#REF!</v>
      </c>
      <c r="AK14" s="367"/>
    </row>
    <row r="15" spans="1:37" s="343" customFormat="1" ht="19.5" customHeight="1" thickBot="1" x14ac:dyDescent="0.25">
      <c r="A15" s="369"/>
      <c r="B15" s="370"/>
      <c r="C15" s="370"/>
      <c r="D15" s="370"/>
      <c r="E15" s="370"/>
      <c r="F15" s="370"/>
      <c r="G15" s="370"/>
      <c r="H15" s="371"/>
      <c r="I15" s="371"/>
      <c r="J15" s="372"/>
      <c r="K15" s="371"/>
      <c r="L15" s="371"/>
      <c r="M15" s="371"/>
      <c r="N15" s="371"/>
      <c r="O15" s="371"/>
      <c r="P15" s="371"/>
      <c r="Q15" s="371"/>
      <c r="R15" s="371"/>
      <c r="S15" s="371"/>
      <c r="T15" s="370"/>
      <c r="U15" s="370"/>
      <c r="V15" s="420"/>
      <c r="W15" s="421"/>
      <c r="X15" s="370"/>
      <c r="Y15" s="422"/>
      <c r="Z15" s="371"/>
      <c r="AA15" s="371"/>
      <c r="AB15" s="421" t="s">
        <v>363</v>
      </c>
      <c r="AC15" s="371"/>
      <c r="AD15" s="429" t="e">
        <f>MID(#REF!,1,1)</f>
        <v>#REF!</v>
      </c>
      <c r="AE15" s="429" t="e">
        <f>MID(#REF!,2,1)</f>
        <v>#REF!</v>
      </c>
      <c r="AF15" s="430"/>
      <c r="AG15" s="429" t="e">
        <f>MID(#REF!,1,1)</f>
        <v>#REF!</v>
      </c>
      <c r="AH15" s="429" t="e">
        <f>MID(#REF!,2,1)</f>
        <v>#REF!</v>
      </c>
      <c r="AI15" s="429" t="e">
        <f>MID(#REF!,3,1)</f>
        <v>#REF!</v>
      </c>
      <c r="AJ15" s="429" t="e">
        <f>MID(#REF!,4,1)</f>
        <v>#REF!</v>
      </c>
      <c r="AK15" s="373"/>
    </row>
    <row r="16" spans="1:37" s="343" customFormat="1" ht="4.5" customHeight="1" x14ac:dyDescent="0.25">
      <c r="A16" s="354"/>
      <c r="B16" s="354"/>
      <c r="C16" s="354"/>
      <c r="D16" s="354"/>
      <c r="E16" s="354"/>
      <c r="F16" s="354"/>
      <c r="G16" s="354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4"/>
      <c r="U16" s="354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</row>
    <row r="17" spans="1:37" s="343" customFormat="1" ht="3" customHeight="1" thickBot="1" x14ac:dyDescent="0.3"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</row>
    <row r="18" spans="1:37" s="343" customFormat="1" ht="16.2" x14ac:dyDescent="0.25">
      <c r="A18" s="375" t="s">
        <v>2202</v>
      </c>
      <c r="B18" s="345"/>
      <c r="C18" s="345"/>
      <c r="D18" s="345"/>
      <c r="E18" s="345"/>
      <c r="F18" s="345"/>
      <c r="G18" s="345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5"/>
      <c r="U18" s="345"/>
      <c r="V18" s="345"/>
      <c r="W18" s="346"/>
      <c r="X18" s="346"/>
      <c r="Y18" s="346"/>
      <c r="Z18" s="346"/>
      <c r="AA18" s="346"/>
      <c r="AB18" s="346"/>
      <c r="AC18" s="346"/>
      <c r="AD18" s="346"/>
      <c r="AE18" s="346"/>
      <c r="AF18" s="346"/>
      <c r="AG18" s="346"/>
      <c r="AH18" s="346"/>
      <c r="AI18" s="346"/>
      <c r="AJ18" s="346"/>
      <c r="AK18" s="376"/>
    </row>
    <row r="19" spans="1:37" s="343" customFormat="1" ht="19.5" customHeight="1" x14ac:dyDescent="0.25">
      <c r="A19" s="423" t="e">
        <f>+LEFT(#REF!,1)</f>
        <v>#REF!</v>
      </c>
      <c r="B19" s="424" t="e">
        <f>+MID(#REF!,2,1)</f>
        <v>#REF!</v>
      </c>
      <c r="C19" s="424" t="e">
        <f>+MID(#REF!,3,1)</f>
        <v>#REF!</v>
      </c>
      <c r="D19" s="424" t="e">
        <f>+MID(#REF!,4,1)</f>
        <v>#REF!</v>
      </c>
      <c r="E19" s="424" t="e">
        <f>+MID(#REF!,5,1)</f>
        <v>#REF!</v>
      </c>
      <c r="F19" s="424" t="e">
        <f>+MID(#REF!,6,1)</f>
        <v>#REF!</v>
      </c>
      <c r="G19" s="424" t="e">
        <f>+MID(#REF!,7,1)</f>
        <v>#REF!</v>
      </c>
      <c r="H19" s="424" t="e">
        <f>+MID(#REF!,8,1)</f>
        <v>#REF!</v>
      </c>
      <c r="I19" s="424" t="e">
        <f>+MID(#REF!,9,1)</f>
        <v>#REF!</v>
      </c>
      <c r="J19" s="424" t="e">
        <f>+MID(#REF!,10,1)</f>
        <v>#REF!</v>
      </c>
      <c r="K19" s="424" t="e">
        <f>+MID(#REF!,11,1)</f>
        <v>#REF!</v>
      </c>
      <c r="L19" s="424" t="e">
        <f>+MID(#REF!,12,1)</f>
        <v>#REF!</v>
      </c>
      <c r="M19" s="424" t="e">
        <f>+MID(#REF!,13,1)</f>
        <v>#REF!</v>
      </c>
      <c r="N19" s="424" t="e">
        <f>+MID(#REF!,14,1)</f>
        <v>#REF!</v>
      </c>
      <c r="O19" s="424" t="e">
        <f>+MID(#REF!,15,1)</f>
        <v>#REF!</v>
      </c>
      <c r="P19" s="424" t="e">
        <f>+MID(#REF!,16,1)</f>
        <v>#REF!</v>
      </c>
      <c r="Q19" s="424" t="e">
        <f>+MID(#REF!,17,1)</f>
        <v>#REF!</v>
      </c>
      <c r="R19" s="424" t="e">
        <f>+MID(#REF!,18,1)</f>
        <v>#REF!</v>
      </c>
      <c r="S19" s="424" t="e">
        <f>+MID(#REF!,19,1)</f>
        <v>#REF!</v>
      </c>
      <c r="T19" s="424" t="e">
        <f>+MID(#REF!,20,1)</f>
        <v>#REF!</v>
      </c>
      <c r="U19" s="424" t="e">
        <f>+MID(#REF!,21,1)</f>
        <v>#REF!</v>
      </c>
      <c r="V19" s="424" t="e">
        <f>+MID(#REF!,22,1)</f>
        <v>#REF!</v>
      </c>
      <c r="W19" s="424" t="e">
        <f>+MID(#REF!,23,1)</f>
        <v>#REF!</v>
      </c>
      <c r="X19" s="424" t="e">
        <f>+MID(#REF!,24,1)</f>
        <v>#REF!</v>
      </c>
      <c r="Y19" s="424" t="e">
        <f>+MID(#REF!,25,1)</f>
        <v>#REF!</v>
      </c>
      <c r="Z19" s="424" t="e">
        <f>+MID(#REF!,26,1)</f>
        <v>#REF!</v>
      </c>
      <c r="AA19" s="424" t="e">
        <f>+MID(#REF!,27,1)</f>
        <v>#REF!</v>
      </c>
      <c r="AB19" s="424" t="e">
        <f>+MID(#REF!,28,1)</f>
        <v>#REF!</v>
      </c>
      <c r="AC19" s="424" t="e">
        <f>+MID(#REF!,29,1)</f>
        <v>#REF!</v>
      </c>
      <c r="AD19" s="424" t="e">
        <f>+MID(#REF!,30,1)</f>
        <v>#REF!</v>
      </c>
      <c r="AE19" s="424" t="e">
        <f>+MID(#REF!,31,1)</f>
        <v>#REF!</v>
      </c>
      <c r="AF19" s="424" t="e">
        <f>+MID(#REF!,32,1)</f>
        <v>#REF!</v>
      </c>
      <c r="AG19" s="424" t="e">
        <f>+MID(#REF!,33,1)</f>
        <v>#REF!</v>
      </c>
      <c r="AH19" s="424" t="e">
        <f>+MID(#REF!,34,1)</f>
        <v>#REF!</v>
      </c>
      <c r="AI19" s="424" t="e">
        <f>+MID(#REF!,35,1)</f>
        <v>#REF!</v>
      </c>
      <c r="AJ19" s="424" t="e">
        <f>+MID(#REF!,36,1)</f>
        <v>#REF!</v>
      </c>
      <c r="AK19" s="501" t="e">
        <f>+MID(#REF!,37,1)</f>
        <v>#REF!</v>
      </c>
    </row>
    <row r="20" spans="1:37" ht="19.5" customHeight="1" x14ac:dyDescent="0.25">
      <c r="A20" s="423" t="e">
        <f>+MID(#REF!,38,1)</f>
        <v>#REF!</v>
      </c>
      <c r="B20" s="424" t="e">
        <f>+MID(#REF!,39,1)</f>
        <v>#REF!</v>
      </c>
      <c r="C20" s="424" t="e">
        <f>+MID(#REF!,40,1)</f>
        <v>#REF!</v>
      </c>
      <c r="D20" s="424" t="e">
        <f>+MID(#REF!,41,1)</f>
        <v>#REF!</v>
      </c>
      <c r="E20" s="424" t="e">
        <f>+MID(#REF!,42,1)</f>
        <v>#REF!</v>
      </c>
      <c r="F20" s="424" t="e">
        <f>+MID(#REF!,43,1)</f>
        <v>#REF!</v>
      </c>
      <c r="G20" s="424" t="e">
        <f>+MID(#REF!,44,1)</f>
        <v>#REF!</v>
      </c>
      <c r="H20" s="424" t="e">
        <f>+MID(#REF!,45,1)</f>
        <v>#REF!</v>
      </c>
      <c r="I20" s="424" t="e">
        <f>+MID(#REF!,46,1)</f>
        <v>#REF!</v>
      </c>
      <c r="J20" s="424" t="e">
        <f>+MID(#REF!,47,1)</f>
        <v>#REF!</v>
      </c>
      <c r="K20" s="424" t="e">
        <f>+MID(#REF!,48,1)</f>
        <v>#REF!</v>
      </c>
      <c r="L20" s="424" t="e">
        <f>+MID(#REF!,49,1)</f>
        <v>#REF!</v>
      </c>
      <c r="M20" s="424" t="e">
        <f>+MID(#REF!,50,1)</f>
        <v>#REF!</v>
      </c>
      <c r="N20" s="424" t="e">
        <f>+MID(#REF!,51,1)</f>
        <v>#REF!</v>
      </c>
      <c r="O20" s="424" t="e">
        <f>+MID(#REF!,52,1)</f>
        <v>#REF!</v>
      </c>
      <c r="P20" s="424" t="e">
        <f>+MID(#REF!,53,1)</f>
        <v>#REF!</v>
      </c>
      <c r="Q20" s="424" t="e">
        <f>+MID(#REF!,54,1)</f>
        <v>#REF!</v>
      </c>
      <c r="R20" s="424" t="e">
        <f>+MID(#REF!,55,1)</f>
        <v>#REF!</v>
      </c>
      <c r="S20" s="424" t="e">
        <f>+MID(#REF!,56,1)</f>
        <v>#REF!</v>
      </c>
      <c r="T20" s="424" t="e">
        <f>+MID(#REF!,57,1)</f>
        <v>#REF!</v>
      </c>
      <c r="U20" s="424" t="e">
        <f>+MID(#REF!,58,1)</f>
        <v>#REF!</v>
      </c>
      <c r="V20" s="424" t="e">
        <f>+MID(#REF!,59,1)</f>
        <v>#REF!</v>
      </c>
      <c r="W20" s="424" t="e">
        <f>+MID(#REF!,60,1)</f>
        <v>#REF!</v>
      </c>
      <c r="X20" s="424" t="e">
        <f>+MID(#REF!,61,1)</f>
        <v>#REF!</v>
      </c>
      <c r="Y20" s="424" t="e">
        <f>+MID(#REF!,62,1)</f>
        <v>#REF!</v>
      </c>
      <c r="Z20" s="424" t="e">
        <f>+MID(#REF!,63,1)</f>
        <v>#REF!</v>
      </c>
      <c r="AA20" s="424" t="e">
        <f>+MID(#REF!,64,1)</f>
        <v>#REF!</v>
      </c>
      <c r="AB20" s="424" t="e">
        <f>+MID(#REF!,65,1)</f>
        <v>#REF!</v>
      </c>
      <c r="AC20" s="424" t="e">
        <f>+MID(#REF!,66,1)</f>
        <v>#REF!</v>
      </c>
      <c r="AD20" s="424" t="e">
        <f>+MID(#REF!,67,1)</f>
        <v>#REF!</v>
      </c>
      <c r="AE20" s="424" t="e">
        <f>+MID(#REF!,68,1)</f>
        <v>#REF!</v>
      </c>
      <c r="AF20" s="424" t="e">
        <f>+MID(#REF!,69,1)</f>
        <v>#REF!</v>
      </c>
      <c r="AG20" s="424" t="e">
        <f>+MID(#REF!,70,1)</f>
        <v>#REF!</v>
      </c>
      <c r="AH20" s="424" t="e">
        <f>+MID(#REF!,71,1)</f>
        <v>#REF!</v>
      </c>
      <c r="AI20" s="424" t="e">
        <f>+MID(#REF!,72,1)</f>
        <v>#REF!</v>
      </c>
      <c r="AJ20" s="424" t="e">
        <f>+MID(#REF!,73,1)</f>
        <v>#REF!</v>
      </c>
      <c r="AK20" s="501" t="e">
        <f>+MID(#REF!,74,1)</f>
        <v>#REF!</v>
      </c>
    </row>
    <row r="21" spans="1:37" ht="14.25" customHeight="1" x14ac:dyDescent="0.25">
      <c r="A21" s="377" t="s">
        <v>2201</v>
      </c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367"/>
    </row>
    <row r="22" spans="1:37" ht="19.5" customHeight="1" x14ac:dyDescent="0.25">
      <c r="A22" s="423" t="e">
        <f>+LEFT(#REF!,1)</f>
        <v>#REF!</v>
      </c>
      <c r="B22" s="424" t="e">
        <f>+MID(#REF!,2,1)</f>
        <v>#REF!</v>
      </c>
      <c r="C22" s="424" t="e">
        <f>+MID(#REF!,3,1)</f>
        <v>#REF!</v>
      </c>
      <c r="D22" s="424" t="e">
        <f>+MID(#REF!,4,1)</f>
        <v>#REF!</v>
      </c>
      <c r="E22" s="424" t="e">
        <f>+MID(#REF!,5,1)</f>
        <v>#REF!</v>
      </c>
      <c r="F22" s="424" t="e">
        <f>+MID(#REF!,6,1)</f>
        <v>#REF!</v>
      </c>
      <c r="G22" s="424" t="e">
        <f>+MID(#REF!,7,1)</f>
        <v>#REF!</v>
      </c>
      <c r="H22" s="424" t="e">
        <f>+MID(#REF!,8,1)</f>
        <v>#REF!</v>
      </c>
      <c r="I22" s="424" t="e">
        <f>+MID(#REF!,9,1)</f>
        <v>#REF!</v>
      </c>
      <c r="J22" s="424" t="e">
        <f>+MID(#REF!,10,1)</f>
        <v>#REF!</v>
      </c>
      <c r="K22" s="424" t="e">
        <f>+MID(#REF!,11,1)</f>
        <v>#REF!</v>
      </c>
      <c r="L22" s="424" t="e">
        <f>+MID(#REF!,12,1)</f>
        <v>#REF!</v>
      </c>
      <c r="M22" s="424" t="e">
        <f>+MID(#REF!,13,1)</f>
        <v>#REF!</v>
      </c>
      <c r="N22" s="424" t="e">
        <f>+MID(#REF!,14,1)</f>
        <v>#REF!</v>
      </c>
      <c r="O22" s="424" t="e">
        <f>+MID(#REF!,15,1)</f>
        <v>#REF!</v>
      </c>
      <c r="P22" s="424" t="e">
        <f>+MID(#REF!,16,1)</f>
        <v>#REF!</v>
      </c>
      <c r="Q22" s="424" t="e">
        <f>+MID(#REF!,17,1)</f>
        <v>#REF!</v>
      </c>
      <c r="R22" s="424" t="e">
        <f>+MID(#REF!,18,1)</f>
        <v>#REF!</v>
      </c>
      <c r="S22" s="424" t="e">
        <f>+MID(#REF!,19,1)</f>
        <v>#REF!</v>
      </c>
      <c r="T22" s="424" t="e">
        <f>+MID(#REF!,20,1)</f>
        <v>#REF!</v>
      </c>
      <c r="U22" s="424" t="e">
        <f>+MID(#REF!,21,1)</f>
        <v>#REF!</v>
      </c>
      <c r="V22" s="424" t="e">
        <f>+MID(#REF!,22,1)</f>
        <v>#REF!</v>
      </c>
      <c r="W22" s="424" t="e">
        <f>+MID(#REF!,23,1)</f>
        <v>#REF!</v>
      </c>
      <c r="X22" s="424" t="e">
        <f>+MID(#REF!,24,1)</f>
        <v>#REF!</v>
      </c>
      <c r="Y22" s="424" t="e">
        <f>+MID(#REF!,25,1)</f>
        <v>#REF!</v>
      </c>
      <c r="Z22" s="424" t="e">
        <f>+MID(#REF!,26,1)</f>
        <v>#REF!</v>
      </c>
      <c r="AA22" s="424" t="e">
        <f>+MID(#REF!,27,1)</f>
        <v>#REF!</v>
      </c>
      <c r="AB22" s="424" t="e">
        <f>+MID(#REF!,28,1)</f>
        <v>#REF!</v>
      </c>
      <c r="AC22" s="424" t="e">
        <f>+MID(#REF!,29,1)</f>
        <v>#REF!</v>
      </c>
      <c r="AD22" s="424" t="e">
        <f>+MID(#REF!,30,1)</f>
        <v>#REF!</v>
      </c>
      <c r="AE22" s="424" t="e">
        <f>+MID(#REF!,31,1)</f>
        <v>#REF!</v>
      </c>
      <c r="AF22" s="424" t="e">
        <f>+MID(#REF!,32,1)</f>
        <v>#REF!</v>
      </c>
      <c r="AG22" s="424" t="e">
        <f>+MID(#REF!,33,1)</f>
        <v>#REF!</v>
      </c>
      <c r="AH22" s="424" t="e">
        <f>+MID(#REF!,34,1)</f>
        <v>#REF!</v>
      </c>
      <c r="AI22" s="424" t="e">
        <f>+MID(#REF!,35,1)</f>
        <v>#REF!</v>
      </c>
      <c r="AJ22" s="424" t="e">
        <f>+MID(#REF!,36,1)</f>
        <v>#REF!</v>
      </c>
      <c r="AK22" s="501" t="e">
        <f>+MID(#REF!,37,1)</f>
        <v>#REF!</v>
      </c>
    </row>
    <row r="23" spans="1:37" s="299" customFormat="1" ht="14.25" customHeight="1" x14ac:dyDescent="0.25">
      <c r="A23" s="379" t="s">
        <v>2200</v>
      </c>
      <c r="B23" s="380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1"/>
      <c r="X23" s="381"/>
      <c r="Y23" s="381"/>
      <c r="Z23" s="381"/>
      <c r="AA23" s="381"/>
      <c r="AB23" s="381"/>
      <c r="AC23" s="381"/>
      <c r="AD23" s="381"/>
      <c r="AE23" s="381"/>
      <c r="AF23" s="381"/>
      <c r="AG23" s="381"/>
      <c r="AH23" s="381"/>
      <c r="AI23" s="381"/>
      <c r="AJ23" s="381"/>
      <c r="AK23" s="382"/>
    </row>
    <row r="24" spans="1:37" x14ac:dyDescent="0.25">
      <c r="A24" s="377" t="s">
        <v>2198</v>
      </c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53"/>
      <c r="X24" s="353"/>
      <c r="Y24" s="353"/>
      <c r="Z24" s="353"/>
      <c r="AA24" s="353"/>
      <c r="AB24" s="366" t="s">
        <v>2199</v>
      </c>
      <c r="AC24" s="353"/>
      <c r="AD24" s="353"/>
      <c r="AE24" s="353"/>
      <c r="AF24" s="353"/>
      <c r="AG24" s="353"/>
      <c r="AH24" s="353"/>
      <c r="AI24" s="353"/>
      <c r="AJ24" s="353"/>
      <c r="AK24" s="367"/>
    </row>
    <row r="25" spans="1:37" ht="19.5" customHeight="1" x14ac:dyDescent="0.25">
      <c r="A25" s="423" t="e">
        <f>+LEFT(#REF!,1)</f>
        <v>#REF!</v>
      </c>
      <c r="B25" s="424" t="e">
        <f>+MID(#REF!,2,1)</f>
        <v>#REF!</v>
      </c>
      <c r="C25" s="424" t="e">
        <f>+MID(#REF!,3,1)</f>
        <v>#REF!</v>
      </c>
      <c r="D25" s="424" t="e">
        <f>+MID(#REF!,4,1)</f>
        <v>#REF!</v>
      </c>
      <c r="E25" s="424" t="e">
        <f>+MID(#REF!,5,1)</f>
        <v>#REF!</v>
      </c>
      <c r="F25" s="424" t="e">
        <f>+MID(#REF!,6,1)</f>
        <v>#REF!</v>
      </c>
      <c r="G25" s="424" t="e">
        <f>+MID(#REF!,7,1)</f>
        <v>#REF!</v>
      </c>
      <c r="H25" s="424" t="e">
        <f>+MID(#REF!,8,1)</f>
        <v>#REF!</v>
      </c>
      <c r="I25" s="424" t="e">
        <f>+MID(#REF!,9,1)</f>
        <v>#REF!</v>
      </c>
      <c r="J25" s="424" t="e">
        <f>+MID(#REF!,10,1)</f>
        <v>#REF!</v>
      </c>
      <c r="K25" s="424" t="e">
        <f>+MID(#REF!,11,1)</f>
        <v>#REF!</v>
      </c>
      <c r="L25" s="424" t="e">
        <f>+MID(#REF!,12,1)</f>
        <v>#REF!</v>
      </c>
      <c r="M25" s="424" t="e">
        <f>+MID(#REF!,13,1)</f>
        <v>#REF!</v>
      </c>
      <c r="N25" s="424" t="e">
        <f>+MID(#REF!,14,1)</f>
        <v>#REF!</v>
      </c>
      <c r="O25" s="424" t="e">
        <f>+MID(#REF!,15,1)</f>
        <v>#REF!</v>
      </c>
      <c r="P25" s="424" t="e">
        <f>+MID(#REF!,16,1)</f>
        <v>#REF!</v>
      </c>
      <c r="Q25" s="424" t="e">
        <f>+MID(#REF!,17,1)</f>
        <v>#REF!</v>
      </c>
      <c r="R25" s="424" t="e">
        <f>+MID(#REF!,18,1)</f>
        <v>#REF!</v>
      </c>
      <c r="S25" s="424" t="e">
        <f>+MID(#REF!,19,1)</f>
        <v>#REF!</v>
      </c>
      <c r="T25" s="424" t="e">
        <f>+MID(#REF!,20,1)</f>
        <v>#REF!</v>
      </c>
      <c r="U25" s="424" t="e">
        <f>+MID(#REF!,21,1)</f>
        <v>#REF!</v>
      </c>
      <c r="V25" s="424" t="e">
        <f>+MID(#REF!,22,1)</f>
        <v>#REF!</v>
      </c>
      <c r="W25" s="424" t="e">
        <f>+MID(#REF!,23,1)</f>
        <v>#REF!</v>
      </c>
      <c r="X25" s="424" t="e">
        <f>+MID(#REF!,24,1)</f>
        <v>#REF!</v>
      </c>
      <c r="Y25" s="424" t="e">
        <f>+MID(#REF!,25,1)</f>
        <v>#REF!</v>
      </c>
      <c r="Z25" s="424" t="e">
        <f>+MID(#REF!,26,1)</f>
        <v>#REF!</v>
      </c>
      <c r="AA25" s="427" t="s">
        <v>179</v>
      </c>
      <c r="AB25" s="424" t="e">
        <f>+LEFT(#REF!,1)</f>
        <v>#REF!</v>
      </c>
      <c r="AC25" s="424" t="e">
        <f>+MID(#REF!,2,1)</f>
        <v>#REF!</v>
      </c>
      <c r="AD25" s="424" t="e">
        <f>+MID(#REF!,3,1)</f>
        <v>#REF!</v>
      </c>
      <c r="AE25" s="424" t="e">
        <f>+MID(#REF!,4,1)</f>
        <v>#REF!</v>
      </c>
      <c r="AF25" s="424" t="e">
        <f>+MID(#REF!,5,1)</f>
        <v>#REF!</v>
      </c>
      <c r="AG25" s="424" t="e">
        <f>+MID(#REF!,6,1)</f>
        <v>#REF!</v>
      </c>
      <c r="AH25" s="424" t="e">
        <f>+MID(#REF!,7,1)</f>
        <v>#REF!</v>
      </c>
      <c r="AI25" s="499" t="e">
        <f>+MID(#REF!,8,1)</f>
        <v>#REF!</v>
      </c>
      <c r="AJ25" s="499" t="e">
        <f>+MID(#REF!,9,1)</f>
        <v>#REF!</v>
      </c>
      <c r="AK25" s="500" t="e">
        <f>+MID(#REF!,10,1)</f>
        <v>#REF!</v>
      </c>
    </row>
    <row r="26" spans="1:37" x14ac:dyDescent="0.25">
      <c r="A26" s="377" t="s">
        <v>368</v>
      </c>
      <c r="B26" s="378"/>
      <c r="C26" s="378"/>
      <c r="D26" s="378"/>
      <c r="E26" s="378"/>
      <c r="F26" s="378"/>
      <c r="G26" s="383" t="s">
        <v>369</v>
      </c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3"/>
      <c r="S26" s="383"/>
      <c r="T26" s="383"/>
      <c r="U26" s="383"/>
      <c r="V26" s="383"/>
      <c r="W26" s="383"/>
      <c r="X26" s="383"/>
      <c r="Y26" s="383"/>
      <c r="Z26" s="383"/>
      <c r="AA26" s="383"/>
      <c r="AB26" s="383"/>
      <c r="AC26" s="383"/>
      <c r="AD26" s="383"/>
      <c r="AE26" s="353"/>
      <c r="AF26" s="353"/>
      <c r="AG26" s="353"/>
      <c r="AH26" s="353"/>
      <c r="AI26" s="353"/>
      <c r="AJ26" s="353"/>
      <c r="AK26" s="367"/>
    </row>
    <row r="27" spans="1:37" s="419" customFormat="1" ht="19.5" customHeight="1" x14ac:dyDescent="0.25">
      <c r="A27" s="423" t="e">
        <f>+LEFT(#REF!,1)</f>
        <v>#REF!</v>
      </c>
      <c r="B27" s="424" t="e">
        <f>+MID(#REF!,2,1)</f>
        <v>#REF!</v>
      </c>
      <c r="C27" s="424" t="e">
        <f>+MID(#REF!,3,1)</f>
        <v>#REF!</v>
      </c>
      <c r="D27" s="424" t="e">
        <f>+MID(#REF!,4,1)</f>
        <v>#REF!</v>
      </c>
      <c r="E27" s="424" t="e">
        <f>+MID(#REF!,5,1)</f>
        <v>#REF!</v>
      </c>
      <c r="F27" s="427"/>
      <c r="G27" s="424" t="e">
        <f>+LEFT(#REF!,1)</f>
        <v>#REF!</v>
      </c>
      <c r="H27" s="424" t="e">
        <f>+MID(#REF!,2,1)</f>
        <v>#REF!</v>
      </c>
      <c r="I27" s="424" t="e">
        <f>+MID(#REF!,3,1)</f>
        <v>#REF!</v>
      </c>
      <c r="J27" s="424" t="e">
        <f>+MID(#REF!,4,1)</f>
        <v>#REF!</v>
      </c>
      <c r="K27" s="424" t="e">
        <f>+MID(#REF!,5,1)</f>
        <v>#REF!</v>
      </c>
      <c r="L27" s="424" t="e">
        <f>+MID(#REF!,6,1)</f>
        <v>#REF!</v>
      </c>
      <c r="M27" s="424" t="e">
        <f>+MID(#REF!,7,1)</f>
        <v>#REF!</v>
      </c>
      <c r="N27" s="424" t="e">
        <f>+MID(#REF!,8,1)</f>
        <v>#REF!</v>
      </c>
      <c r="O27" s="424" t="e">
        <f>+MID(#REF!,9,1)</f>
        <v>#REF!</v>
      </c>
      <c r="P27" s="424" t="e">
        <f>+MID(#REF!,10,1)</f>
        <v>#REF!</v>
      </c>
      <c r="Q27" s="424" t="e">
        <f>+MID(#REF!,11,1)</f>
        <v>#REF!</v>
      </c>
      <c r="R27" s="424" t="e">
        <f>+MID(#REF!,12,1)</f>
        <v>#REF!</v>
      </c>
      <c r="S27" s="424" t="e">
        <f>+MID(#REF!,13,1)</f>
        <v>#REF!</v>
      </c>
      <c r="T27" s="424" t="e">
        <f>+MID(#REF!,14,1)</f>
        <v>#REF!</v>
      </c>
      <c r="U27" s="424" t="e">
        <f>+MID(#REF!,15,1)</f>
        <v>#REF!</v>
      </c>
      <c r="V27" s="424" t="e">
        <f>+MID(#REF!,16,1)</f>
        <v>#REF!</v>
      </c>
      <c r="W27" s="424" t="e">
        <f>+MID(#REF!,17,1)</f>
        <v>#REF!</v>
      </c>
      <c r="X27" s="424" t="e">
        <f>+MID(#REF!,18,1)</f>
        <v>#REF!</v>
      </c>
      <c r="Y27" s="424" t="e">
        <f>+MID(#REF!,19,1)</f>
        <v>#REF!</v>
      </c>
      <c r="Z27" s="424" t="e">
        <f>+MID(#REF!,20,1)</f>
        <v>#REF!</v>
      </c>
      <c r="AA27" s="424" t="e">
        <f>+MID(#REF!,21,1)</f>
        <v>#REF!</v>
      </c>
      <c r="AB27" s="424" t="e">
        <f>+MID(#REF!,22,1)</f>
        <v>#REF!</v>
      </c>
      <c r="AC27" s="424" t="e">
        <f>+MID(#REF!,23,1)</f>
        <v>#REF!</v>
      </c>
      <c r="AD27" s="424" t="e">
        <f>+MID(#REF!,24,1)</f>
        <v>#REF!</v>
      </c>
      <c r="AE27" s="424" t="e">
        <f>+MID(#REF!,25,1)</f>
        <v>#REF!</v>
      </c>
      <c r="AF27" s="424" t="e">
        <f>+MID(#REF!,26,1)</f>
        <v>#REF!</v>
      </c>
      <c r="AG27" s="424" t="e">
        <f>+MID(#REF!,27,1)</f>
        <v>#REF!</v>
      </c>
      <c r="AH27" s="424" t="e">
        <f>+MID(#REF!,28,1)</f>
        <v>#REF!</v>
      </c>
      <c r="AI27" s="424" t="e">
        <f>+MID(#REF!,29,1)</f>
        <v>#REF!</v>
      </c>
      <c r="AJ27" s="424" t="e">
        <f>+MID(#REF!,30,1)</f>
        <v>#REF!</v>
      </c>
      <c r="AK27" s="501" t="e">
        <f>+MID(#REF!,31,1)</f>
        <v>#REF!</v>
      </c>
    </row>
    <row r="28" spans="1:37" x14ac:dyDescent="0.25">
      <c r="A28" s="377" t="s">
        <v>2197</v>
      </c>
      <c r="B28" s="378"/>
      <c r="C28" s="378"/>
      <c r="D28" s="378"/>
      <c r="E28" s="378"/>
      <c r="F28" s="378"/>
      <c r="G28" s="383"/>
      <c r="H28" s="383"/>
      <c r="I28" s="383"/>
      <c r="J28" s="383"/>
      <c r="K28" s="383"/>
      <c r="L28" s="383"/>
      <c r="M28" s="383"/>
      <c r="N28" s="378"/>
      <c r="O28" s="383" t="s">
        <v>370</v>
      </c>
      <c r="P28" s="383"/>
      <c r="Q28" s="383"/>
      <c r="R28" s="383"/>
      <c r="S28" s="383"/>
      <c r="T28" s="383"/>
      <c r="U28" s="383"/>
      <c r="V28" s="383"/>
      <c r="W28" s="383"/>
      <c r="X28" s="383"/>
      <c r="Y28" s="383"/>
      <c r="Z28" s="383"/>
      <c r="AA28" s="383"/>
      <c r="AB28" s="383"/>
      <c r="AC28" s="383"/>
      <c r="AD28" s="383"/>
      <c r="AE28" s="353"/>
      <c r="AF28" s="353"/>
      <c r="AG28" s="353"/>
      <c r="AH28" s="353"/>
      <c r="AI28" s="353"/>
      <c r="AJ28" s="353"/>
      <c r="AK28" s="367"/>
    </row>
    <row r="29" spans="1:37" ht="19.5" customHeight="1" x14ac:dyDescent="0.25">
      <c r="A29" s="423" t="e">
        <f>+LEFT(#REF!,1)</f>
        <v>#REF!</v>
      </c>
      <c r="B29" s="424" t="e">
        <f>+MID(#REF!,2,1)</f>
        <v>#REF!</v>
      </c>
      <c r="C29" s="424" t="e">
        <f>+MID(#REF!,3,1)</f>
        <v>#REF!</v>
      </c>
      <c r="D29" s="424" t="e">
        <f>+MID(#REF!,4,1)</f>
        <v>#REF!</v>
      </c>
      <c r="E29" s="424" t="e">
        <f>+MID(#REF!,5,1)</f>
        <v>#REF!</v>
      </c>
      <c r="F29" s="427" t="s">
        <v>1187</v>
      </c>
      <c r="G29" s="424" t="e">
        <f>+LEFT(#REF!,1)</f>
        <v>#REF!</v>
      </c>
      <c r="H29" s="424" t="e">
        <f>+MID(#REF!,2,1)</f>
        <v>#REF!</v>
      </c>
      <c r="I29" s="424" t="e">
        <f>+MID(#REF!,3,1)</f>
        <v>#REF!</v>
      </c>
      <c r="J29" s="424" t="e">
        <f>+MID(#REF!,4,1)</f>
        <v>#REF!</v>
      </c>
      <c r="K29" s="424" t="e">
        <f>+MID(#REF!,5,1)</f>
        <v>#REF!</v>
      </c>
      <c r="L29" s="424" t="e">
        <f>+MID(#REF!,6,1)</f>
        <v>#REF!</v>
      </c>
      <c r="M29" s="424" t="e">
        <f>+MID(#REF!,7,1)</f>
        <v>#REF!</v>
      </c>
      <c r="N29" s="424" t="e">
        <f>+MID(#REF!,8,1)</f>
        <v>#REF!</v>
      </c>
      <c r="O29" s="427"/>
      <c r="P29" s="424" t="e">
        <f>+LEFT(#REF!,1)</f>
        <v>#REF!</v>
      </c>
      <c r="Q29" s="424" t="e">
        <f>+MID(#REF!,2,1)</f>
        <v>#REF!</v>
      </c>
      <c r="R29" s="424" t="e">
        <f>+MID(#REF!,3,1)</f>
        <v>#REF!</v>
      </c>
      <c r="S29" s="424" t="e">
        <f>+MID(#REF!,4,1)</f>
        <v>#REF!</v>
      </c>
      <c r="T29" s="424" t="e">
        <f>+MID(#REF!,5,1)</f>
        <v>#REF!</v>
      </c>
      <c r="U29" s="427" t="s">
        <v>1187</v>
      </c>
      <c r="V29" s="424" t="e">
        <f>+LEFT(#REF!,1)</f>
        <v>#REF!</v>
      </c>
      <c r="W29" s="424" t="e">
        <f>+MID(#REF!,2,1)</f>
        <v>#REF!</v>
      </c>
      <c r="X29" s="424" t="e">
        <f>+MID(#REF!,3,1)</f>
        <v>#REF!</v>
      </c>
      <c r="Y29" s="424" t="e">
        <f>+MID(#REF!,4,1)</f>
        <v>#REF!</v>
      </c>
      <c r="Z29" s="424" t="e">
        <f>+MID(#REF!,5,1)</f>
        <v>#REF!</v>
      </c>
      <c r="AA29" s="424" t="e">
        <f>+MID(#REF!,6,1)</f>
        <v>#REF!</v>
      </c>
      <c r="AB29" s="424" t="e">
        <f>+MID(#REF!,7,1)</f>
        <v>#REF!</v>
      </c>
      <c r="AC29" s="424" t="e">
        <f>+MID(#REF!,8,1)</f>
        <v>#REF!</v>
      </c>
      <c r="AD29" s="427"/>
      <c r="AE29" s="353"/>
      <c r="AF29" s="353"/>
      <c r="AG29" s="353"/>
      <c r="AH29" s="353"/>
      <c r="AI29" s="353"/>
      <c r="AJ29" s="353"/>
      <c r="AK29" s="367"/>
    </row>
    <row r="30" spans="1:37" s="338" customFormat="1" x14ac:dyDescent="0.25">
      <c r="A30" s="335" t="s">
        <v>1188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336"/>
      <c r="W30" s="353"/>
      <c r="X30" s="353"/>
      <c r="Y30" s="353"/>
      <c r="Z30" s="353"/>
      <c r="AA30" s="353"/>
      <c r="AB30" s="353"/>
      <c r="AC30" s="353"/>
      <c r="AD30" s="353"/>
      <c r="AE30" s="353"/>
      <c r="AF30" s="353"/>
      <c r="AG30" s="353"/>
      <c r="AH30" s="353"/>
      <c r="AI30" s="353"/>
      <c r="AJ30" s="353"/>
      <c r="AK30" s="367"/>
    </row>
    <row r="31" spans="1:37" ht="19.5" customHeight="1" thickBot="1" x14ac:dyDescent="0.3">
      <c r="A31" s="502" t="e">
        <f>+LEFT(#REF!,1)</f>
        <v>#REF!</v>
      </c>
      <c r="B31" s="429" t="e">
        <f>+MID(#REF!,2,1)</f>
        <v>#REF!</v>
      </c>
      <c r="C31" s="429" t="e">
        <f>+MID(#REF!,3,1)</f>
        <v>#REF!</v>
      </c>
      <c r="D31" s="429" t="e">
        <f>+MID(#REF!,4,1)</f>
        <v>#REF!</v>
      </c>
      <c r="E31" s="429" t="e">
        <f>+MID(#REF!,5,1)</f>
        <v>#REF!</v>
      </c>
      <c r="F31" s="429" t="e">
        <f>+MID(#REF!,6,1)</f>
        <v>#REF!</v>
      </c>
      <c r="G31" s="429" t="e">
        <f>+MID(#REF!,7,1)</f>
        <v>#REF!</v>
      </c>
      <c r="H31" s="429" t="e">
        <f>+MID(#REF!,8,1)</f>
        <v>#REF!</v>
      </c>
      <c r="I31" s="429" t="e">
        <f>+MID(#REF!,9,1)</f>
        <v>#REF!</v>
      </c>
      <c r="J31" s="429" t="e">
        <f>+MID(#REF!,10,1)</f>
        <v>#REF!</v>
      </c>
      <c r="K31" s="429" t="e">
        <f>+MID(#REF!,11,1)</f>
        <v>#REF!</v>
      </c>
      <c r="L31" s="429" t="e">
        <f>+MID(#REF!,12,1)</f>
        <v>#REF!</v>
      </c>
      <c r="M31" s="429" t="e">
        <f>+MID(#REF!,13,1)</f>
        <v>#REF!</v>
      </c>
      <c r="N31" s="429" t="e">
        <f>+MID(#REF!,14,1)</f>
        <v>#REF!</v>
      </c>
      <c r="O31" s="429" t="e">
        <f>+MID(#REF!,15,1)</f>
        <v>#REF!</v>
      </c>
      <c r="P31" s="429" t="e">
        <f>+MID(#REF!,16,1)</f>
        <v>#REF!</v>
      </c>
      <c r="Q31" s="429" t="e">
        <f>+MID(#REF!,17,1)</f>
        <v>#REF!</v>
      </c>
      <c r="R31" s="429" t="e">
        <f>+MID(#REF!,18,1)</f>
        <v>#REF!</v>
      </c>
      <c r="S31" s="429" t="e">
        <f>+MID(#REF!,19,1)</f>
        <v>#REF!</v>
      </c>
      <c r="T31" s="429" t="e">
        <f>+MID(#REF!,20,1)</f>
        <v>#REF!</v>
      </c>
      <c r="U31" s="429" t="e">
        <f>+MID(#REF!,21,1)</f>
        <v>#REF!</v>
      </c>
      <c r="V31" s="429" t="e">
        <f>+MID(#REF!,22,1)</f>
        <v>#REF!</v>
      </c>
      <c r="W31" s="429" t="e">
        <f>+MID(#REF!,23,1)</f>
        <v>#REF!</v>
      </c>
      <c r="X31" s="429" t="e">
        <f>+MID(#REF!,24,1)</f>
        <v>#REF!</v>
      </c>
      <c r="Y31" s="429" t="e">
        <f>+MID(#REF!,25,1)</f>
        <v>#REF!</v>
      </c>
      <c r="Z31" s="429" t="e">
        <f>+MID(#REF!,26,1)</f>
        <v>#REF!</v>
      </c>
      <c r="AA31" s="429" t="e">
        <f>+MID(#REF!,27,1)</f>
        <v>#REF!</v>
      </c>
      <c r="AB31" s="429" t="e">
        <f>+MID(#REF!,28,1)</f>
        <v>#REF!</v>
      </c>
      <c r="AC31" s="429" t="e">
        <f>+MID(#REF!,29,1)</f>
        <v>#REF!</v>
      </c>
      <c r="AD31" s="429" t="e">
        <f>+MID(#REF!,30,1)</f>
        <v>#REF!</v>
      </c>
      <c r="AE31" s="429" t="e">
        <f>+MID(#REF!,31,1)</f>
        <v>#REF!</v>
      </c>
      <c r="AF31" s="429" t="e">
        <f>+MID(#REF!,32,1)</f>
        <v>#REF!</v>
      </c>
      <c r="AG31" s="429" t="e">
        <f>+MID(#REF!,33,1)</f>
        <v>#REF!</v>
      </c>
      <c r="AH31" s="429" t="e">
        <f>+MID(#REF!,34,1)</f>
        <v>#REF!</v>
      </c>
      <c r="AI31" s="429" t="e">
        <f>+MID(#REF!,35,1)</f>
        <v>#REF!</v>
      </c>
      <c r="AJ31" s="429" t="e">
        <f>+MID(#REF!,36,1)</f>
        <v>#REF!</v>
      </c>
      <c r="AK31" s="498" t="e">
        <f>+MID(#REF!,37,1)</f>
        <v>#REF!</v>
      </c>
    </row>
    <row r="32" spans="1:37" s="338" customFormat="1" ht="4.5" customHeight="1" thickBot="1" x14ac:dyDescent="0.3">
      <c r="W32" s="374"/>
      <c r="X32" s="374"/>
      <c r="Y32" s="374"/>
      <c r="Z32" s="374"/>
      <c r="AA32" s="374"/>
      <c r="AB32" s="374"/>
      <c r="AC32" s="374"/>
      <c r="AD32" s="374"/>
      <c r="AE32" s="374"/>
      <c r="AF32" s="374"/>
      <c r="AG32" s="374"/>
      <c r="AH32" s="374"/>
      <c r="AI32" s="374"/>
      <c r="AJ32" s="374"/>
      <c r="AK32" s="374"/>
    </row>
    <row r="33" spans="1:37" s="390" customFormat="1" ht="12.75" customHeight="1" x14ac:dyDescent="0.25">
      <c r="A33" s="385" t="s">
        <v>371</v>
      </c>
      <c r="B33" s="386"/>
      <c r="C33" s="386"/>
      <c r="D33" s="386"/>
      <c r="E33" s="386"/>
      <c r="F33" s="386"/>
      <c r="G33" s="386"/>
      <c r="H33" s="386"/>
      <c r="I33" s="386"/>
      <c r="J33" s="386"/>
      <c r="K33" s="387"/>
      <c r="L33" s="388"/>
      <c r="M33" s="940" t="s">
        <v>2203</v>
      </c>
      <c r="N33" s="940"/>
      <c r="O33" s="940"/>
      <c r="P33" s="940"/>
      <c r="Q33" s="940"/>
      <c r="R33" s="940"/>
      <c r="S33" s="940"/>
      <c r="T33" s="940"/>
      <c r="U33" s="941"/>
      <c r="V33" s="938" t="s">
        <v>2204</v>
      </c>
      <c r="W33" s="934"/>
      <c r="X33" s="934"/>
      <c r="Y33" s="934"/>
      <c r="Z33" s="934"/>
      <c r="AA33" s="934"/>
      <c r="AB33" s="934"/>
      <c r="AC33" s="389"/>
      <c r="AD33" s="934" t="s">
        <v>2205</v>
      </c>
      <c r="AE33" s="934"/>
      <c r="AF33" s="934"/>
      <c r="AG33" s="934"/>
      <c r="AH33" s="934"/>
      <c r="AI33" s="934"/>
      <c r="AJ33" s="934"/>
      <c r="AK33" s="935"/>
    </row>
    <row r="34" spans="1:37" s="338" customFormat="1" ht="19.5" customHeight="1" x14ac:dyDescent="0.25">
      <c r="A34" s="455" t="e">
        <f>LEFT(TEXT(#REF!,"dd.m.yyyy"),1)</f>
        <v>#REF!</v>
      </c>
      <c r="B34" s="454" t="e">
        <f>MID(TEXT(#REF!,"dd.mm.yyyy"),2,1)</f>
        <v>#REF!</v>
      </c>
      <c r="C34" s="452" t="s">
        <v>179</v>
      </c>
      <c r="D34" s="454" t="e">
        <f>MID(TEXT(#REF!,"dd.mm.yyyy"),4,1)</f>
        <v>#REF!</v>
      </c>
      <c r="E34" s="454" t="e">
        <f>MID(TEXT(#REF!,"dd.mm.yyyy"),5,1)</f>
        <v>#REF!</v>
      </c>
      <c r="F34" s="452" t="s">
        <v>179</v>
      </c>
      <c r="G34" s="454" t="e">
        <f>MID(TEXT(#REF!,"dd.mm.yyyy"),7,1)</f>
        <v>#REF!</v>
      </c>
      <c r="H34" s="454" t="e">
        <f>MID(TEXT(#REF!,"dd.mm.yyyy"),8,1)</f>
        <v>#REF!</v>
      </c>
      <c r="I34" s="454" t="e">
        <f>MID(TEXT(#REF!,"dd.mm.yyyy"),9,1)</f>
        <v>#REF!</v>
      </c>
      <c r="J34" s="454" t="e">
        <f>MID(TEXT(#REF!,"dd.mm.yyyy"),10,1)</f>
        <v>#REF!</v>
      </c>
      <c r="K34" s="431"/>
      <c r="L34" s="392"/>
      <c r="M34" s="942"/>
      <c r="N34" s="942"/>
      <c r="O34" s="942"/>
      <c r="P34" s="942"/>
      <c r="Q34" s="942"/>
      <c r="R34" s="942"/>
      <c r="S34" s="942"/>
      <c r="T34" s="942"/>
      <c r="U34" s="943"/>
      <c r="V34" s="939"/>
      <c r="W34" s="936"/>
      <c r="X34" s="936"/>
      <c r="Y34" s="936"/>
      <c r="Z34" s="936"/>
      <c r="AA34" s="936"/>
      <c r="AB34" s="936"/>
      <c r="AC34" s="393"/>
      <c r="AD34" s="936"/>
      <c r="AE34" s="936"/>
      <c r="AF34" s="936"/>
      <c r="AG34" s="936"/>
      <c r="AH34" s="936"/>
      <c r="AI34" s="936"/>
      <c r="AJ34" s="936"/>
      <c r="AK34" s="937"/>
    </row>
    <row r="35" spans="1:37" s="338" customFormat="1" ht="12.75" customHeight="1" x14ac:dyDescent="0.25">
      <c r="A35" s="394"/>
      <c r="B35" s="395"/>
      <c r="C35" s="395"/>
      <c r="D35" s="395"/>
      <c r="E35" s="395"/>
      <c r="F35" s="395"/>
      <c r="G35" s="395"/>
      <c r="H35" s="395"/>
      <c r="I35" s="395"/>
      <c r="J35" s="395"/>
      <c r="K35" s="396"/>
      <c r="L35" s="397"/>
      <c r="M35" s="942"/>
      <c r="N35" s="942"/>
      <c r="O35" s="942"/>
      <c r="P35" s="942"/>
      <c r="Q35" s="942"/>
      <c r="R35" s="942"/>
      <c r="S35" s="942"/>
      <c r="T35" s="942"/>
      <c r="U35" s="943"/>
      <c r="V35" s="939"/>
      <c r="W35" s="936"/>
      <c r="X35" s="936"/>
      <c r="Y35" s="936"/>
      <c r="Z35" s="936"/>
      <c r="AA35" s="936"/>
      <c r="AB35" s="936"/>
      <c r="AC35" s="393"/>
      <c r="AD35" s="936"/>
      <c r="AE35" s="936"/>
      <c r="AF35" s="936"/>
      <c r="AG35" s="936"/>
      <c r="AH35" s="936"/>
      <c r="AI35" s="936"/>
      <c r="AJ35" s="936"/>
      <c r="AK35" s="937"/>
    </row>
    <row r="36" spans="1:37" s="338" customFormat="1" x14ac:dyDescent="0.25">
      <c r="A36" s="335" t="s">
        <v>1440</v>
      </c>
      <c r="B36" s="336"/>
      <c r="C36" s="336"/>
      <c r="D36" s="336"/>
      <c r="E36" s="336"/>
      <c r="F36" s="336"/>
      <c r="G36" s="336"/>
      <c r="H36" s="336"/>
      <c r="I36" s="336"/>
      <c r="J36" s="336"/>
      <c r="K36" s="391"/>
      <c r="L36" s="392"/>
      <c r="M36" s="391"/>
      <c r="N36" s="391"/>
      <c r="O36" s="391"/>
      <c r="P36" s="391"/>
      <c r="Q36" s="391"/>
      <c r="R36" s="391"/>
      <c r="S36" s="336"/>
      <c r="T36" s="398"/>
      <c r="U36" s="398"/>
      <c r="V36" s="399"/>
      <c r="W36" s="398"/>
      <c r="X36" s="398"/>
      <c r="Y36" s="398"/>
      <c r="Z36" s="398"/>
      <c r="AA36" s="353"/>
      <c r="AB36" s="398"/>
      <c r="AC36" s="393"/>
      <c r="AD36" s="398"/>
      <c r="AE36" s="398"/>
      <c r="AF36" s="398"/>
      <c r="AG36" s="398"/>
      <c r="AH36" s="398"/>
      <c r="AI36" s="353"/>
      <c r="AJ36" s="353"/>
      <c r="AK36" s="367"/>
    </row>
    <row r="37" spans="1:37" s="338" customFormat="1" ht="19.5" customHeight="1" x14ac:dyDescent="0.25">
      <c r="A37" s="455" t="e">
        <f>LEFT(TEXT(#REF!,"dd.mm.yyyy"),1)</f>
        <v>#REF!</v>
      </c>
      <c r="B37" s="454" t="e">
        <f>MID(TEXT(#REF!,"dd.mm.yyyy"),2,1)</f>
        <v>#REF!</v>
      </c>
      <c r="C37" s="452" t="s">
        <v>179</v>
      </c>
      <c r="D37" s="454" t="e">
        <f>MID(TEXT(#REF!,"dd.mm.yyyy"),4,1)</f>
        <v>#REF!</v>
      </c>
      <c r="E37" s="454" t="e">
        <f>MID(TEXT(#REF!,"dd.mm.yyyy"),5,1)</f>
        <v>#REF!</v>
      </c>
      <c r="F37" s="452" t="s">
        <v>179</v>
      </c>
      <c r="G37" s="454" t="e">
        <f>MID(TEXT(#REF!,"dd.mm.yyyy"),7,1)</f>
        <v>#REF!</v>
      </c>
      <c r="H37" s="454" t="e">
        <f>MID(TEXT(#REF!,"dd.mm.yyyy"),8,1)</f>
        <v>#REF!</v>
      </c>
      <c r="I37" s="454" t="e">
        <f>MID(TEXT(#REF!,"dd.mm.yyyy"),9,1)</f>
        <v>#REF!</v>
      </c>
      <c r="J37" s="454" t="e">
        <f>MID(TEXT(#REF!,"dd.mm.yyyy"),10,1)</f>
        <v>#REF!</v>
      </c>
      <c r="K37" s="503"/>
      <c r="L37" s="400"/>
      <c r="M37" s="336"/>
      <c r="N37" s="336"/>
      <c r="O37" s="336"/>
      <c r="P37" s="336"/>
      <c r="Q37" s="336"/>
      <c r="R37" s="336"/>
      <c r="S37" s="336"/>
      <c r="T37" s="336"/>
      <c r="U37" s="336"/>
      <c r="V37" s="401"/>
      <c r="W37" s="353"/>
      <c r="X37" s="353"/>
      <c r="Y37" s="353"/>
      <c r="Z37" s="353"/>
      <c r="AA37" s="353"/>
      <c r="AB37" s="353"/>
      <c r="AC37" s="359"/>
      <c r="AD37" s="353"/>
      <c r="AE37" s="353"/>
      <c r="AF37" s="353"/>
      <c r="AG37" s="353"/>
      <c r="AH37" s="353"/>
      <c r="AI37" s="353"/>
      <c r="AJ37" s="353"/>
      <c r="AK37" s="367"/>
    </row>
    <row r="38" spans="1:37" s="322" customFormat="1" ht="13.8" thickBot="1" x14ac:dyDescent="0.3">
      <c r="A38" s="402"/>
      <c r="B38" s="403"/>
      <c r="C38" s="403"/>
      <c r="D38" s="403"/>
      <c r="E38" s="403"/>
      <c r="F38" s="403"/>
      <c r="G38" s="403"/>
      <c r="H38" s="403"/>
      <c r="I38" s="403"/>
      <c r="J38" s="403"/>
      <c r="K38" s="403"/>
      <c r="L38" s="404"/>
      <c r="M38" s="403"/>
      <c r="N38" s="403"/>
      <c r="O38" s="403"/>
      <c r="P38" s="403"/>
      <c r="Q38" s="403"/>
      <c r="R38" s="403"/>
      <c r="S38" s="403"/>
      <c r="T38" s="403"/>
      <c r="U38" s="403"/>
      <c r="V38" s="405"/>
      <c r="W38" s="371"/>
      <c r="X38" s="371"/>
      <c r="Y38" s="371"/>
      <c r="Z38" s="371"/>
      <c r="AA38" s="371"/>
      <c r="AB38" s="371"/>
      <c r="AC38" s="372"/>
      <c r="AD38" s="371"/>
      <c r="AE38" s="371"/>
      <c r="AF38" s="371"/>
      <c r="AG38" s="371"/>
      <c r="AH38" s="371"/>
      <c r="AI38" s="371"/>
      <c r="AJ38" s="371"/>
      <c r="AK38" s="373"/>
    </row>
    <row r="39" spans="1:37" s="322" customFormat="1" x14ac:dyDescent="0.25">
      <c r="W39" s="374"/>
      <c r="X39" s="374"/>
      <c r="Y39" s="374"/>
      <c r="Z39" s="374"/>
      <c r="AA39" s="374"/>
      <c r="AB39" s="374"/>
      <c r="AC39" s="374"/>
      <c r="AD39" s="374"/>
      <c r="AE39" s="374"/>
      <c r="AF39" s="374"/>
      <c r="AG39" s="374"/>
      <c r="AH39" s="374"/>
      <c r="AI39" s="374"/>
      <c r="AJ39" s="374"/>
      <c r="AK39" s="374"/>
    </row>
    <row r="40" spans="1:37" ht="13.8" thickBot="1" x14ac:dyDescent="0.3">
      <c r="W40" s="374"/>
      <c r="X40" s="374"/>
      <c r="Y40" s="374"/>
      <c r="Z40" s="374"/>
      <c r="AA40" s="374"/>
      <c r="AB40" s="374"/>
      <c r="AC40" s="374"/>
      <c r="AD40" s="374"/>
      <c r="AE40" s="374"/>
      <c r="AF40" s="374"/>
      <c r="AG40" s="374"/>
      <c r="AH40" s="374"/>
      <c r="AI40" s="374"/>
      <c r="AJ40" s="374"/>
      <c r="AK40" s="374"/>
    </row>
    <row r="41" spans="1:37" s="322" customFormat="1" x14ac:dyDescent="0.25">
      <c r="B41" s="406" t="s">
        <v>1229</v>
      </c>
      <c r="C41" s="407"/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346"/>
      <c r="X41" s="346"/>
      <c r="Y41" s="346"/>
      <c r="Z41" s="346"/>
      <c r="AA41" s="346"/>
      <c r="AB41" s="346"/>
      <c r="AC41" s="346"/>
      <c r="AD41" s="346"/>
      <c r="AE41" s="346"/>
      <c r="AF41" s="346"/>
      <c r="AG41" s="346"/>
      <c r="AH41" s="346"/>
      <c r="AI41" s="346"/>
      <c r="AJ41" s="376"/>
      <c r="AK41" s="374"/>
    </row>
    <row r="42" spans="1:37" s="322" customFormat="1" x14ac:dyDescent="0.25">
      <c r="B42" s="408"/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9"/>
      <c r="S42" s="409"/>
      <c r="T42" s="409"/>
      <c r="U42" s="409"/>
      <c r="V42" s="409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  <c r="AH42" s="353"/>
      <c r="AI42" s="353"/>
      <c r="AJ42" s="367"/>
      <c r="AK42" s="374"/>
    </row>
    <row r="43" spans="1:37" x14ac:dyDescent="0.25">
      <c r="B43" s="384"/>
      <c r="C43" s="378"/>
      <c r="D43" s="378"/>
      <c r="E43" s="378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8"/>
      <c r="Q43" s="378"/>
      <c r="R43" s="378"/>
      <c r="S43" s="378"/>
      <c r="T43" s="378"/>
      <c r="U43" s="378"/>
      <c r="V43" s="378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3"/>
      <c r="AJ43" s="367"/>
      <c r="AK43" s="374"/>
    </row>
    <row r="44" spans="1:37" s="322" customFormat="1" x14ac:dyDescent="0.25">
      <c r="B44" s="408"/>
      <c r="C44" s="409"/>
      <c r="D44" s="409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  <c r="P44" s="409"/>
      <c r="Q44" s="409"/>
      <c r="R44" s="409"/>
      <c r="S44" s="409"/>
      <c r="T44" s="409"/>
      <c r="U44" s="409"/>
      <c r="V44" s="409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67"/>
      <c r="AK44" s="374"/>
    </row>
    <row r="45" spans="1:37" s="338" customFormat="1" x14ac:dyDescent="0.25">
      <c r="B45" s="335"/>
      <c r="C45" s="336"/>
      <c r="D45" s="336"/>
      <c r="E45" s="336"/>
      <c r="F45" s="336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6"/>
      <c r="R45" s="336"/>
      <c r="S45" s="336"/>
      <c r="T45" s="336"/>
      <c r="U45" s="336"/>
      <c r="V45" s="336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67"/>
      <c r="AK45" s="374"/>
    </row>
    <row r="46" spans="1:37" s="338" customFormat="1" x14ac:dyDescent="0.25">
      <c r="B46" s="335"/>
      <c r="C46" s="336"/>
      <c r="D46" s="336"/>
      <c r="E46" s="336"/>
      <c r="F46" s="336"/>
      <c r="G46" s="336"/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6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67"/>
      <c r="AK46" s="374"/>
    </row>
    <row r="47" spans="1:37" s="322" customFormat="1" x14ac:dyDescent="0.25">
      <c r="B47" s="408"/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  <c r="V47" s="409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67"/>
      <c r="AK47" s="374"/>
    </row>
    <row r="48" spans="1:37" s="322" customFormat="1" x14ac:dyDescent="0.25">
      <c r="B48" s="408"/>
      <c r="C48" s="409"/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09"/>
      <c r="P48" s="409"/>
      <c r="Q48" s="409"/>
      <c r="R48" s="409"/>
      <c r="S48" s="409"/>
      <c r="T48" s="409"/>
      <c r="U48" s="409"/>
      <c r="V48" s="409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67"/>
      <c r="AK48" s="374"/>
    </row>
    <row r="49" spans="2:37" s="322" customFormat="1" x14ac:dyDescent="0.25">
      <c r="B49" s="408"/>
      <c r="C49" s="409"/>
      <c r="D49" s="409"/>
      <c r="E49" s="409"/>
      <c r="F49" s="409"/>
      <c r="G49" s="409"/>
      <c r="H49" s="409"/>
      <c r="I49" s="409"/>
      <c r="J49" s="409"/>
      <c r="K49" s="409"/>
      <c r="L49" s="409"/>
      <c r="M49" s="409"/>
      <c r="N49" s="409"/>
      <c r="O49" s="409"/>
      <c r="P49" s="409"/>
      <c r="Q49" s="409"/>
      <c r="R49" s="409"/>
      <c r="S49" s="409"/>
      <c r="T49" s="409"/>
      <c r="U49" s="409"/>
      <c r="V49" s="409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67"/>
      <c r="AK49" s="374"/>
    </row>
    <row r="50" spans="2:37" s="322" customFormat="1" x14ac:dyDescent="0.25">
      <c r="B50" s="408"/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09"/>
      <c r="T50" s="409"/>
      <c r="U50" s="409"/>
      <c r="V50" s="409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67"/>
      <c r="AK50" s="374"/>
    </row>
    <row r="51" spans="2:37" s="338" customFormat="1" ht="13.8" thickBot="1" x14ac:dyDescent="0.3">
      <c r="B51" s="410"/>
      <c r="C51" s="411"/>
      <c r="D51" s="411"/>
      <c r="E51" s="411"/>
      <c r="F51" s="411"/>
      <c r="G51" s="411" t="s">
        <v>1228</v>
      </c>
      <c r="H51" s="411"/>
      <c r="I51" s="411"/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 t="s">
        <v>1227</v>
      </c>
      <c r="V51" s="411"/>
      <c r="W51" s="371"/>
      <c r="X51" s="371"/>
      <c r="Y51" s="371"/>
      <c r="Z51" s="371"/>
      <c r="AA51" s="371"/>
      <c r="AB51" s="371"/>
      <c r="AC51" s="371"/>
      <c r="AD51" s="371"/>
      <c r="AE51" s="371"/>
      <c r="AF51" s="371"/>
      <c r="AG51" s="371"/>
      <c r="AH51" s="371"/>
      <c r="AI51" s="371"/>
      <c r="AJ51" s="373"/>
      <c r="AK51" s="374"/>
    </row>
  </sheetData>
  <mergeCells count="3">
    <mergeCell ref="AD33:AK35"/>
    <mergeCell ref="V33:AB35"/>
    <mergeCell ref="M33:U35"/>
  </mergeCells>
  <phoneticPr fontId="7" type="noConversion"/>
  <pageMargins left="0.39370078740157483" right="0.39370078740157483" top="0.35433070866141736" bottom="0.35433070866141736" header="0.23622047244094491" footer="0.23622047244094491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indexed="43"/>
    <outlinePr summaryBelow="0" summaryRight="0"/>
  </sheetPr>
  <dimension ref="A1:AP51"/>
  <sheetViews>
    <sheetView workbookViewId="0"/>
  </sheetViews>
  <sheetFormatPr defaultColWidth="9.109375" defaultRowHeight="13.2" x14ac:dyDescent="0.25"/>
  <cols>
    <col min="1" max="10" width="2.5546875" style="327" customWidth="1"/>
    <col min="11" max="11" width="3.44140625" style="327" customWidth="1"/>
    <col min="12" max="41" width="2.5546875" style="327" customWidth="1"/>
    <col min="42" max="42" width="9.109375" style="327"/>
    <col min="43" max="45" width="2.5546875" style="327" customWidth="1"/>
    <col min="46" max="46" width="7.6640625" style="327" customWidth="1"/>
    <col min="47" max="61" width="2.5546875" style="327" customWidth="1"/>
    <col min="62" max="16384" width="9.109375" style="327"/>
  </cols>
  <sheetData>
    <row r="1" spans="1:37" s="320" customFormat="1" ht="10.5" customHeight="1" thickBot="1" x14ac:dyDescent="0.3">
      <c r="B1" s="321" t="s">
        <v>564</v>
      </c>
      <c r="N1" s="996" t="str">
        <f>'[2]IS-G CS'!$N$1</f>
        <v>GEWINN- UND VERLUSTRECHNUNG</v>
      </c>
      <c r="O1" s="996"/>
      <c r="P1" s="996"/>
      <c r="Q1" s="996"/>
      <c r="R1" s="996"/>
      <c r="S1" s="996"/>
      <c r="T1" s="996"/>
      <c r="U1" s="996"/>
      <c r="V1" s="996"/>
      <c r="W1" s="996"/>
    </row>
    <row r="2" spans="1:37" s="322" customFormat="1" ht="21" customHeight="1" thickBot="1" x14ac:dyDescent="0.3">
      <c r="B2" s="538" t="s">
        <v>229</v>
      </c>
      <c r="C2" s="324"/>
      <c r="D2" s="324"/>
      <c r="E2" s="324"/>
      <c r="F2" s="324"/>
      <c r="G2" s="324"/>
      <c r="H2" s="324"/>
      <c r="I2" s="324"/>
      <c r="J2" s="534"/>
      <c r="K2" s="324"/>
      <c r="L2" s="412"/>
      <c r="M2" s="409"/>
      <c r="N2" s="996"/>
      <c r="O2" s="996"/>
      <c r="P2" s="996"/>
      <c r="Q2" s="996"/>
      <c r="R2" s="996"/>
      <c r="S2" s="996"/>
      <c r="T2" s="996"/>
      <c r="U2" s="996"/>
      <c r="V2" s="996"/>
      <c r="W2" s="996"/>
    </row>
    <row r="3" spans="1:37" ht="13.8" thickBot="1" x14ac:dyDescent="0.3">
      <c r="N3" s="997"/>
      <c r="O3" s="997"/>
      <c r="P3" s="997"/>
      <c r="Q3" s="997"/>
      <c r="R3" s="997"/>
      <c r="S3" s="997"/>
      <c r="T3" s="997"/>
      <c r="U3" s="997"/>
      <c r="V3" s="997"/>
      <c r="W3" s="997"/>
    </row>
    <row r="4" spans="1:37" ht="28.5" customHeight="1" thickBot="1" x14ac:dyDescent="0.3">
      <c r="K4" s="536" t="s">
        <v>360</v>
      </c>
      <c r="L4" s="432" t="e">
        <f>+MID(#REF!,1,1)</f>
        <v>#REF!</v>
      </c>
      <c r="M4" s="432" t="e">
        <f>+MID(#REF!,2,1)</f>
        <v>#REF!</v>
      </c>
      <c r="N4" s="433" t="s">
        <v>2687</v>
      </c>
      <c r="O4" s="432" t="e">
        <f>LEFT(#REF!,1)</f>
        <v>#REF!</v>
      </c>
      <c r="P4" s="432" t="e">
        <f>RIGHT(#REF!,1)</f>
        <v>#REF!</v>
      </c>
      <c r="Q4" s="433" t="s">
        <v>2687</v>
      </c>
      <c r="R4" s="432" t="e">
        <f>+LEFT(#REF!,1)</f>
        <v>#REF!</v>
      </c>
      <c r="S4" s="432" t="e">
        <f>+MID(#REF!,2,1)</f>
        <v>#REF!</v>
      </c>
      <c r="T4" s="432" t="e">
        <f>+MID(#REF!,3,1)</f>
        <v>#REF!</v>
      </c>
      <c r="U4" s="432" t="e">
        <f>+MID(#REF!,4,1)</f>
        <v>#REF!</v>
      </c>
      <c r="V4" s="535" t="str">
        <f>'[2]BS-G CS'!$V$4</f>
        <v>(in tausend SKK)</v>
      </c>
      <c r="W4" s="329"/>
      <c r="X4" s="329"/>
      <c r="Y4" s="329"/>
      <c r="Z4" s="330"/>
    </row>
    <row r="5" spans="1:37" ht="7.5" customHeight="1" thickBot="1" x14ac:dyDescent="0.3"/>
    <row r="6" spans="1:37" s="334" customFormat="1" ht="14.25" customHeight="1" x14ac:dyDescent="0.25">
      <c r="A6" s="331" t="s">
        <v>1268</v>
      </c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3"/>
      <c r="T6" s="332"/>
      <c r="U6" s="332"/>
      <c r="V6" s="332"/>
      <c r="W6" s="332"/>
      <c r="X6" s="332"/>
      <c r="Y6" s="332"/>
      <c r="Z6" s="332"/>
      <c r="AA6" s="332"/>
      <c r="AB6" s="332"/>
      <c r="AC6" s="332"/>
      <c r="AD6" s="332"/>
      <c r="AE6" s="332"/>
      <c r="AF6" s="332"/>
      <c r="AG6" s="332"/>
      <c r="AH6" s="332"/>
      <c r="AI6" s="332"/>
      <c r="AJ6" s="332"/>
      <c r="AK6" s="333"/>
    </row>
    <row r="7" spans="1:37" s="338" customFormat="1" ht="15" customHeight="1" x14ac:dyDescent="0.25">
      <c r="A7" s="335" t="s">
        <v>1269</v>
      </c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7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7"/>
    </row>
    <row r="8" spans="1:37" s="342" customFormat="1" ht="18" customHeight="1" thickBot="1" x14ac:dyDescent="0.3">
      <c r="A8" s="339" t="s">
        <v>1186</v>
      </c>
      <c r="B8" s="340"/>
      <c r="C8" s="340"/>
      <c r="D8" s="340"/>
      <c r="E8" s="339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1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0"/>
      <c r="AE8" s="340"/>
      <c r="AF8" s="340"/>
      <c r="AG8" s="340"/>
      <c r="AH8" s="340"/>
      <c r="AI8" s="340"/>
      <c r="AJ8" s="340"/>
      <c r="AK8" s="341"/>
    </row>
    <row r="9" spans="1:37" s="343" customFormat="1" ht="3.75" customHeight="1" thickBot="1" x14ac:dyDescent="0.3"/>
    <row r="10" spans="1:37" s="343" customFormat="1" ht="14.25" customHeight="1" x14ac:dyDescent="0.25">
      <c r="A10" s="344" t="s">
        <v>600</v>
      </c>
      <c r="B10" s="345"/>
      <c r="C10" s="345"/>
      <c r="D10" s="345"/>
      <c r="E10" s="345"/>
      <c r="F10" s="345"/>
      <c r="G10" s="345"/>
      <c r="H10" s="345"/>
      <c r="I10" s="346"/>
      <c r="J10" s="347"/>
      <c r="K10" s="348" t="s">
        <v>1272</v>
      </c>
      <c r="L10" s="345"/>
      <c r="M10" s="349"/>
      <c r="N10" s="349"/>
      <c r="O10" s="349"/>
      <c r="P10" s="345"/>
      <c r="Q10" s="348" t="s">
        <v>1273</v>
      </c>
      <c r="R10" s="345"/>
      <c r="S10" s="346"/>
      <c r="T10" s="345"/>
      <c r="U10" s="345"/>
      <c r="V10" s="350"/>
      <c r="W10" s="345"/>
      <c r="X10" s="345"/>
      <c r="Y10" s="345"/>
      <c r="Z10" s="345"/>
      <c r="AA10" s="345"/>
      <c r="AB10" s="345"/>
      <c r="AC10" s="345"/>
      <c r="AD10" s="348" t="s">
        <v>361</v>
      </c>
      <c r="AE10" s="348"/>
      <c r="AF10" s="348"/>
      <c r="AG10" s="348" t="s">
        <v>362</v>
      </c>
      <c r="AH10" s="345"/>
      <c r="AI10" s="345"/>
      <c r="AJ10" s="345"/>
      <c r="AK10" s="351"/>
    </row>
    <row r="11" spans="1:37" s="343" customFormat="1" ht="19.5" customHeight="1" x14ac:dyDescent="0.2">
      <c r="A11" s="425" t="e">
        <f>LEFT(#REF!,1)</f>
        <v>#REF!</v>
      </c>
      <c r="B11" s="426" t="e">
        <f>MID(#REF!,2,1)</f>
        <v>#REF!</v>
      </c>
      <c r="C11" s="424" t="e">
        <f>MID(#REF!,3,1)</f>
        <v>#REF!</v>
      </c>
      <c r="D11" s="424" t="e">
        <f>MID(#REF!,4,1)</f>
        <v>#REF!</v>
      </c>
      <c r="E11" s="424" t="e">
        <f>MID(#REF!,5,1)</f>
        <v>#REF!</v>
      </c>
      <c r="F11" s="424" t="e">
        <f>MID(#REF!,6,1)</f>
        <v>#REF!</v>
      </c>
      <c r="G11" s="424" t="e">
        <f>MID(#REF!,7,1)</f>
        <v>#REF!</v>
      </c>
      <c r="H11" s="424" t="e">
        <f>MID(#REF!,8,1)</f>
        <v>#REF!</v>
      </c>
      <c r="I11" s="424" t="e">
        <f>MID(#REF!,9,1)</f>
        <v>#REF!</v>
      </c>
      <c r="J11" s="424" t="e">
        <f>MID(#REF!,10,1)</f>
        <v>#REF!</v>
      </c>
      <c r="K11" s="353"/>
      <c r="L11" s="354"/>
      <c r="M11" s="354"/>
      <c r="N11" s="354"/>
      <c r="O11" s="354"/>
      <c r="P11" s="354"/>
      <c r="Q11" s="354"/>
      <c r="R11" s="354"/>
      <c r="S11" s="354"/>
      <c r="T11" s="354"/>
      <c r="U11" s="354"/>
      <c r="V11" s="355"/>
      <c r="W11" s="356" t="str">
        <f>'[2]BS-G CS'!$W$11</f>
        <v>Für period</v>
      </c>
      <c r="X11" s="354"/>
      <c r="Y11" s="354"/>
      <c r="Z11" s="354"/>
      <c r="AA11" s="354"/>
      <c r="AB11" s="356" t="s">
        <v>2196</v>
      </c>
      <c r="AC11" s="354"/>
      <c r="AD11" s="424" t="e">
        <f>MID(#REF!,1,1)</f>
        <v>#REF!</v>
      </c>
      <c r="AE11" s="424" t="e">
        <f>MID(#REF!,2,1)</f>
        <v>#REF!</v>
      </c>
      <c r="AF11" s="427"/>
      <c r="AG11" s="424" t="e">
        <f>MID(#REF!,1,1)</f>
        <v>#REF!</v>
      </c>
      <c r="AH11" s="424" t="e">
        <f>MID(#REF!,2,1)</f>
        <v>#REF!</v>
      </c>
      <c r="AI11" s="424" t="e">
        <f>MID(#REF!,3,1)</f>
        <v>#REF!</v>
      </c>
      <c r="AJ11" s="424" t="e">
        <f>MID(#REF!,4,1)</f>
        <v>#REF!</v>
      </c>
      <c r="AK11" s="357"/>
    </row>
    <row r="12" spans="1:37" s="343" customFormat="1" ht="19.5" customHeight="1" x14ac:dyDescent="0.3">
      <c r="A12" s="358"/>
      <c r="B12" s="354"/>
      <c r="C12" s="354"/>
      <c r="D12" s="354"/>
      <c r="E12" s="354"/>
      <c r="F12" s="354"/>
      <c r="G12" s="354"/>
      <c r="H12" s="354"/>
      <c r="I12" s="353"/>
      <c r="J12" s="359"/>
      <c r="K12" s="353"/>
      <c r="L12" s="434" t="e">
        <f>IF(#REF!="X","X"," ")</f>
        <v>#REF!</v>
      </c>
      <c r="M12" s="356" t="s">
        <v>364</v>
      </c>
      <c r="N12" s="360"/>
      <c r="O12" s="360"/>
      <c r="P12" s="360"/>
      <c r="Q12" s="360"/>
      <c r="R12" s="434" t="e">
        <f>IF(#REF!="X","X"," ")</f>
        <v>#REF!</v>
      </c>
      <c r="S12" s="356" t="s">
        <v>366</v>
      </c>
      <c r="T12" s="354"/>
      <c r="U12" s="354"/>
      <c r="V12" s="355"/>
      <c r="W12" s="362"/>
      <c r="X12" s="363"/>
      <c r="Y12" s="363"/>
      <c r="Z12" s="363"/>
      <c r="AA12" s="363"/>
      <c r="AB12" s="364" t="s">
        <v>363</v>
      </c>
      <c r="AC12" s="363"/>
      <c r="AD12" s="424" t="e">
        <f>MID(#REF!,1,1)</f>
        <v>#REF!</v>
      </c>
      <c r="AE12" s="424" t="e">
        <f>MID(#REF!,2,1)</f>
        <v>#REF!</v>
      </c>
      <c r="AF12" s="428"/>
      <c r="AG12" s="424" t="e">
        <f>MID(#REF!,1,1)</f>
        <v>#REF!</v>
      </c>
      <c r="AH12" s="424" t="e">
        <f>MID(#REF!,2,1)</f>
        <v>#REF!</v>
      </c>
      <c r="AI12" s="424" t="e">
        <f>MID(#REF!,3,1)</f>
        <v>#REF!</v>
      </c>
      <c r="AJ12" s="424" t="e">
        <f>MID(#REF!,4,1)</f>
        <v>#REF!</v>
      </c>
      <c r="AK12" s="365"/>
    </row>
    <row r="13" spans="1:37" s="343" customFormat="1" ht="19.5" customHeight="1" x14ac:dyDescent="0.25">
      <c r="A13" s="540" t="s">
        <v>1209</v>
      </c>
      <c r="B13" s="354"/>
      <c r="C13" s="354"/>
      <c r="D13" s="354"/>
      <c r="E13" s="354"/>
      <c r="F13" s="354"/>
      <c r="G13" s="354"/>
      <c r="H13" s="353"/>
      <c r="I13" s="353"/>
      <c r="J13" s="359"/>
      <c r="K13" s="353"/>
      <c r="L13" s="352" t="e">
        <f>IF(#REF!="X",#NAME?, "")</f>
        <v>#REF!</v>
      </c>
      <c r="M13" s="356" t="s">
        <v>365</v>
      </c>
      <c r="N13" s="360"/>
      <c r="O13" s="360"/>
      <c r="P13" s="360"/>
      <c r="Q13" s="360"/>
      <c r="R13" s="361" t="e">
        <f>IF(#REF!="X","X"," ")</f>
        <v>#REF!</v>
      </c>
      <c r="S13" s="356" t="s">
        <v>367</v>
      </c>
      <c r="T13" s="354"/>
      <c r="U13" s="354"/>
      <c r="V13" s="355"/>
      <c r="W13" s="356"/>
      <c r="X13" s="354"/>
      <c r="Y13" s="366"/>
      <c r="Z13" s="353"/>
      <c r="AA13" s="353"/>
      <c r="AB13" s="360"/>
      <c r="AC13" s="353"/>
      <c r="AD13" s="427"/>
      <c r="AE13" s="427"/>
      <c r="AF13" s="427"/>
      <c r="AG13" s="427"/>
      <c r="AH13" s="427"/>
      <c r="AI13" s="427"/>
      <c r="AJ13" s="427"/>
      <c r="AK13" s="367"/>
    </row>
    <row r="14" spans="1:37" s="343" customFormat="1" ht="19.5" customHeight="1" x14ac:dyDescent="0.25">
      <c r="A14" s="425" t="e">
        <f>LEFT(#REF!,1)</f>
        <v>#REF!</v>
      </c>
      <c r="B14" s="426" t="e">
        <f>MID(#REF!,2,1)</f>
        <v>#REF!</v>
      </c>
      <c r="C14" s="424" t="e">
        <f>MID(#REF!,3,1)</f>
        <v>#REF!</v>
      </c>
      <c r="D14" s="424" t="e">
        <f>MID(#REF!,4,1)</f>
        <v>#REF!</v>
      </c>
      <c r="E14" s="424" t="e">
        <f>MID(#REF!,5,1)</f>
        <v>#REF!</v>
      </c>
      <c r="F14" s="424" t="e">
        <f>MID(#REF!,6,1)</f>
        <v>#REF!</v>
      </c>
      <c r="G14" s="424" t="e">
        <f>MID(#REF!,7,1)</f>
        <v>#REF!</v>
      </c>
      <c r="H14" s="424" t="e">
        <f>MID(#REF!,8,1)</f>
        <v>#REF!</v>
      </c>
      <c r="I14" s="353"/>
      <c r="J14" s="359"/>
      <c r="K14" s="353"/>
      <c r="L14" s="352" t="e">
        <f>IF(#REF!="X",#NAME?, "")</f>
        <v>#REF!</v>
      </c>
      <c r="M14" s="356" t="s">
        <v>2118</v>
      </c>
      <c r="N14" s="360"/>
      <c r="O14" s="360"/>
      <c r="P14" s="360"/>
      <c r="Q14" s="360"/>
      <c r="R14" s="537" t="s">
        <v>2195</v>
      </c>
      <c r="S14" s="360"/>
      <c r="T14" s="354"/>
      <c r="U14" s="354"/>
      <c r="V14" s="355"/>
      <c r="W14" s="356" t="str">
        <f>'[2]BS-G CS'!$W$14</f>
        <v>Vorjahr</v>
      </c>
      <c r="X14" s="354"/>
      <c r="Y14" s="366"/>
      <c r="Z14" s="353"/>
      <c r="AA14" s="353"/>
      <c r="AB14" s="356" t="s">
        <v>2196</v>
      </c>
      <c r="AC14" s="353"/>
      <c r="AD14" s="424" t="e">
        <f>MID(#REF!,1,1)</f>
        <v>#REF!</v>
      </c>
      <c r="AE14" s="424" t="e">
        <f>MID(#REF!,2,1)</f>
        <v>#REF!</v>
      </c>
      <c r="AF14" s="427"/>
      <c r="AG14" s="424" t="e">
        <f>MID(#REF!,1,1)</f>
        <v>#REF!</v>
      </c>
      <c r="AH14" s="424" t="e">
        <f>MID(#REF!,2,1)</f>
        <v>#REF!</v>
      </c>
      <c r="AI14" s="424" t="e">
        <f>MID(#REF!,3,1)</f>
        <v>#REF!</v>
      </c>
      <c r="AJ14" s="424" t="e">
        <f>MID(#REF!,4,1)</f>
        <v>#REF!</v>
      </c>
      <c r="AK14" s="367"/>
    </row>
    <row r="15" spans="1:37" s="343" customFormat="1" ht="19.5" customHeight="1" thickBot="1" x14ac:dyDescent="0.25">
      <c r="A15" s="369"/>
      <c r="B15" s="370"/>
      <c r="C15" s="370"/>
      <c r="D15" s="370"/>
      <c r="E15" s="370"/>
      <c r="F15" s="370"/>
      <c r="G15" s="370"/>
      <c r="H15" s="371"/>
      <c r="I15" s="371"/>
      <c r="J15" s="372"/>
      <c r="K15" s="371"/>
      <c r="L15" s="371"/>
      <c r="M15" s="371"/>
      <c r="N15" s="371"/>
      <c r="O15" s="371"/>
      <c r="P15" s="371"/>
      <c r="Q15" s="371"/>
      <c r="R15" s="371"/>
      <c r="S15" s="371"/>
      <c r="T15" s="370"/>
      <c r="U15" s="370"/>
      <c r="V15" s="420"/>
      <c r="W15" s="421"/>
      <c r="X15" s="370"/>
      <c r="Y15" s="422"/>
      <c r="Z15" s="371"/>
      <c r="AA15" s="371"/>
      <c r="AB15" s="421" t="s">
        <v>363</v>
      </c>
      <c r="AC15" s="371"/>
      <c r="AD15" s="429" t="e">
        <f>MID(#REF!,1,1)</f>
        <v>#REF!</v>
      </c>
      <c r="AE15" s="429" t="e">
        <f>MID(#REF!,2,1)</f>
        <v>#REF!</v>
      </c>
      <c r="AF15" s="430"/>
      <c r="AG15" s="429" t="e">
        <f>MID(#REF!,1,1)</f>
        <v>#REF!</v>
      </c>
      <c r="AH15" s="429" t="e">
        <f>MID(#REF!,2,1)</f>
        <v>#REF!</v>
      </c>
      <c r="AI15" s="429" t="e">
        <f>MID(#REF!,3,1)</f>
        <v>#REF!</v>
      </c>
      <c r="AJ15" s="429" t="e">
        <f>MID(#REF!,4,1)</f>
        <v>#REF!</v>
      </c>
      <c r="AK15" s="373"/>
    </row>
    <row r="16" spans="1:37" s="343" customFormat="1" ht="4.5" customHeight="1" x14ac:dyDescent="0.25">
      <c r="A16" s="354"/>
      <c r="B16" s="354"/>
      <c r="C16" s="354"/>
      <c r="D16" s="354"/>
      <c r="E16" s="354"/>
      <c r="F16" s="354"/>
      <c r="G16" s="354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4"/>
      <c r="U16" s="354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</row>
    <row r="17" spans="1:37" s="343" customFormat="1" ht="3" customHeight="1" thickBot="1" x14ac:dyDescent="0.3"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</row>
    <row r="18" spans="1:37" s="343" customFormat="1" ht="16.2" x14ac:dyDescent="0.25">
      <c r="A18" s="375" t="s">
        <v>2202</v>
      </c>
      <c r="B18" s="345"/>
      <c r="C18" s="345"/>
      <c r="D18" s="345"/>
      <c r="E18" s="345"/>
      <c r="F18" s="345"/>
      <c r="G18" s="345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5"/>
      <c r="U18" s="345"/>
      <c r="V18" s="345"/>
      <c r="W18" s="346"/>
      <c r="X18" s="346"/>
      <c r="Y18" s="346"/>
      <c r="Z18" s="346"/>
      <c r="AA18" s="346"/>
      <c r="AB18" s="346"/>
      <c r="AC18" s="346"/>
      <c r="AD18" s="346"/>
      <c r="AE18" s="346"/>
      <c r="AF18" s="346"/>
      <c r="AG18" s="346"/>
      <c r="AH18" s="346"/>
      <c r="AI18" s="346"/>
      <c r="AJ18" s="346"/>
      <c r="AK18" s="376"/>
    </row>
    <row r="19" spans="1:37" s="374" customFormat="1" ht="19.5" customHeight="1" x14ac:dyDescent="0.25">
      <c r="A19" s="423" t="e">
        <f>+LEFT(#REF!,1)</f>
        <v>#REF!</v>
      </c>
      <c r="B19" s="424" t="e">
        <f>+MID(#REF!,2,1)</f>
        <v>#REF!</v>
      </c>
      <c r="C19" s="424" t="e">
        <f>+MID(#REF!,3,1)</f>
        <v>#REF!</v>
      </c>
      <c r="D19" s="424" t="e">
        <f>+MID(#REF!,4,1)</f>
        <v>#REF!</v>
      </c>
      <c r="E19" s="424" t="e">
        <f>+MID(#REF!,5,1)</f>
        <v>#REF!</v>
      </c>
      <c r="F19" s="424" t="e">
        <f>+MID(#REF!,6,1)</f>
        <v>#REF!</v>
      </c>
      <c r="G19" s="424" t="e">
        <f>+MID(#REF!,7,1)</f>
        <v>#REF!</v>
      </c>
      <c r="H19" s="424" t="e">
        <f>+MID(#REF!,8,1)</f>
        <v>#REF!</v>
      </c>
      <c r="I19" s="424" t="e">
        <f>+MID(#REF!,9,1)</f>
        <v>#REF!</v>
      </c>
      <c r="J19" s="424" t="e">
        <f>+MID(#REF!,10,1)</f>
        <v>#REF!</v>
      </c>
      <c r="K19" s="424" t="e">
        <f>+MID(#REF!,11,1)</f>
        <v>#REF!</v>
      </c>
      <c r="L19" s="424" t="e">
        <f>+MID(#REF!,12,1)</f>
        <v>#REF!</v>
      </c>
      <c r="M19" s="424" t="e">
        <f>+MID(#REF!,13,1)</f>
        <v>#REF!</v>
      </c>
      <c r="N19" s="424" t="e">
        <f>+MID(#REF!,14,1)</f>
        <v>#REF!</v>
      </c>
      <c r="O19" s="424" t="e">
        <f>+MID(#REF!,15,1)</f>
        <v>#REF!</v>
      </c>
      <c r="P19" s="424" t="e">
        <f>+MID(#REF!,16,1)</f>
        <v>#REF!</v>
      </c>
      <c r="Q19" s="424" t="e">
        <f>+MID(#REF!,17,1)</f>
        <v>#REF!</v>
      </c>
      <c r="R19" s="424" t="e">
        <f>+MID(#REF!,18,1)</f>
        <v>#REF!</v>
      </c>
      <c r="S19" s="424" t="e">
        <f>+MID(#REF!,19,1)</f>
        <v>#REF!</v>
      </c>
      <c r="T19" s="424" t="e">
        <f>+MID(#REF!,20,1)</f>
        <v>#REF!</v>
      </c>
      <c r="U19" s="424" t="e">
        <f>+MID(#REF!,21,1)</f>
        <v>#REF!</v>
      </c>
      <c r="V19" s="424" t="e">
        <f>+MID(#REF!,22,1)</f>
        <v>#REF!</v>
      </c>
      <c r="W19" s="424" t="e">
        <f>+MID(#REF!,23,1)</f>
        <v>#REF!</v>
      </c>
      <c r="X19" s="424" t="e">
        <f>+MID(#REF!,24,1)</f>
        <v>#REF!</v>
      </c>
      <c r="Y19" s="424" t="e">
        <f>+MID(#REF!,25,1)</f>
        <v>#REF!</v>
      </c>
      <c r="Z19" s="424" t="e">
        <f>+MID(#REF!,26,1)</f>
        <v>#REF!</v>
      </c>
      <c r="AA19" s="424" t="e">
        <f>+MID(#REF!,27,1)</f>
        <v>#REF!</v>
      </c>
      <c r="AB19" s="424" t="e">
        <f>+MID(#REF!,28,1)</f>
        <v>#REF!</v>
      </c>
      <c r="AC19" s="424" t="e">
        <f>+MID(#REF!,29,1)</f>
        <v>#REF!</v>
      </c>
      <c r="AD19" s="424" t="e">
        <f>+MID(#REF!,30,1)</f>
        <v>#REF!</v>
      </c>
      <c r="AE19" s="424" t="e">
        <f>+MID(#REF!,31,1)</f>
        <v>#REF!</v>
      </c>
      <c r="AF19" s="424" t="e">
        <f>+MID(#REF!,32,1)</f>
        <v>#REF!</v>
      </c>
      <c r="AG19" s="424" t="e">
        <f>+MID(#REF!,33,1)</f>
        <v>#REF!</v>
      </c>
      <c r="AH19" s="424" t="e">
        <f>+MID(#REF!,34,1)</f>
        <v>#REF!</v>
      </c>
      <c r="AI19" s="424" t="e">
        <f>+MID(#REF!,35,1)</f>
        <v>#REF!</v>
      </c>
      <c r="AJ19" s="424" t="e">
        <f>+MID(#REF!,36,1)</f>
        <v>#REF!</v>
      </c>
      <c r="AK19" s="501" t="e">
        <f>+MID(#REF!,37,1)</f>
        <v>#REF!</v>
      </c>
    </row>
    <row r="20" spans="1:37" s="504" customFormat="1" ht="19.5" customHeight="1" x14ac:dyDescent="0.25">
      <c r="A20" s="423" t="e">
        <f>+MID(#REF!,38,1)</f>
        <v>#REF!</v>
      </c>
      <c r="B20" s="424" t="e">
        <f>+MID(#REF!,39,1)</f>
        <v>#REF!</v>
      </c>
      <c r="C20" s="424" t="e">
        <f>+MID(#REF!,40,1)</f>
        <v>#REF!</v>
      </c>
      <c r="D20" s="424" t="e">
        <f>+MID(#REF!,41,1)</f>
        <v>#REF!</v>
      </c>
      <c r="E20" s="424" t="e">
        <f>+MID(#REF!,42,1)</f>
        <v>#REF!</v>
      </c>
      <c r="F20" s="424" t="e">
        <f>+MID(#REF!,43,1)</f>
        <v>#REF!</v>
      </c>
      <c r="G20" s="424" t="e">
        <f>+MID(#REF!,44,1)</f>
        <v>#REF!</v>
      </c>
      <c r="H20" s="424" t="e">
        <f>+MID(#REF!,45,1)</f>
        <v>#REF!</v>
      </c>
      <c r="I20" s="424" t="e">
        <f>+MID(#REF!,46,1)</f>
        <v>#REF!</v>
      </c>
      <c r="J20" s="424" t="e">
        <f>+MID(#REF!,47,1)</f>
        <v>#REF!</v>
      </c>
      <c r="K20" s="424" t="e">
        <f>+MID(#REF!,48,1)</f>
        <v>#REF!</v>
      </c>
      <c r="L20" s="424" t="e">
        <f>+MID(#REF!,49,1)</f>
        <v>#REF!</v>
      </c>
      <c r="M20" s="424" t="e">
        <f>+MID(#REF!,50,1)</f>
        <v>#REF!</v>
      </c>
      <c r="N20" s="424" t="e">
        <f>+MID(#REF!,51,1)</f>
        <v>#REF!</v>
      </c>
      <c r="O20" s="424" t="e">
        <f>+MID(#REF!,52,1)</f>
        <v>#REF!</v>
      </c>
      <c r="P20" s="424" t="e">
        <f>+MID(#REF!,53,1)</f>
        <v>#REF!</v>
      </c>
      <c r="Q20" s="424" t="e">
        <f>+MID(#REF!,54,1)</f>
        <v>#REF!</v>
      </c>
      <c r="R20" s="424" t="e">
        <f>+MID(#REF!,55,1)</f>
        <v>#REF!</v>
      </c>
      <c r="S20" s="424" t="e">
        <f>+MID(#REF!,56,1)</f>
        <v>#REF!</v>
      </c>
      <c r="T20" s="424" t="e">
        <f>+MID(#REF!,57,1)</f>
        <v>#REF!</v>
      </c>
      <c r="U20" s="424" t="e">
        <f>+MID(#REF!,58,1)</f>
        <v>#REF!</v>
      </c>
      <c r="V20" s="424" t="e">
        <f>+MID(#REF!,59,1)</f>
        <v>#REF!</v>
      </c>
      <c r="W20" s="424" t="e">
        <f>+MID(#REF!,60,1)</f>
        <v>#REF!</v>
      </c>
      <c r="X20" s="424" t="e">
        <f>+MID(#REF!,61,1)</f>
        <v>#REF!</v>
      </c>
      <c r="Y20" s="424" t="e">
        <f>+MID(#REF!,62,1)</f>
        <v>#REF!</v>
      </c>
      <c r="Z20" s="424" t="e">
        <f>+MID(#REF!,63,1)</f>
        <v>#REF!</v>
      </c>
      <c r="AA20" s="424" t="e">
        <f>+MID(#REF!,64,1)</f>
        <v>#REF!</v>
      </c>
      <c r="AB20" s="424" t="e">
        <f>+MID(#REF!,65,1)</f>
        <v>#REF!</v>
      </c>
      <c r="AC20" s="424" t="e">
        <f>+MID(#REF!,66,1)</f>
        <v>#REF!</v>
      </c>
      <c r="AD20" s="424" t="e">
        <f>+MID(#REF!,67,1)</f>
        <v>#REF!</v>
      </c>
      <c r="AE20" s="424" t="e">
        <f>+MID(#REF!,68,1)</f>
        <v>#REF!</v>
      </c>
      <c r="AF20" s="424" t="e">
        <f>+MID(#REF!,69,1)</f>
        <v>#REF!</v>
      </c>
      <c r="AG20" s="424" t="e">
        <f>+MID(#REF!,70,1)</f>
        <v>#REF!</v>
      </c>
      <c r="AH20" s="424" t="e">
        <f>+MID(#REF!,71,1)</f>
        <v>#REF!</v>
      </c>
      <c r="AI20" s="424" t="e">
        <f>+MID(#REF!,72,1)</f>
        <v>#REF!</v>
      </c>
      <c r="AJ20" s="424" t="e">
        <f>+MID(#REF!,73,1)</f>
        <v>#REF!</v>
      </c>
      <c r="AK20" s="501" t="e">
        <f>+MID(#REF!,74,1)</f>
        <v>#REF!</v>
      </c>
    </row>
    <row r="21" spans="1:37" ht="14.25" customHeight="1" x14ac:dyDescent="0.25">
      <c r="A21" s="377" t="s">
        <v>2201</v>
      </c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367"/>
    </row>
    <row r="22" spans="1:37" s="504" customFormat="1" ht="19.5" customHeight="1" x14ac:dyDescent="0.25">
      <c r="A22" s="423" t="e">
        <f>+LEFT(#REF!,1)</f>
        <v>#REF!</v>
      </c>
      <c r="B22" s="424" t="e">
        <f>+MID(#REF!,2,1)</f>
        <v>#REF!</v>
      </c>
      <c r="C22" s="424" t="e">
        <f>+MID(#REF!,3,1)</f>
        <v>#REF!</v>
      </c>
      <c r="D22" s="424" t="e">
        <f>+MID(#REF!,4,1)</f>
        <v>#REF!</v>
      </c>
      <c r="E22" s="424" t="e">
        <f>+MID(#REF!,5,1)</f>
        <v>#REF!</v>
      </c>
      <c r="F22" s="424" t="e">
        <f>+MID(#REF!,6,1)</f>
        <v>#REF!</v>
      </c>
      <c r="G22" s="424" t="e">
        <f>+MID(#REF!,7,1)</f>
        <v>#REF!</v>
      </c>
      <c r="H22" s="424" t="e">
        <f>+MID(#REF!,8,1)</f>
        <v>#REF!</v>
      </c>
      <c r="I22" s="424" t="e">
        <f>+MID(#REF!,9,1)</f>
        <v>#REF!</v>
      </c>
      <c r="J22" s="424" t="e">
        <f>+MID(#REF!,10,1)</f>
        <v>#REF!</v>
      </c>
      <c r="K22" s="424" t="e">
        <f>+MID(#REF!,11,1)</f>
        <v>#REF!</v>
      </c>
      <c r="L22" s="424" t="e">
        <f>+MID(#REF!,12,1)</f>
        <v>#REF!</v>
      </c>
      <c r="M22" s="424" t="e">
        <f>+MID(#REF!,13,1)</f>
        <v>#REF!</v>
      </c>
      <c r="N22" s="424" t="e">
        <f>+MID(#REF!,14,1)</f>
        <v>#REF!</v>
      </c>
      <c r="O22" s="424" t="e">
        <f>+MID(#REF!,15,1)</f>
        <v>#REF!</v>
      </c>
      <c r="P22" s="424" t="e">
        <f>+MID(#REF!,16,1)</f>
        <v>#REF!</v>
      </c>
      <c r="Q22" s="424" t="e">
        <f>+MID(#REF!,17,1)</f>
        <v>#REF!</v>
      </c>
      <c r="R22" s="424" t="e">
        <f>+MID(#REF!,18,1)</f>
        <v>#REF!</v>
      </c>
      <c r="S22" s="424" t="e">
        <f>+MID(#REF!,19,1)</f>
        <v>#REF!</v>
      </c>
      <c r="T22" s="424" t="e">
        <f>+MID(#REF!,20,1)</f>
        <v>#REF!</v>
      </c>
      <c r="U22" s="424" t="e">
        <f>+MID(#REF!,21,1)</f>
        <v>#REF!</v>
      </c>
      <c r="V22" s="424" t="e">
        <f>+MID(#REF!,22,1)</f>
        <v>#REF!</v>
      </c>
      <c r="W22" s="424" t="e">
        <f>+MID(#REF!,23,1)</f>
        <v>#REF!</v>
      </c>
      <c r="X22" s="424" t="e">
        <f>+MID(#REF!,24,1)</f>
        <v>#REF!</v>
      </c>
      <c r="Y22" s="424" t="e">
        <f>+MID(#REF!,25,1)</f>
        <v>#REF!</v>
      </c>
      <c r="Z22" s="424" t="e">
        <f>+MID(#REF!,26,1)</f>
        <v>#REF!</v>
      </c>
      <c r="AA22" s="424" t="e">
        <f>+MID(#REF!,27,1)</f>
        <v>#REF!</v>
      </c>
      <c r="AB22" s="424" t="e">
        <f>+MID(#REF!,28,1)</f>
        <v>#REF!</v>
      </c>
      <c r="AC22" s="424" t="e">
        <f>+MID(#REF!,29,1)</f>
        <v>#REF!</v>
      </c>
      <c r="AD22" s="424" t="e">
        <f>+MID(#REF!,30,1)</f>
        <v>#REF!</v>
      </c>
      <c r="AE22" s="424" t="e">
        <f>+MID(#REF!,31,1)</f>
        <v>#REF!</v>
      </c>
      <c r="AF22" s="424" t="e">
        <f>+MID(#REF!,32,1)</f>
        <v>#REF!</v>
      </c>
      <c r="AG22" s="424" t="e">
        <f>+MID(#REF!,33,1)</f>
        <v>#REF!</v>
      </c>
      <c r="AH22" s="424" t="e">
        <f>+MID(#REF!,34,1)</f>
        <v>#REF!</v>
      </c>
      <c r="AI22" s="424" t="e">
        <f>+MID(#REF!,35,1)</f>
        <v>#REF!</v>
      </c>
      <c r="AJ22" s="424" t="e">
        <f>+MID(#REF!,36,1)</f>
        <v>#REF!</v>
      </c>
      <c r="AK22" s="501" t="e">
        <f>+MID(#REF!,37,1)</f>
        <v>#REF!</v>
      </c>
    </row>
    <row r="23" spans="1:37" s="299" customFormat="1" ht="14.25" customHeight="1" x14ac:dyDescent="0.25">
      <c r="A23" s="379" t="s">
        <v>2200</v>
      </c>
      <c r="B23" s="380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1"/>
      <c r="X23" s="381"/>
      <c r="Y23" s="381"/>
      <c r="Z23" s="381"/>
      <c r="AA23" s="381"/>
      <c r="AB23" s="381"/>
      <c r="AC23" s="381"/>
      <c r="AD23" s="381"/>
      <c r="AE23" s="381"/>
      <c r="AF23" s="381"/>
      <c r="AG23" s="381"/>
      <c r="AH23" s="381"/>
      <c r="AI23" s="381"/>
      <c r="AJ23" s="381"/>
      <c r="AK23" s="382"/>
    </row>
    <row r="24" spans="1:37" x14ac:dyDescent="0.25">
      <c r="A24" s="377" t="s">
        <v>2198</v>
      </c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53"/>
      <c r="X24" s="353"/>
      <c r="Y24" s="353"/>
      <c r="Z24" s="353"/>
      <c r="AA24" s="353"/>
      <c r="AB24" s="366" t="s">
        <v>2199</v>
      </c>
      <c r="AC24" s="353"/>
      <c r="AD24" s="353"/>
      <c r="AE24" s="353"/>
      <c r="AF24" s="353"/>
      <c r="AG24" s="353"/>
      <c r="AH24" s="353"/>
      <c r="AI24" s="353"/>
      <c r="AJ24" s="353"/>
      <c r="AK24" s="367"/>
    </row>
    <row r="25" spans="1:37" s="504" customFormat="1" ht="19.5" customHeight="1" x14ac:dyDescent="0.25">
      <c r="A25" s="423" t="e">
        <f>+LEFT(#REF!,1)</f>
        <v>#REF!</v>
      </c>
      <c r="B25" s="424" t="e">
        <f>+MID(#REF!,2,1)</f>
        <v>#REF!</v>
      </c>
      <c r="C25" s="424" t="e">
        <f>+MID(#REF!,3,1)</f>
        <v>#REF!</v>
      </c>
      <c r="D25" s="424" t="e">
        <f>+MID(#REF!,4,1)</f>
        <v>#REF!</v>
      </c>
      <c r="E25" s="424" t="e">
        <f>+MID(#REF!,5,1)</f>
        <v>#REF!</v>
      </c>
      <c r="F25" s="424" t="e">
        <f>+MID(#REF!,6,1)</f>
        <v>#REF!</v>
      </c>
      <c r="G25" s="424" t="e">
        <f>+MID(#REF!,7,1)</f>
        <v>#REF!</v>
      </c>
      <c r="H25" s="424" t="e">
        <f>+MID(#REF!,8,1)</f>
        <v>#REF!</v>
      </c>
      <c r="I25" s="424" t="e">
        <f>+MID(#REF!,9,1)</f>
        <v>#REF!</v>
      </c>
      <c r="J25" s="424" t="e">
        <f>+MID(#REF!,10,1)</f>
        <v>#REF!</v>
      </c>
      <c r="K25" s="424" t="e">
        <f>+MID(#REF!,11,1)</f>
        <v>#REF!</v>
      </c>
      <c r="L25" s="424" t="e">
        <f>+MID(#REF!,12,1)</f>
        <v>#REF!</v>
      </c>
      <c r="M25" s="424" t="e">
        <f>+MID(#REF!,13,1)</f>
        <v>#REF!</v>
      </c>
      <c r="N25" s="424" t="e">
        <f>+MID(#REF!,14,1)</f>
        <v>#REF!</v>
      </c>
      <c r="O25" s="424" t="e">
        <f>+MID(#REF!,15,1)</f>
        <v>#REF!</v>
      </c>
      <c r="P25" s="424" t="e">
        <f>+MID(#REF!,16,1)</f>
        <v>#REF!</v>
      </c>
      <c r="Q25" s="424" t="e">
        <f>+MID(#REF!,17,1)</f>
        <v>#REF!</v>
      </c>
      <c r="R25" s="424" t="e">
        <f>+MID(#REF!,18,1)</f>
        <v>#REF!</v>
      </c>
      <c r="S25" s="424" t="e">
        <f>+MID(#REF!,19,1)</f>
        <v>#REF!</v>
      </c>
      <c r="T25" s="424" t="e">
        <f>+MID(#REF!,20,1)</f>
        <v>#REF!</v>
      </c>
      <c r="U25" s="424" t="e">
        <f>+MID(#REF!,21,1)</f>
        <v>#REF!</v>
      </c>
      <c r="V25" s="424" t="e">
        <f>+MID(#REF!,22,1)</f>
        <v>#REF!</v>
      </c>
      <c r="W25" s="424" t="e">
        <f>+MID(#REF!,23,1)</f>
        <v>#REF!</v>
      </c>
      <c r="X25" s="424" t="e">
        <f>+MID(#REF!,24,1)</f>
        <v>#REF!</v>
      </c>
      <c r="Y25" s="424" t="e">
        <f>+MID(#REF!,25,1)</f>
        <v>#REF!</v>
      </c>
      <c r="Z25" s="424" t="e">
        <f>+MID(#REF!,26,1)</f>
        <v>#REF!</v>
      </c>
      <c r="AA25" s="427" t="s">
        <v>179</v>
      </c>
      <c r="AB25" s="424" t="e">
        <f>+LEFT(#REF!,1)</f>
        <v>#REF!</v>
      </c>
      <c r="AC25" s="424" t="e">
        <f>+MID(#REF!,2,1)</f>
        <v>#REF!</v>
      </c>
      <c r="AD25" s="424" t="e">
        <f>+MID(#REF!,3,1)</f>
        <v>#REF!</v>
      </c>
      <c r="AE25" s="424" t="e">
        <f>+MID(#REF!,4,1)</f>
        <v>#REF!</v>
      </c>
      <c r="AF25" s="424" t="e">
        <f>+MID(#REF!,5,1)</f>
        <v>#REF!</v>
      </c>
      <c r="AG25" s="424" t="e">
        <f>+MID(#REF!,6,1)</f>
        <v>#REF!</v>
      </c>
      <c r="AH25" s="424" t="e">
        <f>+MID(#REF!,7,1)</f>
        <v>#REF!</v>
      </c>
      <c r="AI25" s="499" t="e">
        <f>+MID(#REF!,8,1)</f>
        <v>#REF!</v>
      </c>
      <c r="AJ25" s="499" t="e">
        <f>+MID(#REF!,9,1)</f>
        <v>#REF!</v>
      </c>
      <c r="AK25" s="500" t="e">
        <f>+MID(#REF!,10,1)</f>
        <v>#REF!</v>
      </c>
    </row>
    <row r="26" spans="1:37" x14ac:dyDescent="0.25">
      <c r="A26" s="377" t="s">
        <v>368</v>
      </c>
      <c r="B26" s="378"/>
      <c r="C26" s="378"/>
      <c r="D26" s="378"/>
      <c r="E26" s="378"/>
      <c r="F26" s="378"/>
      <c r="G26" s="383" t="s">
        <v>369</v>
      </c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3"/>
      <c r="S26" s="383"/>
      <c r="T26" s="383"/>
      <c r="U26" s="383"/>
      <c r="V26" s="383"/>
      <c r="W26" s="383"/>
      <c r="X26" s="383"/>
      <c r="Y26" s="383"/>
      <c r="Z26" s="383"/>
      <c r="AA26" s="383"/>
      <c r="AB26" s="383"/>
      <c r="AC26" s="383"/>
      <c r="AD26" s="383"/>
      <c r="AE26" s="353"/>
      <c r="AF26" s="353"/>
      <c r="AG26" s="353"/>
      <c r="AH26" s="353"/>
      <c r="AI26" s="353"/>
      <c r="AJ26" s="353"/>
      <c r="AK26" s="367"/>
    </row>
    <row r="27" spans="1:37" s="504" customFormat="1" ht="19.5" customHeight="1" x14ac:dyDescent="0.25">
      <c r="A27" s="423" t="e">
        <f>+LEFT(#REF!,1)</f>
        <v>#REF!</v>
      </c>
      <c r="B27" s="424" t="e">
        <f>+MID(#REF!,2,1)</f>
        <v>#REF!</v>
      </c>
      <c r="C27" s="424" t="e">
        <f>+MID(#REF!,3,1)</f>
        <v>#REF!</v>
      </c>
      <c r="D27" s="424" t="e">
        <f>+MID(#REF!,4,1)</f>
        <v>#REF!</v>
      </c>
      <c r="E27" s="424" t="e">
        <f>+MID(#REF!,5,1)</f>
        <v>#REF!</v>
      </c>
      <c r="F27" s="427"/>
      <c r="G27" s="424" t="e">
        <f>+LEFT(#REF!,1)</f>
        <v>#REF!</v>
      </c>
      <c r="H27" s="424" t="e">
        <f>+MID(#REF!,2,1)</f>
        <v>#REF!</v>
      </c>
      <c r="I27" s="424" t="e">
        <f>+MID(#REF!,3,1)</f>
        <v>#REF!</v>
      </c>
      <c r="J27" s="424" t="e">
        <f>+MID(#REF!,4,1)</f>
        <v>#REF!</v>
      </c>
      <c r="K27" s="424" t="e">
        <f>+MID(#REF!,5,1)</f>
        <v>#REF!</v>
      </c>
      <c r="L27" s="424" t="e">
        <f>+MID(#REF!,6,1)</f>
        <v>#REF!</v>
      </c>
      <c r="M27" s="424" t="e">
        <f>+MID(#REF!,7,1)</f>
        <v>#REF!</v>
      </c>
      <c r="N27" s="424" t="e">
        <f>+MID(#REF!,8,1)</f>
        <v>#REF!</v>
      </c>
      <c r="O27" s="424" t="e">
        <f>+MID(#REF!,9,1)</f>
        <v>#REF!</v>
      </c>
      <c r="P27" s="424" t="e">
        <f>+MID(#REF!,10,1)</f>
        <v>#REF!</v>
      </c>
      <c r="Q27" s="424" t="e">
        <f>+MID(#REF!,11,1)</f>
        <v>#REF!</v>
      </c>
      <c r="R27" s="424" t="e">
        <f>+MID(#REF!,12,1)</f>
        <v>#REF!</v>
      </c>
      <c r="S27" s="424" t="e">
        <f>+MID(#REF!,13,1)</f>
        <v>#REF!</v>
      </c>
      <c r="T27" s="424" t="e">
        <f>+MID(#REF!,14,1)</f>
        <v>#REF!</v>
      </c>
      <c r="U27" s="424" t="e">
        <f>+MID(#REF!,15,1)</f>
        <v>#REF!</v>
      </c>
      <c r="V27" s="424" t="e">
        <f>+MID(#REF!,16,1)</f>
        <v>#REF!</v>
      </c>
      <c r="W27" s="424" t="e">
        <f>+MID(#REF!,17,1)</f>
        <v>#REF!</v>
      </c>
      <c r="X27" s="424" t="e">
        <f>+MID(#REF!,18,1)</f>
        <v>#REF!</v>
      </c>
      <c r="Y27" s="424" t="e">
        <f>+MID(#REF!,19,1)</f>
        <v>#REF!</v>
      </c>
      <c r="Z27" s="424" t="e">
        <f>+MID(#REF!,20,1)</f>
        <v>#REF!</v>
      </c>
      <c r="AA27" s="424" t="e">
        <f>+MID(#REF!,21,1)</f>
        <v>#REF!</v>
      </c>
      <c r="AB27" s="424" t="e">
        <f>+MID(#REF!,22,1)</f>
        <v>#REF!</v>
      </c>
      <c r="AC27" s="424" t="e">
        <f>+MID(#REF!,23,1)</f>
        <v>#REF!</v>
      </c>
      <c r="AD27" s="424" t="e">
        <f>+MID(#REF!,24,1)</f>
        <v>#REF!</v>
      </c>
      <c r="AE27" s="424" t="e">
        <f>+MID(#REF!,25,1)</f>
        <v>#REF!</v>
      </c>
      <c r="AF27" s="424" t="e">
        <f>+MID(#REF!,26,1)</f>
        <v>#REF!</v>
      </c>
      <c r="AG27" s="424" t="e">
        <f>+MID(#REF!,27,1)</f>
        <v>#REF!</v>
      </c>
      <c r="AH27" s="424" t="e">
        <f>+MID(#REF!,28,1)</f>
        <v>#REF!</v>
      </c>
      <c r="AI27" s="424" t="e">
        <f>+MID(#REF!,29,1)</f>
        <v>#REF!</v>
      </c>
      <c r="AJ27" s="424" t="e">
        <f>+MID(#REF!,30,1)</f>
        <v>#REF!</v>
      </c>
      <c r="AK27" s="501" t="e">
        <f>+MID(#REF!,31,1)</f>
        <v>#REF!</v>
      </c>
    </row>
    <row r="28" spans="1:37" x14ac:dyDescent="0.25">
      <c r="A28" s="377" t="s">
        <v>2197</v>
      </c>
      <c r="B28" s="378"/>
      <c r="C28" s="378"/>
      <c r="D28" s="378"/>
      <c r="E28" s="378"/>
      <c r="F28" s="378"/>
      <c r="G28" s="383"/>
      <c r="H28" s="383"/>
      <c r="I28" s="383"/>
      <c r="J28" s="383"/>
      <c r="K28" s="383"/>
      <c r="L28" s="383"/>
      <c r="M28" s="383"/>
      <c r="N28" s="378"/>
      <c r="O28" s="383" t="s">
        <v>370</v>
      </c>
      <c r="P28" s="383"/>
      <c r="Q28" s="383"/>
      <c r="R28" s="383"/>
      <c r="S28" s="383"/>
      <c r="T28" s="383"/>
      <c r="U28" s="383"/>
      <c r="V28" s="383"/>
      <c r="W28" s="383"/>
      <c r="X28" s="383"/>
      <c r="Y28" s="383"/>
      <c r="Z28" s="383"/>
      <c r="AA28" s="383"/>
      <c r="AB28" s="383"/>
      <c r="AC28" s="383"/>
      <c r="AD28" s="383"/>
      <c r="AE28" s="353"/>
      <c r="AF28" s="353"/>
      <c r="AG28" s="353"/>
      <c r="AH28" s="353"/>
      <c r="AI28" s="353"/>
      <c r="AJ28" s="353"/>
      <c r="AK28" s="367"/>
    </row>
    <row r="29" spans="1:37" s="504" customFormat="1" ht="19.5" customHeight="1" x14ac:dyDescent="0.25">
      <c r="A29" s="423" t="e">
        <f>+LEFT(#REF!,1)</f>
        <v>#REF!</v>
      </c>
      <c r="B29" s="424" t="e">
        <f>+MID(#REF!,2,1)</f>
        <v>#REF!</v>
      </c>
      <c r="C29" s="424" t="e">
        <f>+MID(#REF!,3,1)</f>
        <v>#REF!</v>
      </c>
      <c r="D29" s="424" t="e">
        <f>+MID(#REF!,4,1)</f>
        <v>#REF!</v>
      </c>
      <c r="E29" s="424" t="e">
        <f>+MID(#REF!,5,1)</f>
        <v>#REF!</v>
      </c>
      <c r="F29" s="427" t="s">
        <v>1187</v>
      </c>
      <c r="G29" s="424" t="e">
        <f>+LEFT(#REF!,1)</f>
        <v>#REF!</v>
      </c>
      <c r="H29" s="424" t="e">
        <f>+MID(#REF!,2,1)</f>
        <v>#REF!</v>
      </c>
      <c r="I29" s="424" t="e">
        <f>+MID(#REF!,3,1)</f>
        <v>#REF!</v>
      </c>
      <c r="J29" s="424" t="e">
        <f>+MID(#REF!,4,1)</f>
        <v>#REF!</v>
      </c>
      <c r="K29" s="424" t="e">
        <f>+MID(#REF!,5,1)</f>
        <v>#REF!</v>
      </c>
      <c r="L29" s="424" t="e">
        <f>+MID(#REF!,6,1)</f>
        <v>#REF!</v>
      </c>
      <c r="M29" s="424" t="e">
        <f>+MID(#REF!,7,1)</f>
        <v>#REF!</v>
      </c>
      <c r="N29" s="424" t="e">
        <f>+MID(#REF!,8,1)</f>
        <v>#REF!</v>
      </c>
      <c r="O29" s="427"/>
      <c r="P29" s="424" t="e">
        <f>+LEFT(#REF!,1)</f>
        <v>#REF!</v>
      </c>
      <c r="Q29" s="424" t="e">
        <f>+MID(#REF!,2,1)</f>
        <v>#REF!</v>
      </c>
      <c r="R29" s="424" t="e">
        <f>+MID(#REF!,3,1)</f>
        <v>#REF!</v>
      </c>
      <c r="S29" s="424" t="e">
        <f>+MID(#REF!,4,1)</f>
        <v>#REF!</v>
      </c>
      <c r="T29" s="424" t="e">
        <f>+MID(#REF!,5,1)</f>
        <v>#REF!</v>
      </c>
      <c r="U29" s="427" t="s">
        <v>1187</v>
      </c>
      <c r="V29" s="424" t="e">
        <f>+LEFT(#REF!,1)</f>
        <v>#REF!</v>
      </c>
      <c r="W29" s="424" t="e">
        <f>+MID(#REF!,2,1)</f>
        <v>#REF!</v>
      </c>
      <c r="X29" s="424" t="e">
        <f>+MID(#REF!,3,1)</f>
        <v>#REF!</v>
      </c>
      <c r="Y29" s="424" t="e">
        <f>+MID(#REF!,4,1)</f>
        <v>#REF!</v>
      </c>
      <c r="Z29" s="424" t="e">
        <f>+MID(#REF!,5,1)</f>
        <v>#REF!</v>
      </c>
      <c r="AA29" s="424" t="e">
        <f>+MID(#REF!,6,1)</f>
        <v>#REF!</v>
      </c>
      <c r="AB29" s="424" t="e">
        <f>+MID(#REF!,7,1)</f>
        <v>#REF!</v>
      </c>
      <c r="AC29" s="424" t="e">
        <f>+MID(#REF!,8,1)</f>
        <v>#REF!</v>
      </c>
      <c r="AD29" s="427"/>
      <c r="AE29" s="353"/>
      <c r="AF29" s="353"/>
      <c r="AG29" s="353"/>
      <c r="AH29" s="353"/>
      <c r="AI29" s="353"/>
      <c r="AJ29" s="353"/>
      <c r="AK29" s="367"/>
    </row>
    <row r="30" spans="1:37" s="338" customFormat="1" x14ac:dyDescent="0.25">
      <c r="A30" s="335" t="s">
        <v>1188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336"/>
      <c r="W30" s="353"/>
      <c r="X30" s="353"/>
      <c r="Y30" s="353"/>
      <c r="Z30" s="353"/>
      <c r="AA30" s="353"/>
      <c r="AB30" s="353"/>
      <c r="AC30" s="353"/>
      <c r="AD30" s="353"/>
      <c r="AE30" s="353"/>
      <c r="AF30" s="353"/>
      <c r="AG30" s="353"/>
      <c r="AH30" s="353"/>
      <c r="AI30" s="353"/>
      <c r="AJ30" s="353"/>
      <c r="AK30" s="367"/>
    </row>
    <row r="31" spans="1:37" s="504" customFormat="1" ht="19.5" customHeight="1" thickBot="1" x14ac:dyDescent="0.3">
      <c r="A31" s="502" t="e">
        <f>+LEFT(#REF!,1)</f>
        <v>#REF!</v>
      </c>
      <c r="B31" s="429" t="e">
        <f>+MID(#REF!,2,1)</f>
        <v>#REF!</v>
      </c>
      <c r="C31" s="429" t="e">
        <f>+MID(#REF!,3,1)</f>
        <v>#REF!</v>
      </c>
      <c r="D31" s="429" t="e">
        <f>+MID(#REF!,4,1)</f>
        <v>#REF!</v>
      </c>
      <c r="E31" s="429" t="e">
        <f>+MID(#REF!,5,1)</f>
        <v>#REF!</v>
      </c>
      <c r="F31" s="429" t="e">
        <f>+MID(#REF!,6,1)</f>
        <v>#REF!</v>
      </c>
      <c r="G31" s="429" t="e">
        <f>+MID(#REF!,7,1)</f>
        <v>#REF!</v>
      </c>
      <c r="H31" s="429" t="e">
        <f>+MID(#REF!,8,1)</f>
        <v>#REF!</v>
      </c>
      <c r="I31" s="429" t="e">
        <f>+MID(#REF!,9,1)</f>
        <v>#REF!</v>
      </c>
      <c r="J31" s="429" t="e">
        <f>+MID(#REF!,10,1)</f>
        <v>#REF!</v>
      </c>
      <c r="K31" s="429" t="e">
        <f>+MID(#REF!,11,1)</f>
        <v>#REF!</v>
      </c>
      <c r="L31" s="429" t="e">
        <f>+MID(#REF!,12,1)</f>
        <v>#REF!</v>
      </c>
      <c r="M31" s="429" t="e">
        <f>+MID(#REF!,13,1)</f>
        <v>#REF!</v>
      </c>
      <c r="N31" s="429" t="e">
        <f>+MID(#REF!,14,1)</f>
        <v>#REF!</v>
      </c>
      <c r="O31" s="429" t="e">
        <f>+MID(#REF!,15,1)</f>
        <v>#REF!</v>
      </c>
      <c r="P31" s="429" t="e">
        <f>+MID(#REF!,16,1)</f>
        <v>#REF!</v>
      </c>
      <c r="Q31" s="429" t="e">
        <f>+MID(#REF!,17,1)</f>
        <v>#REF!</v>
      </c>
      <c r="R31" s="429" t="e">
        <f>+MID(#REF!,18,1)</f>
        <v>#REF!</v>
      </c>
      <c r="S31" s="429" t="e">
        <f>+MID(#REF!,19,1)</f>
        <v>#REF!</v>
      </c>
      <c r="T31" s="429" t="e">
        <f>+MID(#REF!,20,1)</f>
        <v>#REF!</v>
      </c>
      <c r="U31" s="429" t="e">
        <f>+MID(#REF!,21,1)</f>
        <v>#REF!</v>
      </c>
      <c r="V31" s="429" t="e">
        <f>+MID(#REF!,22,1)</f>
        <v>#REF!</v>
      </c>
      <c r="W31" s="429" t="e">
        <f>+MID(#REF!,23,1)</f>
        <v>#REF!</v>
      </c>
      <c r="X31" s="429" t="e">
        <f>+MID(#REF!,24,1)</f>
        <v>#REF!</v>
      </c>
      <c r="Y31" s="429" t="e">
        <f>+MID(#REF!,25,1)</f>
        <v>#REF!</v>
      </c>
      <c r="Z31" s="429" t="e">
        <f>+MID(#REF!,26,1)</f>
        <v>#REF!</v>
      </c>
      <c r="AA31" s="429" t="e">
        <f>+MID(#REF!,27,1)</f>
        <v>#REF!</v>
      </c>
      <c r="AB31" s="429" t="e">
        <f>+MID(#REF!,28,1)</f>
        <v>#REF!</v>
      </c>
      <c r="AC31" s="429" t="e">
        <f>+MID(#REF!,29,1)</f>
        <v>#REF!</v>
      </c>
      <c r="AD31" s="429" t="e">
        <f>+MID(#REF!,30,1)</f>
        <v>#REF!</v>
      </c>
      <c r="AE31" s="429" t="e">
        <f>+MID(#REF!,31,1)</f>
        <v>#REF!</v>
      </c>
      <c r="AF31" s="429" t="e">
        <f>+MID(#REF!,32,1)</f>
        <v>#REF!</v>
      </c>
      <c r="AG31" s="429" t="e">
        <f>+MID(#REF!,33,1)</f>
        <v>#REF!</v>
      </c>
      <c r="AH31" s="429" t="e">
        <f>+MID(#REF!,34,1)</f>
        <v>#REF!</v>
      </c>
      <c r="AI31" s="429" t="e">
        <f>+MID(#REF!,35,1)</f>
        <v>#REF!</v>
      </c>
      <c r="AJ31" s="429" t="e">
        <f>+MID(#REF!,36,1)</f>
        <v>#REF!</v>
      </c>
      <c r="AK31" s="498" t="e">
        <f>+MID(#REF!,37,1)</f>
        <v>#REF!</v>
      </c>
    </row>
    <row r="32" spans="1:37" s="338" customFormat="1" ht="4.5" customHeight="1" thickBot="1" x14ac:dyDescent="0.3">
      <c r="W32" s="374"/>
      <c r="X32" s="374"/>
      <c r="Y32" s="374"/>
      <c r="Z32" s="374"/>
      <c r="AA32" s="374"/>
      <c r="AB32" s="374"/>
      <c r="AC32" s="374"/>
      <c r="AD32" s="374"/>
      <c r="AE32" s="374"/>
      <c r="AF32" s="374"/>
      <c r="AG32" s="374"/>
      <c r="AH32" s="374"/>
      <c r="AI32" s="374"/>
      <c r="AJ32" s="374"/>
      <c r="AK32" s="374"/>
    </row>
    <row r="33" spans="1:42" s="390" customFormat="1" ht="12.75" customHeight="1" x14ac:dyDescent="0.25">
      <c r="A33" s="385" t="s">
        <v>371</v>
      </c>
      <c r="B33" s="386"/>
      <c r="C33" s="386"/>
      <c r="D33" s="386"/>
      <c r="E33" s="386"/>
      <c r="F33" s="386"/>
      <c r="G33" s="386"/>
      <c r="H33" s="386"/>
      <c r="I33" s="386"/>
      <c r="J33" s="386"/>
      <c r="K33" s="387"/>
      <c r="L33" s="388"/>
      <c r="M33" s="940" t="s">
        <v>2203</v>
      </c>
      <c r="N33" s="940"/>
      <c r="O33" s="940"/>
      <c r="P33" s="940"/>
      <c r="Q33" s="940"/>
      <c r="R33" s="940"/>
      <c r="S33" s="940"/>
      <c r="T33" s="940"/>
      <c r="U33" s="941"/>
      <c r="V33" s="938" t="s">
        <v>2204</v>
      </c>
      <c r="W33" s="934"/>
      <c r="X33" s="934"/>
      <c r="Y33" s="934"/>
      <c r="Z33" s="934"/>
      <c r="AA33" s="934"/>
      <c r="AB33" s="934"/>
      <c r="AC33" s="389"/>
      <c r="AD33" s="934" t="s">
        <v>2205</v>
      </c>
      <c r="AE33" s="934"/>
      <c r="AF33" s="934"/>
      <c r="AG33" s="934"/>
      <c r="AH33" s="934"/>
      <c r="AI33" s="934"/>
      <c r="AJ33" s="934"/>
      <c r="AK33" s="935"/>
    </row>
    <row r="34" spans="1:42" s="338" customFormat="1" ht="19.5" customHeight="1" x14ac:dyDescent="0.25">
      <c r="A34" s="455" t="e">
        <f>LEFT(TEXT(#REF!,"dd.m.yyyy"),1)</f>
        <v>#REF!</v>
      </c>
      <c r="B34" s="454" t="e">
        <f>MID(TEXT(#REF!,"dd.mm.yyyy"),2,1)</f>
        <v>#REF!</v>
      </c>
      <c r="C34" s="452" t="s">
        <v>179</v>
      </c>
      <c r="D34" s="454" t="e">
        <f>MID(TEXT(#REF!,"dd.mm.yyyy"),4,1)</f>
        <v>#REF!</v>
      </c>
      <c r="E34" s="454" t="e">
        <f>MID(TEXT(#REF!,"dd.mm.yyyy"),5,1)</f>
        <v>#REF!</v>
      </c>
      <c r="F34" s="452" t="s">
        <v>179</v>
      </c>
      <c r="G34" s="454" t="e">
        <f>MID(TEXT(#REF!,"dd.mm.yyyy"),7,1)</f>
        <v>#REF!</v>
      </c>
      <c r="H34" s="454" t="e">
        <f>MID(TEXT(#REF!,"dd.mm.yyyy"),8,1)</f>
        <v>#REF!</v>
      </c>
      <c r="I34" s="454" t="e">
        <f>MID(TEXT(#REF!,"dd.mm.yyyy"),9,1)</f>
        <v>#REF!</v>
      </c>
      <c r="J34" s="454" t="e">
        <f>MID(TEXT(#REF!,"dd.mm.yyyy"),10,1)</f>
        <v>#REF!</v>
      </c>
      <c r="K34" s="431"/>
      <c r="L34" s="392"/>
      <c r="M34" s="942"/>
      <c r="N34" s="942"/>
      <c r="O34" s="942"/>
      <c r="P34" s="942"/>
      <c r="Q34" s="942"/>
      <c r="R34" s="942"/>
      <c r="S34" s="942"/>
      <c r="T34" s="942"/>
      <c r="U34" s="943"/>
      <c r="V34" s="939"/>
      <c r="W34" s="936"/>
      <c r="X34" s="936"/>
      <c r="Y34" s="936"/>
      <c r="Z34" s="936"/>
      <c r="AA34" s="936"/>
      <c r="AB34" s="936"/>
      <c r="AC34" s="393"/>
      <c r="AD34" s="936"/>
      <c r="AE34" s="936"/>
      <c r="AF34" s="936"/>
      <c r="AG34" s="936"/>
      <c r="AH34" s="936"/>
      <c r="AI34" s="936"/>
      <c r="AJ34" s="936"/>
      <c r="AK34" s="937"/>
      <c r="AP34" s="453"/>
    </row>
    <row r="35" spans="1:42" s="338" customFormat="1" ht="12.75" customHeight="1" x14ac:dyDescent="0.25">
      <c r="A35" s="394"/>
      <c r="B35" s="395"/>
      <c r="C35" s="395"/>
      <c r="D35" s="395"/>
      <c r="E35" s="395"/>
      <c r="F35" s="395"/>
      <c r="G35" s="395"/>
      <c r="H35" s="395"/>
      <c r="I35" s="395"/>
      <c r="J35" s="395"/>
      <c r="K35" s="396"/>
      <c r="L35" s="397"/>
      <c r="M35" s="942"/>
      <c r="N35" s="942"/>
      <c r="O35" s="942"/>
      <c r="P35" s="942"/>
      <c r="Q35" s="942"/>
      <c r="R35" s="942"/>
      <c r="S35" s="942"/>
      <c r="T35" s="942"/>
      <c r="U35" s="943"/>
      <c r="V35" s="939"/>
      <c r="W35" s="936"/>
      <c r="X35" s="936"/>
      <c r="Y35" s="936"/>
      <c r="Z35" s="936"/>
      <c r="AA35" s="936"/>
      <c r="AB35" s="936"/>
      <c r="AC35" s="393"/>
      <c r="AD35" s="936"/>
      <c r="AE35" s="936"/>
      <c r="AF35" s="936"/>
      <c r="AG35" s="936"/>
      <c r="AH35" s="936"/>
      <c r="AI35" s="936"/>
      <c r="AJ35" s="936"/>
      <c r="AK35" s="937"/>
    </row>
    <row r="36" spans="1:42" s="338" customFormat="1" x14ac:dyDescent="0.25">
      <c r="A36" s="335" t="s">
        <v>1440</v>
      </c>
      <c r="B36" s="336"/>
      <c r="C36" s="336"/>
      <c r="D36" s="336"/>
      <c r="E36" s="336"/>
      <c r="F36" s="336"/>
      <c r="G36" s="336"/>
      <c r="H36" s="336"/>
      <c r="I36" s="336"/>
      <c r="J36" s="336"/>
      <c r="K36" s="391"/>
      <c r="L36" s="392"/>
      <c r="M36" s="391"/>
      <c r="N36" s="391"/>
      <c r="O36" s="391"/>
      <c r="P36" s="391"/>
      <c r="Q36" s="391"/>
      <c r="R36" s="391"/>
      <c r="S36" s="336"/>
      <c r="T36" s="398"/>
      <c r="U36" s="398"/>
      <c r="V36" s="399"/>
      <c r="W36" s="398"/>
      <c r="X36" s="398"/>
      <c r="Y36" s="398"/>
      <c r="Z36" s="398"/>
      <c r="AA36" s="353"/>
      <c r="AB36" s="398"/>
      <c r="AC36" s="393"/>
      <c r="AD36" s="398"/>
      <c r="AE36" s="398"/>
      <c r="AF36" s="398"/>
      <c r="AG36" s="398"/>
      <c r="AH36" s="398"/>
      <c r="AI36" s="353"/>
      <c r="AJ36" s="353"/>
      <c r="AK36" s="367"/>
    </row>
    <row r="37" spans="1:42" s="338" customFormat="1" ht="19.5" customHeight="1" x14ac:dyDescent="0.25">
      <c r="A37" s="455" t="e">
        <f>LEFT(TEXT(#REF!,"dd.mm.yyyy"),1)</f>
        <v>#REF!</v>
      </c>
      <c r="B37" s="454" t="e">
        <f>MID(TEXT(#REF!,"dd.mm.yyyy"),2,1)</f>
        <v>#REF!</v>
      </c>
      <c r="C37" s="452" t="s">
        <v>179</v>
      </c>
      <c r="D37" s="454" t="e">
        <f>MID(TEXT(#REF!,"dd.mm.yyyy"),4,1)</f>
        <v>#REF!</v>
      </c>
      <c r="E37" s="454" t="e">
        <f>MID(TEXT(#REF!,"dd.mm.yyyy"),5,1)</f>
        <v>#REF!</v>
      </c>
      <c r="F37" s="452" t="s">
        <v>179</v>
      </c>
      <c r="G37" s="454" t="e">
        <f>MID(TEXT(#REF!,"dd.mm.yyyy"),7,1)</f>
        <v>#REF!</v>
      </c>
      <c r="H37" s="454" t="e">
        <f>MID(TEXT(#REF!,"dd.mm.yyyy"),8,1)</f>
        <v>#REF!</v>
      </c>
      <c r="I37" s="454" t="e">
        <f>MID(TEXT(#REF!,"dd.mm.yyyy"),9,1)</f>
        <v>#REF!</v>
      </c>
      <c r="J37" s="454" t="e">
        <f>MID(TEXT(#REF!,"dd.mm.yyyy"),10,1)</f>
        <v>#REF!</v>
      </c>
      <c r="K37" s="503"/>
      <c r="L37" s="400"/>
      <c r="M37" s="336"/>
      <c r="N37" s="336"/>
      <c r="O37" s="336"/>
      <c r="P37" s="336"/>
      <c r="Q37" s="336"/>
      <c r="R37" s="336"/>
      <c r="S37" s="336"/>
      <c r="T37" s="336"/>
      <c r="U37" s="336"/>
      <c r="V37" s="401"/>
      <c r="W37" s="353"/>
      <c r="X37" s="353"/>
      <c r="Y37" s="353"/>
      <c r="Z37" s="353"/>
      <c r="AA37" s="353"/>
      <c r="AB37" s="353"/>
      <c r="AC37" s="359"/>
      <c r="AD37" s="353"/>
      <c r="AE37" s="353"/>
      <c r="AF37" s="353"/>
      <c r="AG37" s="353"/>
      <c r="AH37" s="353"/>
      <c r="AI37" s="353"/>
      <c r="AJ37" s="353"/>
      <c r="AK37" s="367"/>
    </row>
    <row r="38" spans="1:42" s="322" customFormat="1" ht="13.8" thickBot="1" x14ac:dyDescent="0.3">
      <c r="A38" s="402"/>
      <c r="B38" s="403"/>
      <c r="C38" s="403"/>
      <c r="D38" s="403"/>
      <c r="E38" s="403"/>
      <c r="F38" s="403"/>
      <c r="G38" s="403"/>
      <c r="H38" s="403"/>
      <c r="I38" s="403"/>
      <c r="J38" s="403"/>
      <c r="K38" s="403"/>
      <c r="L38" s="404"/>
      <c r="M38" s="403"/>
      <c r="N38" s="403"/>
      <c r="O38" s="403"/>
      <c r="P38" s="403"/>
      <c r="Q38" s="403"/>
      <c r="R38" s="403"/>
      <c r="S38" s="403"/>
      <c r="T38" s="403"/>
      <c r="U38" s="403"/>
      <c r="V38" s="405"/>
      <c r="W38" s="371"/>
      <c r="X38" s="371"/>
      <c r="Y38" s="371"/>
      <c r="Z38" s="371"/>
      <c r="AA38" s="371"/>
      <c r="AB38" s="371"/>
      <c r="AC38" s="372"/>
      <c r="AD38" s="371"/>
      <c r="AE38" s="371"/>
      <c r="AF38" s="371"/>
      <c r="AG38" s="371"/>
      <c r="AH38" s="371"/>
      <c r="AI38" s="371"/>
      <c r="AJ38" s="371"/>
      <c r="AK38" s="373"/>
    </row>
    <row r="39" spans="1:42" s="322" customFormat="1" x14ac:dyDescent="0.25">
      <c r="W39" s="374"/>
      <c r="X39" s="374"/>
      <c r="Y39" s="374"/>
      <c r="Z39" s="374"/>
      <c r="AA39" s="374"/>
      <c r="AB39" s="374"/>
      <c r="AC39" s="374"/>
      <c r="AD39" s="374"/>
      <c r="AE39" s="374"/>
      <c r="AF39" s="374"/>
      <c r="AG39" s="374"/>
      <c r="AH39" s="374"/>
      <c r="AI39" s="374"/>
      <c r="AJ39" s="374"/>
      <c r="AK39" s="374"/>
    </row>
    <row r="40" spans="1:42" ht="13.8" thickBot="1" x14ac:dyDescent="0.3">
      <c r="W40" s="374"/>
      <c r="X40" s="374"/>
      <c r="Y40" s="374"/>
      <c r="Z40" s="374"/>
      <c r="AA40" s="374"/>
      <c r="AB40" s="374"/>
      <c r="AC40" s="374"/>
      <c r="AD40" s="374"/>
      <c r="AE40" s="374"/>
      <c r="AF40" s="374"/>
      <c r="AG40" s="374"/>
      <c r="AH40" s="374"/>
      <c r="AI40" s="374"/>
      <c r="AJ40" s="374"/>
      <c r="AK40" s="374"/>
    </row>
    <row r="41" spans="1:42" s="322" customFormat="1" x14ac:dyDescent="0.25">
      <c r="B41" s="406" t="s">
        <v>1229</v>
      </c>
      <c r="C41" s="407"/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346"/>
      <c r="X41" s="346"/>
      <c r="Y41" s="346"/>
      <c r="Z41" s="346"/>
      <c r="AA41" s="346"/>
      <c r="AB41" s="346"/>
      <c r="AC41" s="346"/>
      <c r="AD41" s="346"/>
      <c r="AE41" s="346"/>
      <c r="AF41" s="346"/>
      <c r="AG41" s="346"/>
      <c r="AH41" s="346"/>
      <c r="AI41" s="346"/>
      <c r="AJ41" s="376"/>
      <c r="AK41" s="374"/>
    </row>
    <row r="42" spans="1:42" s="322" customFormat="1" x14ac:dyDescent="0.25">
      <c r="B42" s="408"/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9"/>
      <c r="S42" s="409"/>
      <c r="T42" s="409"/>
      <c r="U42" s="409"/>
      <c r="V42" s="409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  <c r="AH42" s="353"/>
      <c r="AI42" s="353"/>
      <c r="AJ42" s="367"/>
      <c r="AK42" s="374"/>
    </row>
    <row r="43" spans="1:42" x14ac:dyDescent="0.25">
      <c r="B43" s="384"/>
      <c r="C43" s="378"/>
      <c r="D43" s="378"/>
      <c r="E43" s="378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8"/>
      <c r="Q43" s="378"/>
      <c r="R43" s="378"/>
      <c r="S43" s="378"/>
      <c r="T43" s="378"/>
      <c r="U43" s="378"/>
      <c r="V43" s="378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3"/>
      <c r="AJ43" s="367"/>
      <c r="AK43" s="374"/>
    </row>
    <row r="44" spans="1:42" s="322" customFormat="1" x14ac:dyDescent="0.25">
      <c r="B44" s="408"/>
      <c r="C44" s="409"/>
      <c r="D44" s="409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  <c r="P44" s="409"/>
      <c r="Q44" s="409"/>
      <c r="R44" s="409"/>
      <c r="S44" s="409"/>
      <c r="T44" s="409"/>
      <c r="U44" s="409"/>
      <c r="V44" s="409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67"/>
      <c r="AK44" s="374"/>
    </row>
    <row r="45" spans="1:42" s="338" customFormat="1" x14ac:dyDescent="0.25">
      <c r="B45" s="335"/>
      <c r="C45" s="336"/>
      <c r="D45" s="336"/>
      <c r="E45" s="336"/>
      <c r="F45" s="336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6"/>
      <c r="R45" s="336"/>
      <c r="S45" s="336"/>
      <c r="T45" s="336"/>
      <c r="U45" s="336"/>
      <c r="V45" s="336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67"/>
      <c r="AK45" s="374"/>
    </row>
    <row r="46" spans="1:42" s="338" customFormat="1" x14ac:dyDescent="0.25">
      <c r="B46" s="335"/>
      <c r="C46" s="336"/>
      <c r="D46" s="336"/>
      <c r="E46" s="336"/>
      <c r="F46" s="336"/>
      <c r="G46" s="336"/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6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67"/>
      <c r="AK46" s="374"/>
    </row>
    <row r="47" spans="1:42" s="322" customFormat="1" x14ac:dyDescent="0.25">
      <c r="B47" s="408"/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  <c r="V47" s="409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67"/>
      <c r="AK47" s="374"/>
    </row>
    <row r="48" spans="1:42" s="322" customFormat="1" x14ac:dyDescent="0.25">
      <c r="B48" s="408"/>
      <c r="C48" s="409"/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09"/>
      <c r="P48" s="409"/>
      <c r="Q48" s="409"/>
      <c r="R48" s="409"/>
      <c r="S48" s="409"/>
      <c r="T48" s="409"/>
      <c r="U48" s="409"/>
      <c r="V48" s="409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67"/>
      <c r="AK48" s="374"/>
    </row>
    <row r="49" spans="2:37" s="322" customFormat="1" x14ac:dyDescent="0.25">
      <c r="B49" s="408"/>
      <c r="C49" s="409"/>
      <c r="D49" s="409"/>
      <c r="E49" s="409"/>
      <c r="F49" s="409"/>
      <c r="G49" s="409"/>
      <c r="H49" s="409"/>
      <c r="I49" s="409"/>
      <c r="J49" s="409"/>
      <c r="K49" s="409"/>
      <c r="L49" s="409"/>
      <c r="M49" s="409"/>
      <c r="N49" s="409"/>
      <c r="O49" s="409"/>
      <c r="P49" s="409"/>
      <c r="Q49" s="409"/>
      <c r="R49" s="409"/>
      <c r="S49" s="409"/>
      <c r="T49" s="409"/>
      <c r="U49" s="409"/>
      <c r="V49" s="409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67"/>
      <c r="AK49" s="374"/>
    </row>
    <row r="50" spans="2:37" s="322" customFormat="1" x14ac:dyDescent="0.25">
      <c r="B50" s="408"/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09"/>
      <c r="T50" s="409"/>
      <c r="U50" s="409"/>
      <c r="V50" s="409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67"/>
      <c r="AK50" s="374"/>
    </row>
    <row r="51" spans="2:37" s="338" customFormat="1" ht="13.8" thickBot="1" x14ac:dyDescent="0.3">
      <c r="B51" s="410"/>
      <c r="C51" s="411"/>
      <c r="D51" s="411"/>
      <c r="E51" s="411"/>
      <c r="F51" s="411"/>
      <c r="G51" s="411" t="s">
        <v>1228</v>
      </c>
      <c r="H51" s="411"/>
      <c r="I51" s="411"/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 t="s">
        <v>1227</v>
      </c>
      <c r="V51" s="411"/>
      <c r="W51" s="371"/>
      <c r="X51" s="371"/>
      <c r="Y51" s="371"/>
      <c r="Z51" s="371"/>
      <c r="AA51" s="371"/>
      <c r="AB51" s="371"/>
      <c r="AC51" s="371"/>
      <c r="AD51" s="371"/>
      <c r="AE51" s="371"/>
      <c r="AF51" s="371"/>
      <c r="AG51" s="371"/>
      <c r="AH51" s="371"/>
      <c r="AI51" s="371"/>
      <c r="AJ51" s="373"/>
      <c r="AK51" s="374"/>
    </row>
  </sheetData>
  <mergeCells count="4">
    <mergeCell ref="AD33:AK35"/>
    <mergeCell ref="V33:AB35"/>
    <mergeCell ref="M33:U35"/>
    <mergeCell ref="N1:W3"/>
  </mergeCells>
  <phoneticPr fontId="7" type="noConversion"/>
  <pageMargins left="0.39370078740157483" right="0.39370078740157483" top="0.35433070866141736" bottom="0.35433070866141736" header="0.23622047244094491" footer="0.23622047244094491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13"/>
  </sheetPr>
  <dimension ref="A1:L165"/>
  <sheetViews>
    <sheetView workbookViewId="0"/>
  </sheetViews>
  <sheetFormatPr defaultColWidth="9.109375" defaultRowHeight="10.199999999999999" x14ac:dyDescent="0.2"/>
  <cols>
    <col min="1" max="1" width="3.44140625" style="18" customWidth="1"/>
    <col min="2" max="2" width="4.88671875" style="20" bestFit="1" customWidth="1"/>
    <col min="3" max="3" width="2.6640625" style="21" bestFit="1" customWidth="1"/>
    <col min="4" max="4" width="52.109375" style="18" customWidth="1"/>
    <col min="5" max="5" width="5.109375" style="456" customWidth="1"/>
    <col min="6" max="7" width="11.6640625" style="456" bestFit="1" customWidth="1"/>
    <col min="8" max="9" width="11.44140625" style="456" bestFit="1" customWidth="1"/>
    <col min="10" max="16384" width="9.109375" style="456"/>
  </cols>
  <sheetData>
    <row r="1" spans="1:12" ht="17.399999999999999" x14ac:dyDescent="0.3">
      <c r="B1" s="25"/>
      <c r="C1" s="26"/>
      <c r="D1" s="78" t="s">
        <v>1557</v>
      </c>
      <c r="G1" s="477"/>
      <c r="H1" s="477"/>
      <c r="I1" s="477"/>
      <c r="J1" s="477"/>
    </row>
    <row r="2" spans="1:12" ht="15.6" x14ac:dyDescent="0.3">
      <c r="B2" s="19"/>
      <c r="C2" s="22"/>
      <c r="D2" s="496" t="e">
        <f>'BS-SK format'!D2</f>
        <v>#REF!</v>
      </c>
      <c r="F2" s="478"/>
      <c r="G2" s="477"/>
      <c r="H2" s="479"/>
      <c r="I2" s="479"/>
      <c r="J2" s="479"/>
    </row>
    <row r="3" spans="1:12" x14ac:dyDescent="0.2">
      <c r="A3" s="15"/>
      <c r="B3" s="19"/>
      <c r="C3" s="22"/>
      <c r="D3" s="497" t="e">
        <f>'BS-SK format'!D3</f>
        <v>#REF!</v>
      </c>
      <c r="G3" s="477"/>
      <c r="H3" s="477"/>
      <c r="I3" s="477"/>
      <c r="J3" s="477"/>
    </row>
    <row r="4" spans="1:12" x14ac:dyDescent="0.2">
      <c r="A4" s="12"/>
      <c r="B4" s="19"/>
      <c r="C4" s="22"/>
      <c r="D4" s="13"/>
      <c r="E4" s="477"/>
      <c r="F4" s="477"/>
      <c r="G4" s="477"/>
      <c r="H4" s="477"/>
      <c r="I4" s="472"/>
    </row>
    <row r="5" spans="1:12" s="15" customFormat="1" x14ac:dyDescent="0.2">
      <c r="A5" s="19"/>
      <c r="B5" s="22"/>
      <c r="C5" s="13"/>
      <c r="D5" s="510"/>
      <c r="E5" s="480" t="s">
        <v>1590</v>
      </c>
      <c r="F5" s="480" t="s">
        <v>425</v>
      </c>
      <c r="G5" s="480" t="s">
        <v>1588</v>
      </c>
      <c r="H5" s="480" t="s">
        <v>427</v>
      </c>
      <c r="I5" s="480" t="s">
        <v>1589</v>
      </c>
      <c r="J5" s="511"/>
    </row>
    <row r="6" spans="1:12" s="15" customFormat="1" x14ac:dyDescent="0.2">
      <c r="A6" s="19"/>
      <c r="B6" s="23"/>
      <c r="C6" s="14"/>
      <c r="D6" s="510"/>
      <c r="E6" s="480"/>
      <c r="F6" s="481" t="s">
        <v>696</v>
      </c>
      <c r="G6" s="481" t="s">
        <v>696</v>
      </c>
      <c r="H6" s="481" t="s">
        <v>696</v>
      </c>
      <c r="I6" s="481" t="s">
        <v>696</v>
      </c>
      <c r="J6" s="511"/>
    </row>
    <row r="7" spans="1:12" x14ac:dyDescent="0.2">
      <c r="A7" s="19"/>
      <c r="B7" s="23"/>
      <c r="C7" s="14"/>
      <c r="D7" s="510"/>
      <c r="E7" s="471"/>
      <c r="F7" s="471"/>
      <c r="G7" s="471"/>
      <c r="H7" s="471"/>
      <c r="I7" s="471"/>
    </row>
    <row r="8" spans="1:12" s="475" customFormat="1" ht="11.25" customHeight="1" x14ac:dyDescent="0.2">
      <c r="A8" s="17"/>
      <c r="B8" s="27"/>
      <c r="C8" s="24"/>
      <c r="D8" s="36" t="s">
        <v>2365</v>
      </c>
      <c r="E8" s="541" t="s">
        <v>433</v>
      </c>
      <c r="F8" s="542">
        <f>F10+F12+F45+F80</f>
        <v>9087.01</v>
      </c>
      <c r="G8" s="542">
        <f>G10+G12+G45+G80</f>
        <v>0</v>
      </c>
      <c r="H8" s="542">
        <f>H10+H12+H45+H80</f>
        <v>9087.01</v>
      </c>
      <c r="I8" s="542" t="e">
        <f>I10+I12+I45+I80</f>
        <v>#REF!</v>
      </c>
      <c r="K8" s="467"/>
      <c r="L8" s="467"/>
    </row>
    <row r="9" spans="1:12" s="475" customFormat="1" ht="11.25" customHeight="1" x14ac:dyDescent="0.2">
      <c r="A9" s="17"/>
      <c r="B9" s="27"/>
      <c r="C9" s="24"/>
      <c r="D9" s="514"/>
      <c r="E9" s="465"/>
      <c r="F9" s="467"/>
      <c r="G9" s="467"/>
      <c r="H9" s="467"/>
      <c r="I9" s="467"/>
      <c r="K9" s="467"/>
      <c r="L9" s="467"/>
    </row>
    <row r="10" spans="1:12" s="475" customFormat="1" ht="11.25" customHeight="1" x14ac:dyDescent="0.2">
      <c r="A10" s="24" t="s">
        <v>932</v>
      </c>
      <c r="B10" s="27"/>
      <c r="C10" s="28"/>
      <c r="D10" s="36" t="s">
        <v>1591</v>
      </c>
      <c r="E10" s="507" t="s">
        <v>434</v>
      </c>
      <c r="F10" s="508">
        <f>'kontrola LD'!G251</f>
        <v>0</v>
      </c>
      <c r="G10" s="508"/>
      <c r="H10" s="508">
        <f>F10-G10</f>
        <v>0</v>
      </c>
      <c r="I10" s="508">
        <f>'kontrola LD'!H251</f>
        <v>0</v>
      </c>
      <c r="K10" s="467"/>
      <c r="L10" s="467"/>
    </row>
    <row r="11" spans="1:12" s="475" customFormat="1" ht="11.25" customHeight="1" x14ac:dyDescent="0.2">
      <c r="A11" s="24"/>
      <c r="B11" s="27"/>
      <c r="C11" s="28"/>
      <c r="D11" s="514"/>
      <c r="E11" s="465"/>
      <c r="F11" s="467"/>
      <c r="G11" s="467"/>
      <c r="H11" s="467"/>
      <c r="I11" s="467"/>
      <c r="K11" s="467"/>
      <c r="L11" s="467"/>
    </row>
    <row r="12" spans="1:12" s="475" customFormat="1" ht="11.25" customHeight="1" x14ac:dyDescent="0.2">
      <c r="A12" s="24" t="s">
        <v>933</v>
      </c>
      <c r="B12" s="27"/>
      <c r="C12" s="28"/>
      <c r="D12" s="36" t="s">
        <v>469</v>
      </c>
      <c r="E12" s="541" t="s">
        <v>435</v>
      </c>
      <c r="F12" s="542">
        <f>F14+F24+F35</f>
        <v>0</v>
      </c>
      <c r="G12" s="542">
        <f>G14+G24+G35</f>
        <v>0</v>
      </c>
      <c r="H12" s="542">
        <f>H14+H24+H35</f>
        <v>0</v>
      </c>
      <c r="I12" s="542">
        <f>I14+I24+I35</f>
        <v>0</v>
      </c>
      <c r="K12" s="467"/>
      <c r="L12" s="467"/>
    </row>
    <row r="13" spans="1:12" s="475" customFormat="1" ht="11.25" customHeight="1" x14ac:dyDescent="0.2">
      <c r="A13" s="24"/>
      <c r="B13" s="27"/>
      <c r="C13" s="28"/>
      <c r="D13" s="514"/>
      <c r="E13" s="465"/>
      <c r="F13" s="467"/>
      <c r="G13" s="467"/>
      <c r="H13" s="467"/>
      <c r="I13" s="467"/>
      <c r="K13" s="467"/>
      <c r="L13" s="467"/>
    </row>
    <row r="14" spans="1:12" s="475" customFormat="1" ht="11.25" customHeight="1" x14ac:dyDescent="0.2">
      <c r="A14" s="17"/>
      <c r="B14" s="24" t="s">
        <v>942</v>
      </c>
      <c r="C14" s="28"/>
      <c r="D14" s="36" t="s">
        <v>2650</v>
      </c>
      <c r="E14" s="541" t="s">
        <v>436</v>
      </c>
      <c r="F14" s="542">
        <f>F15+F16+F17+F18+F19+F20+F21+F22</f>
        <v>0</v>
      </c>
      <c r="G14" s="542">
        <f>G15+G16+G17+G18+G19+G20+G21+G22</f>
        <v>0</v>
      </c>
      <c r="H14" s="542">
        <f>H15+H16+H17+H18+H19+H20+H21+H22</f>
        <v>0</v>
      </c>
      <c r="I14" s="542">
        <f>I15+I16+I17+I18+I19+I20+I21+I22</f>
        <v>0</v>
      </c>
      <c r="K14" s="467"/>
      <c r="L14" s="467"/>
    </row>
    <row r="15" spans="1:12" s="475" customFormat="1" ht="11.25" customHeight="1" x14ac:dyDescent="0.2">
      <c r="A15" s="17"/>
      <c r="B15" s="27"/>
      <c r="C15" s="29" t="s">
        <v>935</v>
      </c>
      <c r="D15" s="34" t="s">
        <v>470</v>
      </c>
      <c r="E15" s="461" t="s">
        <v>437</v>
      </c>
      <c r="F15" s="463">
        <f>'kontrola LD'!G12</f>
        <v>0</v>
      </c>
      <c r="G15" s="463">
        <f>-'kontrola LD'!G54-'kontrola LD'!G70</f>
        <v>0</v>
      </c>
      <c r="H15" s="463">
        <f t="shared" ref="H15:H22" si="0">F15-G15</f>
        <v>0</v>
      </c>
      <c r="I15" s="463">
        <f>'kontrola LD'!H12+'kontrola LD'!H54+'kontrola LD'!H70</f>
        <v>0</v>
      </c>
      <c r="J15" s="482"/>
      <c r="K15" s="464"/>
      <c r="L15" s="464"/>
    </row>
    <row r="16" spans="1:12" s="475" customFormat="1" ht="11.25" customHeight="1" x14ac:dyDescent="0.2">
      <c r="A16" s="17"/>
      <c r="B16" s="27"/>
      <c r="C16" s="29" t="s">
        <v>937</v>
      </c>
      <c r="D16" s="34" t="s">
        <v>471</v>
      </c>
      <c r="E16" s="461" t="s">
        <v>438</v>
      </c>
      <c r="F16" s="463">
        <f>'kontrola LD'!G13</f>
        <v>0</v>
      </c>
      <c r="G16" s="463">
        <f>-'kontrola LD'!G55-'kontrola LD'!G71</f>
        <v>0</v>
      </c>
      <c r="H16" s="463">
        <f t="shared" si="0"/>
        <v>0</v>
      </c>
      <c r="I16" s="463">
        <f>'kontrola LD'!H13+'kontrola LD'!H55+'kontrola LD'!H71</f>
        <v>0</v>
      </c>
      <c r="K16" s="464"/>
      <c r="L16" s="464"/>
    </row>
    <row r="17" spans="1:12" s="475" customFormat="1" ht="11.25" customHeight="1" x14ac:dyDescent="0.2">
      <c r="A17" s="17"/>
      <c r="B17" s="27"/>
      <c r="C17" s="29" t="s">
        <v>938</v>
      </c>
      <c r="D17" s="33" t="s">
        <v>472</v>
      </c>
      <c r="E17" s="461" t="s">
        <v>439</v>
      </c>
      <c r="F17" s="463">
        <f>'kontrola LD'!G14</f>
        <v>0</v>
      </c>
      <c r="G17" s="463">
        <f>-'kontrola LD'!G56-'kontrola LD'!G72</f>
        <v>0</v>
      </c>
      <c r="H17" s="463">
        <f t="shared" si="0"/>
        <v>0</v>
      </c>
      <c r="I17" s="463">
        <f>'kontrola LD'!H14+'kontrola LD'!H56+'kontrola LD'!H72</f>
        <v>0</v>
      </c>
      <c r="K17" s="464"/>
      <c r="L17" s="464"/>
    </row>
    <row r="18" spans="1:12" s="475" customFormat="1" ht="11.25" customHeight="1" x14ac:dyDescent="0.2">
      <c r="A18" s="17"/>
      <c r="B18" s="27"/>
      <c r="C18" s="29" t="s">
        <v>432</v>
      </c>
      <c r="D18" s="34" t="s">
        <v>473</v>
      </c>
      <c r="E18" s="461" t="s">
        <v>440</v>
      </c>
      <c r="F18" s="463">
        <f>'kontrola LD'!G15</f>
        <v>0</v>
      </c>
      <c r="G18" s="463">
        <f>-'kontrola LD'!G57-'kontrola LD'!G73</f>
        <v>0</v>
      </c>
      <c r="H18" s="463">
        <f t="shared" si="0"/>
        <v>0</v>
      </c>
      <c r="I18" s="463">
        <f>'kontrola LD'!H15+'kontrola LD'!H57+'kontrola LD'!H73</f>
        <v>0</v>
      </c>
      <c r="K18" s="464"/>
      <c r="L18" s="464"/>
    </row>
    <row r="19" spans="1:12" s="475" customFormat="1" ht="11.25" customHeight="1" x14ac:dyDescent="0.2">
      <c r="A19" s="17"/>
      <c r="B19" s="27"/>
      <c r="C19" s="29" t="s">
        <v>1089</v>
      </c>
      <c r="D19" s="33" t="s">
        <v>2089</v>
      </c>
      <c r="E19" s="461" t="s">
        <v>441</v>
      </c>
      <c r="F19" s="463">
        <f>'kontrola LD'!G16</f>
        <v>0</v>
      </c>
      <c r="G19" s="463">
        <f>-'kontrola LD'!G58-'kontrola LD'!G74</f>
        <v>0</v>
      </c>
      <c r="H19" s="463">
        <f t="shared" si="0"/>
        <v>0</v>
      </c>
      <c r="I19" s="463">
        <f>'kontrola LD'!H16+'kontrola LD'!H58+'kontrola LD'!H74</f>
        <v>0</v>
      </c>
      <c r="K19" s="464"/>
      <c r="L19" s="464"/>
    </row>
    <row r="20" spans="1:12" s="475" customFormat="1" ht="11.25" customHeight="1" x14ac:dyDescent="0.2">
      <c r="A20" s="17"/>
      <c r="B20" s="27"/>
      <c r="C20" s="29" t="s">
        <v>939</v>
      </c>
      <c r="D20" s="34" t="s">
        <v>474</v>
      </c>
      <c r="E20" s="461" t="s">
        <v>1567</v>
      </c>
      <c r="F20" s="463">
        <f>'kontrola LD'!G17</f>
        <v>0</v>
      </c>
      <c r="G20" s="463">
        <f>-'kontrola LD'!G59-'kontrola LD'!G75</f>
        <v>0</v>
      </c>
      <c r="H20" s="463">
        <f t="shared" si="0"/>
        <v>0</v>
      </c>
      <c r="I20" s="463">
        <f>'kontrola LD'!H17+'kontrola LD'!H59+'kontrola LD'!H75</f>
        <v>0</v>
      </c>
      <c r="K20" s="464"/>
      <c r="L20" s="464"/>
    </row>
    <row r="21" spans="1:12" s="475" customFormat="1" ht="11.25" customHeight="1" x14ac:dyDescent="0.2">
      <c r="A21" s="17"/>
      <c r="B21" s="27"/>
      <c r="C21" s="29" t="s">
        <v>940</v>
      </c>
      <c r="D21" s="33" t="s">
        <v>395</v>
      </c>
      <c r="E21" s="461" t="s">
        <v>2697</v>
      </c>
      <c r="F21" s="463">
        <f>'kontrola LD'!G31</f>
        <v>0</v>
      </c>
      <c r="G21" s="463">
        <f>-'kontrola LD'!G83</f>
        <v>0</v>
      </c>
      <c r="H21" s="463">
        <f t="shared" si="0"/>
        <v>0</v>
      </c>
      <c r="I21" s="463">
        <f>'kontrola LD'!H31+'kontrola LD'!H83</f>
        <v>0</v>
      </c>
      <c r="K21" s="464"/>
      <c r="L21" s="464"/>
    </row>
    <row r="22" spans="1:12" s="475" customFormat="1" ht="11.25" customHeight="1" x14ac:dyDescent="0.2">
      <c r="A22" s="17"/>
      <c r="B22" s="27"/>
      <c r="C22" s="29" t="s">
        <v>936</v>
      </c>
      <c r="D22" s="34" t="s">
        <v>475</v>
      </c>
      <c r="E22" s="461" t="s">
        <v>2699</v>
      </c>
      <c r="F22" s="463">
        <f>'kontrola LD'!G36</f>
        <v>0</v>
      </c>
      <c r="G22" s="463">
        <f>-'kontrola LD'!G86</f>
        <v>0</v>
      </c>
      <c r="H22" s="463">
        <f t="shared" si="0"/>
        <v>0</v>
      </c>
      <c r="I22" s="463">
        <f>'kontrola LD'!H36+'kontrola LD'!H86</f>
        <v>0</v>
      </c>
      <c r="K22" s="464"/>
      <c r="L22" s="464"/>
    </row>
    <row r="23" spans="1:12" s="475" customFormat="1" ht="11.25" customHeight="1" x14ac:dyDescent="0.2">
      <c r="A23" s="17"/>
      <c r="B23" s="27"/>
      <c r="C23" s="29"/>
      <c r="D23" s="514"/>
      <c r="E23" s="460"/>
      <c r="F23" s="464"/>
      <c r="G23" s="464"/>
      <c r="H23" s="464"/>
      <c r="I23" s="464"/>
      <c r="K23" s="464"/>
      <c r="L23" s="464"/>
    </row>
    <row r="24" spans="1:12" s="475" customFormat="1" ht="11.25" customHeight="1" x14ac:dyDescent="0.2">
      <c r="A24" s="17"/>
      <c r="B24" s="24" t="s">
        <v>943</v>
      </c>
      <c r="C24" s="28"/>
      <c r="D24" s="37" t="s">
        <v>2651</v>
      </c>
      <c r="E24" s="541" t="s">
        <v>262</v>
      </c>
      <c r="F24" s="542">
        <f>F25+F26+F27+F28+F29+F30+F31+F32+F33</f>
        <v>0</v>
      </c>
      <c r="G24" s="542">
        <f>G25+G26+G27+G28+G29+G30+G31+G32+G33</f>
        <v>0</v>
      </c>
      <c r="H24" s="542">
        <f>H25+H26+H27+H28+H29+H30+H31+H32+H33</f>
        <v>0</v>
      </c>
      <c r="I24" s="542">
        <f>I25+I26+I27+I28+I29+I30+I31+I32+I33</f>
        <v>0</v>
      </c>
      <c r="K24" s="467"/>
      <c r="L24" s="467"/>
    </row>
    <row r="25" spans="1:12" s="475" customFormat="1" ht="11.25" customHeight="1" x14ac:dyDescent="0.2">
      <c r="A25" s="17"/>
      <c r="B25" s="27"/>
      <c r="C25" s="29" t="s">
        <v>935</v>
      </c>
      <c r="D25" s="34" t="s">
        <v>476</v>
      </c>
      <c r="E25" s="461" t="s">
        <v>2767</v>
      </c>
      <c r="F25" s="463">
        <f>'kontrola LD'!G27</f>
        <v>0</v>
      </c>
      <c r="G25" s="463">
        <f>-'kontrola LD'!G77</f>
        <v>0</v>
      </c>
      <c r="H25" s="463">
        <f t="shared" ref="H25:H33" si="1">F25-G25</f>
        <v>0</v>
      </c>
      <c r="I25" s="463">
        <f>'kontrola LD'!H27+'kontrola LD'!H77</f>
        <v>0</v>
      </c>
      <c r="K25" s="464"/>
      <c r="L25" s="464"/>
    </row>
    <row r="26" spans="1:12" s="475" customFormat="1" ht="11.25" customHeight="1" x14ac:dyDescent="0.2">
      <c r="A26" s="17"/>
      <c r="B26" s="27"/>
      <c r="C26" s="29" t="s">
        <v>937</v>
      </c>
      <c r="D26" s="33" t="s">
        <v>477</v>
      </c>
      <c r="E26" s="461" t="s">
        <v>347</v>
      </c>
      <c r="F26" s="463">
        <f>'kontrola LD'!G20</f>
        <v>0</v>
      </c>
      <c r="G26" s="463">
        <f>-'kontrola LD'!G62-'kontrola LD'!G78</f>
        <v>0</v>
      </c>
      <c r="H26" s="463">
        <f t="shared" si="1"/>
        <v>0</v>
      </c>
      <c r="I26" s="463">
        <f>'kontrola LD'!H20+'kontrola LD'!H62+'kontrola LD'!H78</f>
        <v>0</v>
      </c>
      <c r="K26" s="464"/>
      <c r="L26" s="464"/>
    </row>
    <row r="27" spans="1:12" s="475" customFormat="1" ht="11.25" customHeight="1" x14ac:dyDescent="0.2">
      <c r="A27" s="17"/>
      <c r="B27" s="27"/>
      <c r="C27" s="29" t="s">
        <v>938</v>
      </c>
      <c r="D27" s="33" t="s">
        <v>170</v>
      </c>
      <c r="E27" s="461" t="s">
        <v>743</v>
      </c>
      <c r="F27" s="463">
        <f>'kontrola LD'!G21</f>
        <v>0</v>
      </c>
      <c r="G27" s="463">
        <f>-'kontrola LD'!G63-'kontrola LD'!G79</f>
        <v>0</v>
      </c>
      <c r="H27" s="463">
        <f t="shared" si="1"/>
        <v>0</v>
      </c>
      <c r="I27" s="463">
        <f>'kontrola LD'!H21+'kontrola LD'!H63+'kontrola LD'!H79</f>
        <v>0</v>
      </c>
      <c r="K27" s="464"/>
      <c r="L27" s="464"/>
    </row>
    <row r="28" spans="1:12" s="475" customFormat="1" ht="11.25" customHeight="1" x14ac:dyDescent="0.2">
      <c r="A28" s="17"/>
      <c r="B28" s="27"/>
      <c r="C28" s="29" t="s">
        <v>432</v>
      </c>
      <c r="D28" s="34" t="s">
        <v>478</v>
      </c>
      <c r="E28" s="461" t="s">
        <v>744</v>
      </c>
      <c r="F28" s="463">
        <f>'kontrola LD'!G22</f>
        <v>0</v>
      </c>
      <c r="G28" s="463">
        <f>-'kontrola LD'!G64-'kontrola LD'!G80</f>
        <v>0</v>
      </c>
      <c r="H28" s="463">
        <f t="shared" si="1"/>
        <v>0</v>
      </c>
      <c r="I28" s="463">
        <f>'kontrola LD'!H22+'kontrola LD'!H64+'kontrola LD'!H80</f>
        <v>0</v>
      </c>
      <c r="K28" s="464"/>
      <c r="L28" s="464"/>
    </row>
    <row r="29" spans="1:12" s="475" customFormat="1" ht="11.25" customHeight="1" x14ac:dyDescent="0.2">
      <c r="A29" s="17"/>
      <c r="B29" s="27"/>
      <c r="C29" s="29" t="s">
        <v>1089</v>
      </c>
      <c r="D29" s="34" t="s">
        <v>479</v>
      </c>
      <c r="E29" s="461" t="s">
        <v>2770</v>
      </c>
      <c r="F29" s="463">
        <f>'kontrola LD'!G23</f>
        <v>0</v>
      </c>
      <c r="G29" s="463">
        <f>-'kontrola LD'!G65-'kontrola LD'!G81</f>
        <v>0</v>
      </c>
      <c r="H29" s="463">
        <f t="shared" si="1"/>
        <v>0</v>
      </c>
      <c r="I29" s="463">
        <f>'kontrola LD'!H23+'kontrola LD'!H65+'kontrola LD'!H81</f>
        <v>0</v>
      </c>
      <c r="K29" s="464"/>
      <c r="L29" s="464"/>
    </row>
    <row r="30" spans="1:12" s="475" customFormat="1" ht="11.25" customHeight="1" x14ac:dyDescent="0.2">
      <c r="A30" s="17"/>
      <c r="B30" s="27"/>
      <c r="C30" s="29" t="s">
        <v>939</v>
      </c>
      <c r="D30" s="33" t="s">
        <v>1699</v>
      </c>
      <c r="E30" s="461" t="s">
        <v>2771</v>
      </c>
      <c r="F30" s="463">
        <f>'kontrola LD'!G24+'kontrola LD'!G28</f>
        <v>0</v>
      </c>
      <c r="G30" s="463">
        <f>-'kontrola LD'!G66-'kontrola LD'!G82</f>
        <v>0</v>
      </c>
      <c r="H30" s="463">
        <f t="shared" si="1"/>
        <v>0</v>
      </c>
      <c r="I30" s="463">
        <f>'kontrola LD'!H24+'kontrola LD'!H28+'kontrola LD'!H66+'kontrola LD'!H82</f>
        <v>0</v>
      </c>
      <c r="K30" s="464"/>
      <c r="L30" s="464"/>
    </row>
    <row r="31" spans="1:12" s="475" customFormat="1" ht="11.25" customHeight="1" x14ac:dyDescent="0.2">
      <c r="A31" s="17"/>
      <c r="B31" s="27"/>
      <c r="C31" s="29" t="s">
        <v>940</v>
      </c>
      <c r="D31" s="33" t="s">
        <v>1700</v>
      </c>
      <c r="E31" s="461" t="s">
        <v>745</v>
      </c>
      <c r="F31" s="463">
        <f>'kontrola LD'!G32</f>
        <v>0</v>
      </c>
      <c r="G31" s="463">
        <f>-'kontrola LD'!G84</f>
        <v>0</v>
      </c>
      <c r="H31" s="463">
        <f t="shared" si="1"/>
        <v>0</v>
      </c>
      <c r="I31" s="463">
        <f>'kontrola LD'!H32+'kontrola LD'!H84</f>
        <v>0</v>
      </c>
      <c r="K31" s="464"/>
      <c r="L31" s="464"/>
    </row>
    <row r="32" spans="1:12" s="475" customFormat="1" ht="11.25" customHeight="1" x14ac:dyDescent="0.2">
      <c r="A32" s="17"/>
      <c r="B32" s="27"/>
      <c r="C32" s="29" t="s">
        <v>936</v>
      </c>
      <c r="D32" s="34" t="s">
        <v>1701</v>
      </c>
      <c r="E32" s="461" t="s">
        <v>2775</v>
      </c>
      <c r="F32" s="463">
        <f>'kontrola LD'!G37</f>
        <v>0</v>
      </c>
      <c r="G32" s="463">
        <f>-'kontrola LD'!G87</f>
        <v>0</v>
      </c>
      <c r="H32" s="463">
        <f t="shared" si="1"/>
        <v>0</v>
      </c>
      <c r="I32" s="463">
        <f>'kontrola LD'!H37+'kontrola LD'!H87</f>
        <v>0</v>
      </c>
      <c r="K32" s="464"/>
      <c r="L32" s="464"/>
    </row>
    <row r="33" spans="1:12" s="475" customFormat="1" ht="11.25" customHeight="1" x14ac:dyDescent="0.2">
      <c r="A33" s="17"/>
      <c r="B33" s="27"/>
      <c r="C33" s="29" t="s">
        <v>941</v>
      </c>
      <c r="D33" s="33" t="s">
        <v>2692</v>
      </c>
      <c r="E33" s="461" t="s">
        <v>2776</v>
      </c>
      <c r="F33" s="463">
        <f>'kontrola LD'!G100</f>
        <v>0</v>
      </c>
      <c r="G33" s="463">
        <f>-'kontrola LD'!G101</f>
        <v>0</v>
      </c>
      <c r="H33" s="463">
        <f t="shared" si="1"/>
        <v>0</v>
      </c>
      <c r="I33" s="463">
        <f>'kontrola LD'!H100+'kontrola LD'!H101</f>
        <v>0</v>
      </c>
      <c r="K33" s="464"/>
      <c r="L33" s="464"/>
    </row>
    <row r="34" spans="1:12" s="475" customFormat="1" ht="11.25" customHeight="1" x14ac:dyDescent="0.2">
      <c r="A34" s="17"/>
      <c r="B34" s="27"/>
      <c r="C34" s="29"/>
      <c r="D34" s="514"/>
      <c r="E34" s="460"/>
      <c r="F34" s="464"/>
      <c r="G34" s="464"/>
      <c r="H34" s="464"/>
      <c r="I34" s="464"/>
      <c r="K34" s="464"/>
      <c r="L34" s="464"/>
    </row>
    <row r="35" spans="1:12" s="475" customFormat="1" ht="11.25" customHeight="1" x14ac:dyDescent="0.2">
      <c r="A35" s="17"/>
      <c r="B35" s="24" t="s">
        <v>279</v>
      </c>
      <c r="C35" s="28"/>
      <c r="D35" s="37" t="s">
        <v>2652</v>
      </c>
      <c r="E35" s="541" t="s">
        <v>902</v>
      </c>
      <c r="F35" s="542">
        <f>F36+F37+F38+F39+F40+F41+F42+F43</f>
        <v>0</v>
      </c>
      <c r="G35" s="542">
        <f>G36+G37+G38+G39+G40+G41+G42+G43</f>
        <v>0</v>
      </c>
      <c r="H35" s="542">
        <f>H36+H37+H38+H39+H40+H41+H42+H43</f>
        <v>0</v>
      </c>
      <c r="I35" s="542">
        <f>I36+I37+I38+I39+I40+I41+I42+I43</f>
        <v>0</v>
      </c>
      <c r="K35" s="467"/>
      <c r="L35" s="467"/>
    </row>
    <row r="36" spans="1:12" s="475" customFormat="1" ht="11.25" customHeight="1" x14ac:dyDescent="0.2">
      <c r="A36" s="17"/>
      <c r="B36" s="27"/>
      <c r="C36" s="29" t="s">
        <v>935</v>
      </c>
      <c r="D36" s="34" t="s">
        <v>2693</v>
      </c>
      <c r="E36" s="461" t="s">
        <v>1037</v>
      </c>
      <c r="F36" s="463">
        <f>'kontrola LD'!G41</f>
        <v>0</v>
      </c>
      <c r="G36" s="463">
        <f>-'kontrola LD'!G90</f>
        <v>0</v>
      </c>
      <c r="H36" s="463">
        <f t="shared" ref="H36:H43" si="2">F36-G36</f>
        <v>0</v>
      </c>
      <c r="I36" s="463">
        <f>'kontrola LD'!H41+'kontrola LD'!H90</f>
        <v>0</v>
      </c>
      <c r="K36" s="464"/>
      <c r="L36" s="464"/>
    </row>
    <row r="37" spans="1:12" s="475" customFormat="1" x14ac:dyDescent="0.2">
      <c r="A37" s="17"/>
      <c r="B37" s="27"/>
      <c r="C37" s="29" t="s">
        <v>937</v>
      </c>
      <c r="D37" s="34" t="s">
        <v>348</v>
      </c>
      <c r="E37" s="461" t="s">
        <v>1038</v>
      </c>
      <c r="F37" s="463">
        <f>'kontrola LD'!G42</f>
        <v>0</v>
      </c>
      <c r="G37" s="463">
        <f>-'kontrola LD'!G91</f>
        <v>0</v>
      </c>
      <c r="H37" s="463">
        <f t="shared" si="2"/>
        <v>0</v>
      </c>
      <c r="I37" s="463">
        <f>'kontrola LD'!H42+'kontrola LD'!H91</f>
        <v>0</v>
      </c>
      <c r="K37" s="464"/>
      <c r="L37" s="464"/>
    </row>
    <row r="38" spans="1:12" s="475" customFormat="1" ht="11.25" customHeight="1" x14ac:dyDescent="0.2">
      <c r="A38" s="17"/>
      <c r="B38" s="27"/>
      <c r="C38" s="29" t="s">
        <v>938</v>
      </c>
      <c r="D38" s="34" t="s">
        <v>1586</v>
      </c>
      <c r="E38" s="461" t="s">
        <v>1041</v>
      </c>
      <c r="F38" s="463">
        <f>'kontrola LD'!G43+'kontrola LD'!G44</f>
        <v>0</v>
      </c>
      <c r="G38" s="463">
        <f>-'kontrola LD'!G92-'kontrola LD'!G93</f>
        <v>0</v>
      </c>
      <c r="H38" s="463">
        <f t="shared" si="2"/>
        <v>0</v>
      </c>
      <c r="I38" s="463">
        <f>'kontrola LD'!H43+'kontrola LD'!H44+'kontrola LD'!H92+'kontrola LD'!H93</f>
        <v>0</v>
      </c>
      <c r="K38" s="464"/>
      <c r="L38" s="464"/>
    </row>
    <row r="39" spans="1:12" s="475" customFormat="1" ht="11.25" customHeight="1" x14ac:dyDescent="0.2">
      <c r="A39" s="17"/>
      <c r="B39" s="27"/>
      <c r="C39" s="29" t="s">
        <v>432</v>
      </c>
      <c r="D39" s="33" t="s">
        <v>1611</v>
      </c>
      <c r="E39" s="461" t="s">
        <v>747</v>
      </c>
      <c r="F39" s="463">
        <f>'kontrola LD'!G47</f>
        <v>0</v>
      </c>
      <c r="G39" s="463">
        <f>-'kontrola LD'!G95</f>
        <v>0</v>
      </c>
      <c r="H39" s="463">
        <f t="shared" si="2"/>
        <v>0</v>
      </c>
      <c r="I39" s="463">
        <f>'kontrola LD'!H47+'kontrola LD'!H95</f>
        <v>0</v>
      </c>
      <c r="K39" s="464"/>
      <c r="L39" s="464"/>
    </row>
    <row r="40" spans="1:12" s="475" customFormat="1" ht="11.25" customHeight="1" x14ac:dyDescent="0.2">
      <c r="A40" s="17"/>
      <c r="B40" s="27"/>
      <c r="C40" s="29" t="s">
        <v>1089</v>
      </c>
      <c r="D40" s="33" t="s">
        <v>661</v>
      </c>
      <c r="E40" s="461" t="s">
        <v>2633</v>
      </c>
      <c r="F40" s="463">
        <f>'kontrola LD'!G50+'kontrola LD'!G51</f>
        <v>0</v>
      </c>
      <c r="G40" s="463">
        <f>-'kontrola LD'!G97-'kontrola LD'!G98</f>
        <v>0</v>
      </c>
      <c r="H40" s="463">
        <f t="shared" si="2"/>
        <v>0</v>
      </c>
      <c r="I40" s="463">
        <f>'kontrola LD'!H50+'kontrola LD'!H51+'kontrola LD'!H97+'kontrola LD'!H98</f>
        <v>0</v>
      </c>
      <c r="K40" s="464"/>
      <c r="L40" s="464"/>
    </row>
    <row r="41" spans="1:12" s="475" customFormat="1" ht="11.25" customHeight="1" x14ac:dyDescent="0.2">
      <c r="A41" s="17"/>
      <c r="B41" s="27"/>
      <c r="C41" s="29" t="s">
        <v>939</v>
      </c>
      <c r="D41" s="33" t="s">
        <v>1015</v>
      </c>
      <c r="E41" s="461" t="s">
        <v>308</v>
      </c>
      <c r="F41" s="463">
        <f>'kontrola LD'!G46+'kontrola LD'!G49</f>
        <v>0</v>
      </c>
      <c r="G41" s="463">
        <f>-'kontrola LD'!G94-'kontrola LD'!G96</f>
        <v>0</v>
      </c>
      <c r="H41" s="463">
        <f t="shared" si="2"/>
        <v>0</v>
      </c>
      <c r="I41" s="463">
        <f>'kontrola LD'!H46+'kontrola LD'!H49+'kontrola LD'!H94+'kontrola LD'!H96</f>
        <v>0</v>
      </c>
      <c r="K41" s="464"/>
      <c r="L41" s="464"/>
    </row>
    <row r="42" spans="1:12" s="475" customFormat="1" ht="11.25" customHeight="1" x14ac:dyDescent="0.2">
      <c r="A42" s="17"/>
      <c r="B42" s="27"/>
      <c r="C42" s="29" t="s">
        <v>940</v>
      </c>
      <c r="D42" s="33" t="s">
        <v>663</v>
      </c>
      <c r="E42" s="461" t="s">
        <v>1802</v>
      </c>
      <c r="F42" s="463">
        <f>'kontrola LD'!G33</f>
        <v>0</v>
      </c>
      <c r="G42" s="463">
        <f>-'kontrola LD'!G99</f>
        <v>0</v>
      </c>
      <c r="H42" s="463">
        <f t="shared" si="2"/>
        <v>0</v>
      </c>
      <c r="I42" s="463">
        <f>'kontrola LD'!H33+'kontrola LD'!H99</f>
        <v>0</v>
      </c>
      <c r="K42" s="464"/>
      <c r="L42" s="464"/>
    </row>
    <row r="43" spans="1:12" s="475" customFormat="1" ht="11.25" customHeight="1" x14ac:dyDescent="0.2">
      <c r="A43" s="17"/>
      <c r="B43" s="27"/>
      <c r="C43" s="29" t="s">
        <v>936</v>
      </c>
      <c r="D43" s="87" t="s">
        <v>2150</v>
      </c>
      <c r="E43" s="461" t="s">
        <v>312</v>
      </c>
      <c r="F43" s="463">
        <f>'kontrola LD'!G38</f>
        <v>0</v>
      </c>
      <c r="G43" s="463">
        <f>-'kontrola LD'!G88</f>
        <v>0</v>
      </c>
      <c r="H43" s="463">
        <f t="shared" si="2"/>
        <v>0</v>
      </c>
      <c r="I43" s="463">
        <f>'kontrola LD'!H38+'kontrola LD'!H88</f>
        <v>0</v>
      </c>
      <c r="K43" s="464"/>
      <c r="L43" s="464"/>
    </row>
    <row r="44" spans="1:12" s="475" customFormat="1" ht="11.25" customHeight="1" x14ac:dyDescent="0.2">
      <c r="A44" s="17"/>
      <c r="B44" s="27"/>
      <c r="C44" s="29"/>
      <c r="D44" s="515"/>
      <c r="E44" s="460"/>
      <c r="F44" s="464"/>
      <c r="G44" s="464"/>
      <c r="H44" s="464"/>
      <c r="I44" s="464"/>
      <c r="K44" s="464"/>
      <c r="L44" s="464"/>
    </row>
    <row r="45" spans="1:12" s="475" customFormat="1" ht="11.25" customHeight="1" x14ac:dyDescent="0.2">
      <c r="A45" s="24" t="s">
        <v>261</v>
      </c>
      <c r="B45" s="27"/>
      <c r="C45" s="28"/>
      <c r="D45" s="37" t="s">
        <v>2151</v>
      </c>
      <c r="E45" s="541" t="s">
        <v>315</v>
      </c>
      <c r="F45" s="542">
        <f>F47+F56+F64+F73</f>
        <v>9087.01</v>
      </c>
      <c r="G45" s="542">
        <f>G47+G56+G64+G73</f>
        <v>0</v>
      </c>
      <c r="H45" s="542">
        <f>H47+H56+H64+H73</f>
        <v>9087.01</v>
      </c>
      <c r="I45" s="542" t="e">
        <f>I47+I56+I64+I73</f>
        <v>#REF!</v>
      </c>
      <c r="K45" s="467"/>
      <c r="L45" s="467"/>
    </row>
    <row r="46" spans="1:12" s="475" customFormat="1" ht="11.25" customHeight="1" x14ac:dyDescent="0.2">
      <c r="A46" s="24"/>
      <c r="B46" s="27"/>
      <c r="C46" s="28"/>
      <c r="D46" s="514"/>
      <c r="E46" s="465"/>
      <c r="F46" s="467"/>
      <c r="G46" s="467"/>
      <c r="H46" s="467"/>
      <c r="I46" s="467"/>
      <c r="K46" s="467"/>
      <c r="L46" s="467"/>
    </row>
    <row r="47" spans="1:12" s="475" customFormat="1" ht="11.25" customHeight="1" x14ac:dyDescent="0.2">
      <c r="A47" s="17"/>
      <c r="B47" s="24" t="s">
        <v>944</v>
      </c>
      <c r="C47" s="28"/>
      <c r="D47" s="88" t="s">
        <v>1496</v>
      </c>
      <c r="E47" s="541" t="s">
        <v>1805</v>
      </c>
      <c r="F47" s="542">
        <f>F48+F49+F50+F51+F52+F53+F54</f>
        <v>0</v>
      </c>
      <c r="G47" s="542">
        <f>G48+G49+G50+G51+G52+G53+G54</f>
        <v>0</v>
      </c>
      <c r="H47" s="542">
        <f>H48+H49+H50+H51+H52+H53+H54</f>
        <v>0</v>
      </c>
      <c r="I47" s="542">
        <f>I48+I49+I50+I51+I52+I53+I54</f>
        <v>0</v>
      </c>
      <c r="K47" s="467"/>
      <c r="L47" s="467"/>
    </row>
    <row r="48" spans="1:12" s="475" customFormat="1" ht="11.25" customHeight="1" x14ac:dyDescent="0.2">
      <c r="A48" s="17"/>
      <c r="B48" s="27"/>
      <c r="C48" s="29" t="s">
        <v>935</v>
      </c>
      <c r="D48" s="34" t="s">
        <v>2152</v>
      </c>
      <c r="E48" s="461" t="s">
        <v>1806</v>
      </c>
      <c r="F48" s="463">
        <f>'kontrola LD'!G106+'kontrola LD'!G107+'kontrola LD'!G108</f>
        <v>0</v>
      </c>
      <c r="G48" s="463">
        <f>-'kontrola LD'!G127</f>
        <v>0</v>
      </c>
      <c r="H48" s="463">
        <f t="shared" ref="H48:H54" si="3">F48-G48</f>
        <v>0</v>
      </c>
      <c r="I48" s="463">
        <f>'kontrola LD'!H106+'kontrola LD'!H107+'kontrola LD'!H108+'kontrola LD'!H127</f>
        <v>0</v>
      </c>
      <c r="K48" s="464"/>
      <c r="L48" s="464"/>
    </row>
    <row r="49" spans="1:12" s="475" customFormat="1" ht="11.25" customHeight="1" x14ac:dyDescent="0.2">
      <c r="A49" s="17"/>
      <c r="B49" s="27"/>
      <c r="C49" s="29" t="s">
        <v>937</v>
      </c>
      <c r="D49" s="35" t="s">
        <v>2153</v>
      </c>
      <c r="E49" s="461" t="s">
        <v>1808</v>
      </c>
      <c r="F49" s="463">
        <f>'kontrola LD'!G113+'kontrola LD'!G116</f>
        <v>0</v>
      </c>
      <c r="G49" s="463">
        <f>-'kontrola LD'!G130-'kontrola LD'!G133</f>
        <v>0</v>
      </c>
      <c r="H49" s="463">
        <f t="shared" si="3"/>
        <v>0</v>
      </c>
      <c r="I49" s="463">
        <f>'kontrola LD'!H113+'kontrola LD'!H116+'kontrola LD'!H130+'kontrola LD'!H133</f>
        <v>0</v>
      </c>
      <c r="K49" s="464"/>
      <c r="L49" s="464"/>
    </row>
    <row r="50" spans="1:12" s="475" customFormat="1" x14ac:dyDescent="0.2">
      <c r="A50" s="17"/>
      <c r="B50" s="27"/>
      <c r="C50" s="29" t="s">
        <v>938</v>
      </c>
      <c r="D50" s="89" t="s">
        <v>1649</v>
      </c>
      <c r="E50" s="461" t="s">
        <v>1809</v>
      </c>
      <c r="F50" s="463">
        <f>'kontrola LD'!G112+'kontrola LD'!G115</f>
        <v>0</v>
      </c>
      <c r="G50" s="463">
        <f>-'kontrola LD'!G129-'kontrola LD'!G132</f>
        <v>0</v>
      </c>
      <c r="H50" s="463">
        <f t="shared" si="3"/>
        <v>0</v>
      </c>
      <c r="I50" s="463">
        <f>'kontrola LD'!H112+'kontrola LD'!H115+'kontrola LD'!H129+'kontrola LD'!H132</f>
        <v>0</v>
      </c>
      <c r="K50" s="464"/>
      <c r="L50" s="464"/>
    </row>
    <row r="51" spans="1:12" s="475" customFormat="1" ht="11.25" customHeight="1" x14ac:dyDescent="0.2">
      <c r="A51" s="17"/>
      <c r="B51" s="27"/>
      <c r="C51" s="29" t="s">
        <v>432</v>
      </c>
      <c r="D51" s="34" t="s">
        <v>2154</v>
      </c>
      <c r="E51" s="461" t="s">
        <v>1810</v>
      </c>
      <c r="F51" s="463">
        <f>'kontrola LD'!G117</f>
        <v>0</v>
      </c>
      <c r="G51" s="463">
        <f>-'kontrola LD'!G134</f>
        <v>0</v>
      </c>
      <c r="H51" s="463">
        <f t="shared" si="3"/>
        <v>0</v>
      </c>
      <c r="I51" s="463">
        <f>'kontrola LD'!H117+'kontrola LD'!H134</f>
        <v>0</v>
      </c>
      <c r="K51" s="464"/>
      <c r="L51" s="464"/>
    </row>
    <row r="52" spans="1:12" s="475" customFormat="1" ht="11.25" customHeight="1" x14ac:dyDescent="0.2">
      <c r="A52" s="17"/>
      <c r="B52" s="27"/>
      <c r="C52" s="29" t="s">
        <v>1089</v>
      </c>
      <c r="D52" s="34" t="s">
        <v>2281</v>
      </c>
      <c r="E52" s="461" t="s">
        <v>1811</v>
      </c>
      <c r="F52" s="463">
        <f>'kontrola LD'!G118</f>
        <v>0</v>
      </c>
      <c r="G52" s="463">
        <f>-'kontrola LD'!G135</f>
        <v>0</v>
      </c>
      <c r="H52" s="463">
        <f t="shared" si="3"/>
        <v>0</v>
      </c>
      <c r="I52" s="463">
        <f>'kontrola LD'!H118+'kontrola LD'!H135</f>
        <v>0</v>
      </c>
      <c r="K52" s="464"/>
      <c r="L52" s="464"/>
    </row>
    <row r="53" spans="1:12" s="475" customFormat="1" ht="11.25" customHeight="1" x14ac:dyDescent="0.2">
      <c r="A53" s="17"/>
      <c r="B53" s="27"/>
      <c r="C53" s="29" t="s">
        <v>939</v>
      </c>
      <c r="D53" s="34" t="s">
        <v>2282</v>
      </c>
      <c r="E53" s="461" t="s">
        <v>1812</v>
      </c>
      <c r="F53" s="463">
        <f>'kontrola LD'!G121+'kontrola LD'!G122+'kontrola LD'!G124</f>
        <v>0</v>
      </c>
      <c r="G53" s="463">
        <f>-'kontrola LD'!G136</f>
        <v>0</v>
      </c>
      <c r="H53" s="463">
        <f t="shared" si="3"/>
        <v>0</v>
      </c>
      <c r="I53" s="463">
        <f>'kontrola LD'!H121+'kontrola LD'!H122+'kontrola LD'!H124+'kontrola LD'!H136</f>
        <v>0</v>
      </c>
      <c r="K53" s="464"/>
      <c r="L53" s="464"/>
    </row>
    <row r="54" spans="1:12" s="475" customFormat="1" ht="11.25" customHeight="1" x14ac:dyDescent="0.2">
      <c r="A54" s="17"/>
      <c r="B54" s="27"/>
      <c r="C54" s="29" t="s">
        <v>940</v>
      </c>
      <c r="D54" s="34" t="s">
        <v>2283</v>
      </c>
      <c r="E54" s="461" t="s">
        <v>1544</v>
      </c>
      <c r="F54" s="463">
        <f>'kontrola LD'!G191</f>
        <v>0</v>
      </c>
      <c r="G54" s="463">
        <f>-'kontrola LD'!G324</f>
        <v>0</v>
      </c>
      <c r="H54" s="463">
        <f t="shared" si="3"/>
        <v>0</v>
      </c>
      <c r="I54" s="463">
        <f>'kontrola LD'!H191+'kontrola LD'!H324</f>
        <v>0</v>
      </c>
      <c r="K54" s="464"/>
      <c r="L54" s="464"/>
    </row>
    <row r="55" spans="1:12" s="475" customFormat="1" ht="11.25" customHeight="1" x14ac:dyDescent="0.2">
      <c r="A55" s="17"/>
      <c r="B55" s="27"/>
      <c r="C55" s="29"/>
      <c r="D55" s="514"/>
      <c r="E55" s="460"/>
      <c r="F55" s="464"/>
      <c r="G55" s="464"/>
      <c r="H55" s="464"/>
      <c r="I55" s="464"/>
      <c r="K55" s="464"/>
      <c r="L55" s="464"/>
    </row>
    <row r="56" spans="1:12" s="475" customFormat="1" ht="11.25" customHeight="1" x14ac:dyDescent="0.2">
      <c r="A56" s="17"/>
      <c r="B56" s="24" t="s">
        <v>945</v>
      </c>
      <c r="C56" s="28"/>
      <c r="D56" s="36" t="s">
        <v>1027</v>
      </c>
      <c r="E56" s="541" t="s">
        <v>385</v>
      </c>
      <c r="F56" s="542">
        <f>F57+F58+F59+F60+F61+F62</f>
        <v>0</v>
      </c>
      <c r="G56" s="542">
        <f>G57+G58+G59+G60+G61+G62</f>
        <v>0</v>
      </c>
      <c r="H56" s="542">
        <f>H57+H58+H59+H60+H61+H62</f>
        <v>0</v>
      </c>
      <c r="I56" s="542">
        <f>I57+I58+I59+I60+I61+I62</f>
        <v>0</v>
      </c>
      <c r="K56" s="467"/>
      <c r="L56" s="467"/>
    </row>
    <row r="57" spans="1:12" s="475" customFormat="1" ht="20.399999999999999" x14ac:dyDescent="0.2">
      <c r="A57" s="17"/>
      <c r="B57" s="27"/>
      <c r="C57" s="29" t="s">
        <v>935</v>
      </c>
      <c r="D57" s="33" t="s">
        <v>2357</v>
      </c>
      <c r="E57" s="461" t="s">
        <v>387</v>
      </c>
      <c r="F57" s="463">
        <f>'kontrola LD'!G183+'kontrola LD'!G186+'kontrola LD'!G189+'kontrola LD'!G193+'kontrola LD'!G198</f>
        <v>0</v>
      </c>
      <c r="G57" s="463">
        <f>-'kontrola LD'!G326</f>
        <v>0</v>
      </c>
      <c r="H57" s="463">
        <f t="shared" ref="H57:H62" si="4">F57-G57</f>
        <v>0</v>
      </c>
      <c r="I57" s="463">
        <f>'kontrola LD'!H183+'kontrola LD'!H186+'kontrola LD'!H189+'kontrola LD'!H193+'kontrola LD'!H198+'kontrola LD'!H325</f>
        <v>0</v>
      </c>
      <c r="K57" s="464"/>
      <c r="L57" s="464"/>
    </row>
    <row r="58" spans="1:12" s="475" customFormat="1" ht="11.25" customHeight="1" x14ac:dyDescent="0.2">
      <c r="A58" s="17"/>
      <c r="B58" s="27"/>
      <c r="C58" s="29" t="s">
        <v>937</v>
      </c>
      <c r="D58" s="33" t="s">
        <v>1016</v>
      </c>
      <c r="E58" s="461" t="s">
        <v>1545</v>
      </c>
      <c r="F58" s="463">
        <f>'kontrola LD'!G249</f>
        <v>0</v>
      </c>
      <c r="G58" s="463">
        <f>-'kontrola LD'!G328</f>
        <v>0</v>
      </c>
      <c r="H58" s="463">
        <f t="shared" si="4"/>
        <v>0</v>
      </c>
      <c r="I58" s="463">
        <f>'kontrola LD'!H249+'kontrola LD'!H328</f>
        <v>0</v>
      </c>
      <c r="K58" s="464"/>
      <c r="L58" s="464"/>
    </row>
    <row r="59" spans="1:12" s="475" customFormat="1" ht="11.25" customHeight="1" x14ac:dyDescent="0.2">
      <c r="A59" s="17"/>
      <c r="B59" s="27"/>
      <c r="C59" s="29" t="s">
        <v>938</v>
      </c>
      <c r="D59" s="33" t="s">
        <v>533</v>
      </c>
      <c r="E59" s="461" t="s">
        <v>1546</v>
      </c>
      <c r="F59" s="463">
        <f>'kontrola LD'!G250</f>
        <v>0</v>
      </c>
      <c r="G59" s="463">
        <f>-'kontrola LD'!G330</f>
        <v>0</v>
      </c>
      <c r="H59" s="463">
        <f t="shared" si="4"/>
        <v>0</v>
      </c>
      <c r="I59" s="463">
        <f>'kontrola LD'!H250+'kontrola LD'!H330</f>
        <v>0</v>
      </c>
      <c r="K59" s="464"/>
      <c r="L59" s="464"/>
    </row>
    <row r="60" spans="1:12" s="475" customFormat="1" ht="20.399999999999999" x14ac:dyDescent="0.2">
      <c r="A60" s="17"/>
      <c r="B60" s="27"/>
      <c r="C60" s="29" t="s">
        <v>432</v>
      </c>
      <c r="D60" s="33" t="s">
        <v>8</v>
      </c>
      <c r="E60" s="461" t="s">
        <v>700</v>
      </c>
      <c r="F60" s="463">
        <f>'kontrola LD'!G254+'kontrola LD'!G257+'kontrola LD'!G260</f>
        <v>0</v>
      </c>
      <c r="G60" s="463">
        <f>-'kontrola LD'!G332</f>
        <v>0</v>
      </c>
      <c r="H60" s="463">
        <f t="shared" si="4"/>
        <v>0</v>
      </c>
      <c r="I60" s="463">
        <f>'kontrola LD'!H254+'kontrola LD'!H257+'kontrola LD'!H260+'kontrola LD'!H332</f>
        <v>0</v>
      </c>
      <c r="J60" s="539"/>
      <c r="K60" s="464"/>
      <c r="L60" s="464"/>
    </row>
    <row r="61" spans="1:12" s="475" customFormat="1" ht="11.25" customHeight="1" x14ac:dyDescent="0.2">
      <c r="A61" s="17"/>
      <c r="B61" s="27"/>
      <c r="C61" s="29" t="s">
        <v>1089</v>
      </c>
      <c r="D61" s="34" t="s">
        <v>23</v>
      </c>
      <c r="E61" s="461" t="s">
        <v>701</v>
      </c>
      <c r="F61" s="463">
        <f>'kontrola LD'!G220+'kontrola LD'!G275+'kontrola LD'!G281+'kontrola LD'!G286+'kontrola LD'!G289+'kontrola LD'!G292+'kontrola LD'!G298+'kontrola LD'!G195</f>
        <v>0</v>
      </c>
      <c r="G61" s="463">
        <f>-'kontrola LD'!G334</f>
        <v>0</v>
      </c>
      <c r="H61" s="463">
        <f t="shared" si="4"/>
        <v>0</v>
      </c>
      <c r="I61" s="463">
        <f>'kontrola LD'!H220+'kontrola LD'!H275+'kontrola LD'!H281+'kontrola LD'!H286+'kontrola LD'!H289+'kontrola LD'!H292+'kontrola LD'!H298+'kontrola LD'!H195+'kontrola LD'!H334</f>
        <v>0</v>
      </c>
      <c r="K61" s="464"/>
      <c r="L61" s="464"/>
    </row>
    <row r="62" spans="1:12" s="475" customFormat="1" ht="11.25" customHeight="1" x14ac:dyDescent="0.2">
      <c r="A62" s="17"/>
      <c r="B62" s="27"/>
      <c r="C62" s="29" t="s">
        <v>939</v>
      </c>
      <c r="D62" s="33" t="s">
        <v>534</v>
      </c>
      <c r="E62" s="461" t="s">
        <v>702</v>
      </c>
      <c r="F62" s="463">
        <f>'kontrola LD'!G407</f>
        <v>0</v>
      </c>
      <c r="G62" s="463"/>
      <c r="H62" s="463">
        <f t="shared" si="4"/>
        <v>0</v>
      </c>
      <c r="I62" s="463">
        <f>'kontrola LD'!H407</f>
        <v>0</v>
      </c>
      <c r="K62" s="464"/>
      <c r="L62" s="464"/>
    </row>
    <row r="63" spans="1:12" s="475" customFormat="1" ht="11.25" customHeight="1" x14ac:dyDescent="0.2">
      <c r="A63" s="17"/>
      <c r="B63" s="27"/>
      <c r="C63" s="29"/>
      <c r="D63" s="514"/>
      <c r="E63" s="460"/>
      <c r="F63" s="464"/>
      <c r="G63" s="464"/>
      <c r="H63" s="464"/>
      <c r="I63" s="464"/>
      <c r="K63" s="464"/>
      <c r="L63" s="464"/>
    </row>
    <row r="64" spans="1:12" s="475" customFormat="1" ht="11.25" customHeight="1" x14ac:dyDescent="0.2">
      <c r="A64" s="17"/>
      <c r="B64" s="24" t="s">
        <v>946</v>
      </c>
      <c r="C64" s="28"/>
      <c r="D64" s="37" t="s">
        <v>1028</v>
      </c>
      <c r="E64" s="541" t="s">
        <v>703</v>
      </c>
      <c r="F64" s="542">
        <f>F65+F66+F67+F68+F69+F70+F71</f>
        <v>9070.5</v>
      </c>
      <c r="G64" s="542">
        <f>G65+G66+G67+G68+G69+G70+G71</f>
        <v>0</v>
      </c>
      <c r="H64" s="542">
        <f>H65+H66+H67+H68+H69+H70+H71</f>
        <v>9070.5</v>
      </c>
      <c r="I64" s="542" t="e">
        <f>I65+I66+I67+I68+I69+I70+I71</f>
        <v>#REF!</v>
      </c>
      <c r="K64" s="467"/>
      <c r="L64" s="467"/>
    </row>
    <row r="65" spans="1:12" s="475" customFormat="1" ht="20.399999999999999" x14ac:dyDescent="0.2">
      <c r="A65" s="17"/>
      <c r="B65" s="27"/>
      <c r="C65" s="29" t="s">
        <v>935</v>
      </c>
      <c r="D65" s="33" t="s">
        <v>2358</v>
      </c>
      <c r="E65" s="461" t="s">
        <v>704</v>
      </c>
      <c r="F65" s="463">
        <f>'kontrola LD'!G182+'kontrola LD'!G185+'kontrola LD'!G188+'kontrola LD'!G192+'kontrola LD'!G197</f>
        <v>8541</v>
      </c>
      <c r="G65" s="463">
        <f>-'kontrola LD'!G325</f>
        <v>0</v>
      </c>
      <c r="H65" s="463">
        <f t="shared" ref="H65:H71" si="5">F65-G65</f>
        <v>8541</v>
      </c>
      <c r="I65" s="463" t="e">
        <f>'kontrola LD'!H182+'kontrola LD'!H185+'kontrola LD'!H188+'kontrola LD'!H192+'kontrola LD'!H197+'kontrola LD'!#REF!</f>
        <v>#REF!</v>
      </c>
      <c r="K65" s="464"/>
      <c r="L65" s="464"/>
    </row>
    <row r="66" spans="1:12" s="475" customFormat="1" ht="11.25" customHeight="1" x14ac:dyDescent="0.2">
      <c r="A66" s="17"/>
      <c r="B66" s="27"/>
      <c r="C66" s="29" t="s">
        <v>937</v>
      </c>
      <c r="D66" s="34" t="s">
        <v>2359</v>
      </c>
      <c r="E66" s="461" t="s">
        <v>705</v>
      </c>
      <c r="F66" s="463">
        <f>'kontrola LD'!G247</f>
        <v>0</v>
      </c>
      <c r="G66" s="463">
        <f>-'kontrola LD'!G327</f>
        <v>0</v>
      </c>
      <c r="H66" s="463">
        <f t="shared" si="5"/>
        <v>0</v>
      </c>
      <c r="I66" s="463">
        <f>'kontrola LD'!H247+'kontrola LD'!H327</f>
        <v>0</v>
      </c>
      <c r="K66" s="464"/>
      <c r="L66" s="464"/>
    </row>
    <row r="67" spans="1:12" s="475" customFormat="1" ht="11.25" customHeight="1" x14ac:dyDescent="0.2">
      <c r="A67" s="17"/>
      <c r="B67" s="27"/>
      <c r="C67" s="29" t="s">
        <v>938</v>
      </c>
      <c r="D67" s="33" t="s">
        <v>533</v>
      </c>
      <c r="E67" s="461" t="s">
        <v>1474</v>
      </c>
      <c r="F67" s="463">
        <f>'kontrola LD'!G248</f>
        <v>0</v>
      </c>
      <c r="G67" s="463">
        <f>-'kontrola LD'!G329</f>
        <v>0</v>
      </c>
      <c r="H67" s="463">
        <f t="shared" si="5"/>
        <v>0</v>
      </c>
      <c r="I67" s="463">
        <f>'kontrola LD'!H248+'kontrola LD'!H329</f>
        <v>0</v>
      </c>
      <c r="K67" s="464"/>
      <c r="L67" s="464"/>
    </row>
    <row r="68" spans="1:12" s="475" customFormat="1" ht="20.399999999999999" x14ac:dyDescent="0.2">
      <c r="A68" s="17"/>
      <c r="B68" s="27"/>
      <c r="C68" s="29" t="s">
        <v>432</v>
      </c>
      <c r="D68" s="514" t="s">
        <v>26</v>
      </c>
      <c r="E68" s="461" t="s">
        <v>1476</v>
      </c>
      <c r="F68" s="463">
        <f>'kontrola LD'!G253+'kontrola LD'!G256+'kontrola LD'!G259+'kontrola LD'!G339</f>
        <v>0</v>
      </c>
      <c r="G68" s="463">
        <f>-'kontrola LD'!G331</f>
        <v>0</v>
      </c>
      <c r="H68" s="463">
        <f t="shared" si="5"/>
        <v>0</v>
      </c>
      <c r="I68" s="463">
        <f>'kontrola LD'!H253+'kontrola LD'!H256+'kontrola LD'!H259+'kontrola LD'!H339+'kontrola LD'!H331</f>
        <v>0</v>
      </c>
      <c r="K68" s="464"/>
      <c r="L68" s="464"/>
    </row>
    <row r="69" spans="1:12" s="475" customFormat="1" ht="11.25" customHeight="1" x14ac:dyDescent="0.2">
      <c r="A69" s="17"/>
      <c r="B69" s="27"/>
      <c r="C69" s="29" t="s">
        <v>1089</v>
      </c>
      <c r="D69" s="34" t="s">
        <v>2360</v>
      </c>
      <c r="E69" s="461" t="s">
        <v>706</v>
      </c>
      <c r="F69" s="463">
        <f>'kontrola LD'!G222</f>
        <v>0</v>
      </c>
      <c r="G69" s="463">
        <f>-'kontrola LD'!G336</f>
        <v>0</v>
      </c>
      <c r="H69" s="463">
        <f t="shared" si="5"/>
        <v>0</v>
      </c>
      <c r="I69" s="463">
        <f>'kontrola LD'!H222+'kontrola LD'!H336</f>
        <v>0</v>
      </c>
      <c r="K69" s="464"/>
      <c r="L69" s="464"/>
    </row>
    <row r="70" spans="1:12" s="475" customFormat="1" ht="11.25" customHeight="1" x14ac:dyDescent="0.2">
      <c r="A70" s="17"/>
      <c r="B70" s="27"/>
      <c r="C70" s="29" t="s">
        <v>939</v>
      </c>
      <c r="D70" s="514" t="s">
        <v>24</v>
      </c>
      <c r="E70" s="461" t="s">
        <v>707</v>
      </c>
      <c r="F70" s="463">
        <f>'kontrola LD'!G227+'kontrola LD'!G230+'kontrola LD'!G233+'kontrola LD'!G236+'kontrola LD'!G239+'kontrola LD'!G242</f>
        <v>529.5</v>
      </c>
      <c r="G70" s="463">
        <f>-'kontrola LD'!G335</f>
        <v>0</v>
      </c>
      <c r="H70" s="463">
        <f t="shared" si="5"/>
        <v>529.5</v>
      </c>
      <c r="I70" s="463">
        <f>'kontrola LD'!H227+'kontrola LD'!H230+'kontrola LD'!H233+'kontrola LD'!H236+'kontrola LD'!H239+'kontrola LD'!H242+'kontrola LD'!H335</f>
        <v>0</v>
      </c>
      <c r="K70" s="464"/>
      <c r="L70" s="464"/>
    </row>
    <row r="71" spans="1:12" s="475" customFormat="1" ht="11.25" customHeight="1" x14ac:dyDescent="0.2">
      <c r="A71" s="17"/>
      <c r="B71" s="27"/>
      <c r="C71" s="29" t="s">
        <v>940</v>
      </c>
      <c r="D71" s="514" t="s">
        <v>25</v>
      </c>
      <c r="E71" s="461" t="s">
        <v>708</v>
      </c>
      <c r="F71" s="463">
        <f>'kontrola LD'!G219+'kontrola LD'!G274+'kontrola LD'!G280+'kontrola LD'!G285+'kontrola LD'!G288+'kontrola LD'!G291+'kontrola LD'!G297+'kontrola LD'!G337</f>
        <v>0</v>
      </c>
      <c r="G71" s="463">
        <f>-'kontrola LD'!G333</f>
        <v>0</v>
      </c>
      <c r="H71" s="463">
        <f t="shared" si="5"/>
        <v>0</v>
      </c>
      <c r="I71" s="463">
        <f>'kontrola LD'!H219+'kontrola LD'!H274+'kontrola LD'!H280+'kontrola LD'!H285+'kontrola LD'!H288+'kontrola LD'!H291+'kontrola LD'!H297+'kontrola LD'!H337+'kontrola LD'!H333</f>
        <v>0</v>
      </c>
      <c r="K71" s="464"/>
      <c r="L71" s="464"/>
    </row>
    <row r="72" spans="1:12" s="475" customFormat="1" ht="11.25" customHeight="1" x14ac:dyDescent="0.2">
      <c r="A72" s="17"/>
      <c r="B72" s="27"/>
      <c r="C72" s="29"/>
      <c r="D72" s="514"/>
      <c r="E72" s="460"/>
      <c r="F72" s="464"/>
      <c r="G72" s="464"/>
      <c r="H72" s="464"/>
      <c r="I72" s="464"/>
      <c r="K72" s="464"/>
      <c r="L72" s="464"/>
    </row>
    <row r="73" spans="1:12" s="475" customFormat="1" ht="11.25" customHeight="1" x14ac:dyDescent="0.2">
      <c r="A73" s="17"/>
      <c r="B73" s="24" t="s">
        <v>947</v>
      </c>
      <c r="C73" s="28"/>
      <c r="D73" s="36" t="s">
        <v>2653</v>
      </c>
      <c r="E73" s="541" t="s">
        <v>709</v>
      </c>
      <c r="F73" s="542">
        <f>F74+F75+F76+F77+F78</f>
        <v>16.509999999999991</v>
      </c>
      <c r="G73" s="542">
        <f>G74+G75+G76+G77+G78</f>
        <v>0</v>
      </c>
      <c r="H73" s="542">
        <f>H74+H75+H76+H77+H78</f>
        <v>16.509999999999991</v>
      </c>
      <c r="I73" s="542">
        <f>I74+I75+I76+I77+I78</f>
        <v>0</v>
      </c>
      <c r="K73" s="467"/>
      <c r="L73" s="467"/>
    </row>
    <row r="74" spans="1:12" s="475" customFormat="1" ht="11.25" customHeight="1" x14ac:dyDescent="0.2">
      <c r="A74" s="17"/>
      <c r="B74" s="27"/>
      <c r="C74" s="29" t="s">
        <v>935</v>
      </c>
      <c r="D74" s="34" t="s">
        <v>2361</v>
      </c>
      <c r="E74" s="461" t="s">
        <v>710</v>
      </c>
      <c r="F74" s="463">
        <f>'kontrola LD'!G141+'kontrola LD'!G142</f>
        <v>16.509999999999991</v>
      </c>
      <c r="G74" s="463"/>
      <c r="H74" s="463">
        <f>F74-G74</f>
        <v>16.509999999999991</v>
      </c>
      <c r="I74" s="463">
        <f>'kontrola LD'!H141+'kontrola LD'!H142</f>
        <v>0</v>
      </c>
      <c r="K74" s="464"/>
      <c r="L74" s="464"/>
    </row>
    <row r="75" spans="1:12" s="475" customFormat="1" ht="11.25" customHeight="1" x14ac:dyDescent="0.2">
      <c r="A75" s="17"/>
      <c r="B75" s="27"/>
      <c r="C75" s="29" t="s">
        <v>937</v>
      </c>
      <c r="D75" s="34" t="s">
        <v>2362</v>
      </c>
      <c r="E75" s="461" t="s">
        <v>1085</v>
      </c>
      <c r="F75" s="463">
        <f>'kontrola LD'!G146+'kontrola LD'!G171</f>
        <v>0</v>
      </c>
      <c r="G75" s="463"/>
      <c r="H75" s="463">
        <f>F75-G75</f>
        <v>0</v>
      </c>
      <c r="I75" s="463">
        <f>'kontrola LD'!H146+'kontrola LD'!H171</f>
        <v>0</v>
      </c>
      <c r="K75" s="464"/>
      <c r="L75" s="464"/>
    </row>
    <row r="76" spans="1:12" s="475" customFormat="1" ht="11.25" customHeight="1" x14ac:dyDescent="0.2">
      <c r="A76" s="17"/>
      <c r="B76" s="27"/>
      <c r="C76" s="29" t="s">
        <v>938</v>
      </c>
      <c r="D76" s="33" t="s">
        <v>536</v>
      </c>
      <c r="E76" s="461" t="s">
        <v>1086</v>
      </c>
      <c r="F76" s="463">
        <f>'kontrola LD'!G147</f>
        <v>0</v>
      </c>
      <c r="G76" s="463"/>
      <c r="H76" s="463">
        <f>F76-G76</f>
        <v>0</v>
      </c>
      <c r="I76" s="463">
        <f>'kontrola LD'!H147</f>
        <v>0</v>
      </c>
      <c r="K76" s="464"/>
      <c r="L76" s="464"/>
    </row>
    <row r="77" spans="1:12" s="475" customFormat="1" ht="11.25" customHeight="1" x14ac:dyDescent="0.2">
      <c r="A77" s="17"/>
      <c r="B77" s="27"/>
      <c r="C77" s="29" t="s">
        <v>432</v>
      </c>
      <c r="D77" s="514" t="s">
        <v>28</v>
      </c>
      <c r="E77" s="461" t="s">
        <v>1087</v>
      </c>
      <c r="F77" s="463">
        <f>'kontrola LD'!G159+'kontrola LD'!G161+'kontrola LD'!G166+'kontrola LD'!G167</f>
        <v>0</v>
      </c>
      <c r="G77" s="463">
        <f>-'kontrola LD'!G175</f>
        <v>0</v>
      </c>
      <c r="H77" s="463">
        <f>F77-G77</f>
        <v>0</v>
      </c>
      <c r="I77" s="463">
        <f>'kontrola LD'!H159+'kontrola LD'!H161+'kontrola LD'!H166+'kontrola LD'!H167+'kontrola LD'!H175</f>
        <v>0</v>
      </c>
      <c r="K77" s="464"/>
      <c r="L77" s="464"/>
    </row>
    <row r="78" spans="1:12" s="475" customFormat="1" ht="11.25" customHeight="1" x14ac:dyDescent="0.2">
      <c r="A78" s="17"/>
      <c r="B78" s="27"/>
      <c r="C78" s="29" t="s">
        <v>1089</v>
      </c>
      <c r="D78" s="514" t="s">
        <v>27</v>
      </c>
      <c r="E78" s="461" t="s">
        <v>224</v>
      </c>
      <c r="F78" s="463">
        <f>'kontrola LD'!G168+'kontrola LD'!G194</f>
        <v>0</v>
      </c>
      <c r="G78" s="463">
        <f>-'kontrola LD'!G176</f>
        <v>0</v>
      </c>
      <c r="H78" s="463">
        <f>F78-G78</f>
        <v>0</v>
      </c>
      <c r="I78" s="463">
        <f>'kontrola LD'!H168+'kontrola LD'!H194+'kontrola LD'!H176</f>
        <v>0</v>
      </c>
      <c r="K78" s="464"/>
      <c r="L78" s="464"/>
    </row>
    <row r="79" spans="1:12" s="475" customFormat="1" ht="11.25" customHeight="1" x14ac:dyDescent="0.2">
      <c r="A79" s="17"/>
      <c r="B79" s="27"/>
      <c r="C79" s="29"/>
      <c r="D79" s="515"/>
      <c r="E79" s="460"/>
      <c r="F79" s="464"/>
      <c r="G79" s="464"/>
      <c r="H79" s="464"/>
      <c r="I79" s="464"/>
      <c r="K79" s="464"/>
      <c r="L79" s="464"/>
    </row>
    <row r="80" spans="1:12" s="475" customFormat="1" ht="11.25" customHeight="1" x14ac:dyDescent="0.2">
      <c r="A80" s="24" t="s">
        <v>934</v>
      </c>
      <c r="B80" s="28"/>
      <c r="C80" s="28"/>
      <c r="D80" s="36" t="s">
        <v>2654</v>
      </c>
      <c r="E80" s="541" t="s">
        <v>226</v>
      </c>
      <c r="F80" s="542">
        <f>F82+F83</f>
        <v>0</v>
      </c>
      <c r="G80" s="542">
        <f>G82+G83</f>
        <v>0</v>
      </c>
      <c r="H80" s="542">
        <f>H82+H83</f>
        <v>0</v>
      </c>
      <c r="I80" s="542">
        <f>I82+I83</f>
        <v>0</v>
      </c>
      <c r="K80" s="467"/>
      <c r="L80" s="467"/>
    </row>
    <row r="81" spans="1:12" s="475" customFormat="1" ht="11.25" customHeight="1" x14ac:dyDescent="0.2">
      <c r="A81" s="24"/>
      <c r="B81" s="28"/>
      <c r="C81" s="28"/>
      <c r="D81" s="514"/>
      <c r="E81" s="465"/>
      <c r="F81" s="467"/>
      <c r="G81" s="467"/>
      <c r="H81" s="467"/>
      <c r="I81" s="467"/>
      <c r="K81" s="467"/>
      <c r="L81" s="467"/>
    </row>
    <row r="82" spans="1:12" s="475" customFormat="1" ht="11.25" customHeight="1" x14ac:dyDescent="0.2">
      <c r="A82" s="17"/>
      <c r="B82" s="27"/>
      <c r="C82" s="29" t="s">
        <v>935</v>
      </c>
      <c r="D82" s="34" t="s">
        <v>2363</v>
      </c>
      <c r="E82" s="461" t="s">
        <v>228</v>
      </c>
      <c r="F82" s="463">
        <f>'kontrola LD'!G306+'kontrola LD'!G309</f>
        <v>0</v>
      </c>
      <c r="G82" s="463"/>
      <c r="H82" s="463">
        <f>F82-G82</f>
        <v>0</v>
      </c>
      <c r="I82" s="463">
        <f>'kontrola LD'!H306+'kontrola LD'!H309</f>
        <v>0</v>
      </c>
      <c r="K82" s="464"/>
      <c r="L82" s="464"/>
    </row>
    <row r="83" spans="1:12" s="475" customFormat="1" ht="11.25" customHeight="1" x14ac:dyDescent="0.2">
      <c r="A83" s="17"/>
      <c r="B83" s="27"/>
      <c r="C83" s="29" t="s">
        <v>937</v>
      </c>
      <c r="D83" s="34" t="s">
        <v>2364</v>
      </c>
      <c r="E83" s="461" t="s">
        <v>1139</v>
      </c>
      <c r="F83" s="463">
        <f>'kontrola LD'!G318</f>
        <v>0</v>
      </c>
      <c r="G83" s="463"/>
      <c r="H83" s="463">
        <f>F83-G83</f>
        <v>0</v>
      </c>
      <c r="I83" s="463">
        <f>'kontrola LD'!H318</f>
        <v>0</v>
      </c>
      <c r="K83" s="464"/>
      <c r="L83" s="464"/>
    </row>
    <row r="84" spans="1:12" s="475" customFormat="1" ht="11.25" customHeight="1" x14ac:dyDescent="0.2">
      <c r="A84" s="17"/>
      <c r="B84" s="27"/>
      <c r="C84" s="29"/>
      <c r="D84" s="514"/>
      <c r="E84" s="460"/>
      <c r="F84" s="464"/>
      <c r="G84" s="464"/>
      <c r="H84" s="464"/>
      <c r="I84" s="464"/>
      <c r="K84" s="464"/>
      <c r="L84" s="464"/>
    </row>
    <row r="85" spans="1:12" s="475" customFormat="1" ht="11.25" customHeight="1" x14ac:dyDescent="0.2">
      <c r="A85" s="17"/>
      <c r="B85" s="27"/>
      <c r="C85" s="24"/>
      <c r="D85" s="36" t="s">
        <v>2655</v>
      </c>
      <c r="E85" s="541" t="s">
        <v>1088</v>
      </c>
      <c r="F85" s="542">
        <f>F8+F10+F12+F14+F15+F16+F17+F18+F19+F20+F21+F22+F24+F25+F26+F27+F28+F29+F30+F31+F32+F33+F35+F36+F37+F38+F39+F40+F41+F42+F43+F45+F47+F48+F49+F50+F51+F52+F53+F54+F56+F57+F58+F59+F60+F61+F62+F64+F65+F66+F67+F68+F69+F70+F71+F73+F74+F75+F76+F77+F78+F80+F82+F83</f>
        <v>36348.040000000008</v>
      </c>
      <c r="G85" s="542">
        <f>G8+G10+G12+G14+G15+G16+G17+G18+G19+G20+G21+G22+G24+G25+G26+G27+G28+G29+G30+G31+G32+G33+G35+G36+G37+G38+G39+G40+G41+G42+G43+G45+G47+G48+G49+G50+G51+G52+G53+G54+G56+G57+G58+G59+G60+G61+G62+G64+G65+G66+G67+G68+G69+G70+G71+G73+G74+G75+G76+G77+G78+G80+G82+G83</f>
        <v>0</v>
      </c>
      <c r="H85" s="542">
        <f>H8+H10+H12+H14+H15+H16+H17+H18+H19+H20+H21+H22+H24+H25+H26+H27+H28+H29+H30+H31+H32+H33+H35+H36+H37+H38+H39+H40+H41+H42+H43+H45+H47+H48+H49+H50+H51+H52+H53+H54+H56+H57+H58+H59+H60+H61+H62+H64+H65+H66+H67+H68+H69+H70+H71+H73+H74+H75+H76+H77+H78+H80+H82+H83</f>
        <v>36348.040000000008</v>
      </c>
      <c r="I85" s="542" t="e">
        <f>I8+I10+I12+I14+I15+I16+I17+I18+I19+I20+I21+I22+I24+I25+I26+I27+I28+I29+I30+I31+I32+I33+I35+I36+I37+I38+I39+I40+I41+I42+I43+I45+I47+I48+I49+I50+I51+I52+I53+I54+I56+I57+I58+I59+I60+I61+I62+I64+I65+I66+I67+I68+I69+I70+I71+I73+I74+I75+I76+I77+I78+I80+I82+I83</f>
        <v>#REF!</v>
      </c>
      <c r="K85" s="467"/>
      <c r="L85" s="467"/>
    </row>
    <row r="86" spans="1:12" s="475" customFormat="1" ht="11.25" customHeight="1" x14ac:dyDescent="0.2">
      <c r="A86" s="17"/>
      <c r="B86" s="27"/>
      <c r="C86" s="24"/>
      <c r="D86" s="518"/>
      <c r="E86" s="465"/>
      <c r="F86" s="483"/>
      <c r="G86" s="483"/>
      <c r="H86" s="483"/>
      <c r="I86" s="483"/>
    </row>
    <row r="87" spans="1:12" s="475" customFormat="1" ht="11.25" customHeight="1" x14ac:dyDescent="0.2">
      <c r="A87" s="17"/>
      <c r="B87" s="27"/>
      <c r="C87" s="24"/>
      <c r="D87" s="518"/>
      <c r="E87" s="465"/>
      <c r="F87" s="483"/>
      <c r="G87" s="483"/>
      <c r="H87" s="483"/>
      <c r="I87" s="483"/>
    </row>
    <row r="88" spans="1:12" s="16" customFormat="1" ht="11.25" customHeight="1" x14ac:dyDescent="0.2">
      <c r="A88" s="17"/>
      <c r="B88" s="27"/>
      <c r="C88" s="24"/>
      <c r="D88" s="518"/>
      <c r="E88" s="484" t="s">
        <v>1590</v>
      </c>
      <c r="F88" s="485" t="s">
        <v>80</v>
      </c>
      <c r="G88" s="485" t="s">
        <v>1589</v>
      </c>
      <c r="H88" s="483"/>
      <c r="I88" s="483"/>
      <c r="J88" s="513"/>
    </row>
    <row r="89" spans="1:12" s="16" customFormat="1" ht="11.25" customHeight="1" x14ac:dyDescent="0.2">
      <c r="A89" s="17"/>
      <c r="B89" s="27"/>
      <c r="C89" s="24"/>
      <c r="D89" s="518"/>
      <c r="E89" s="484"/>
      <c r="F89" s="486" t="s">
        <v>17</v>
      </c>
      <c r="G89" s="486" t="s">
        <v>696</v>
      </c>
      <c r="H89" s="483"/>
      <c r="I89" s="483"/>
      <c r="J89" s="513"/>
    </row>
    <row r="90" spans="1:12" s="475" customFormat="1" ht="11.25" customHeight="1" x14ac:dyDescent="0.2">
      <c r="A90" s="17"/>
      <c r="B90" s="27"/>
      <c r="C90" s="24"/>
      <c r="D90" s="519"/>
      <c r="E90" s="465"/>
      <c r="F90" s="483"/>
      <c r="G90" s="483"/>
      <c r="H90" s="483"/>
      <c r="I90" s="483"/>
      <c r="J90" s="482"/>
    </row>
    <row r="91" spans="1:12" s="475" customFormat="1" ht="11.25" customHeight="1" x14ac:dyDescent="0.2">
      <c r="A91" s="24"/>
      <c r="B91" s="24"/>
      <c r="C91" s="24"/>
      <c r="D91" s="520" t="s">
        <v>29</v>
      </c>
      <c r="E91" s="541" t="s">
        <v>1141</v>
      </c>
      <c r="F91" s="542">
        <f>F93+F119+F154</f>
        <v>9087.01</v>
      </c>
      <c r="G91" s="542" t="e">
        <f>G93+G119+G154</f>
        <v>#REF!</v>
      </c>
      <c r="H91" s="467"/>
      <c r="I91" s="467"/>
    </row>
    <row r="92" spans="1:12" s="475" customFormat="1" ht="11.25" customHeight="1" x14ac:dyDescent="0.2">
      <c r="A92" s="24"/>
      <c r="B92" s="24"/>
      <c r="C92" s="24"/>
      <c r="D92" s="521"/>
      <c r="E92" s="465"/>
      <c r="F92" s="467"/>
      <c r="G92" s="467"/>
      <c r="H92" s="467"/>
      <c r="I92" s="483"/>
    </row>
    <row r="93" spans="1:12" s="475" customFormat="1" ht="11.25" customHeight="1" x14ac:dyDescent="0.2">
      <c r="A93" s="24" t="s">
        <v>932</v>
      </c>
      <c r="B93" s="24"/>
      <c r="C93" s="24"/>
      <c r="D93" s="520" t="s">
        <v>2366</v>
      </c>
      <c r="E93" s="541" t="s">
        <v>1687</v>
      </c>
      <c r="F93" s="542">
        <f>F95+F100+F108+F113+F117</f>
        <v>459.97000000000116</v>
      </c>
      <c r="G93" s="542" t="e">
        <f>G95+G100+G108+G113+G117</f>
        <v>#REF!</v>
      </c>
      <c r="H93" s="467"/>
      <c r="I93" s="467"/>
    </row>
    <row r="94" spans="1:12" s="475" customFormat="1" ht="11.25" customHeight="1" x14ac:dyDescent="0.2">
      <c r="A94" s="24"/>
      <c r="B94" s="24"/>
      <c r="C94" s="24"/>
      <c r="D94" s="521"/>
      <c r="E94" s="465"/>
      <c r="F94" s="467"/>
      <c r="G94" s="467"/>
      <c r="H94" s="467"/>
      <c r="I94" s="467"/>
      <c r="J94" s="482"/>
      <c r="K94" s="487"/>
    </row>
    <row r="95" spans="1:12" s="475" customFormat="1" ht="11.25" customHeight="1" x14ac:dyDescent="0.2">
      <c r="A95" s="24"/>
      <c r="B95" s="24" t="s">
        <v>948</v>
      </c>
      <c r="C95" s="24"/>
      <c r="D95" s="36" t="s">
        <v>2656</v>
      </c>
      <c r="E95" s="541" t="s">
        <v>1689</v>
      </c>
      <c r="F95" s="542">
        <f>F96+F97+F98</f>
        <v>11618</v>
      </c>
      <c r="G95" s="542">
        <f>G96+G97+G98</f>
        <v>0</v>
      </c>
      <c r="H95" s="467"/>
      <c r="I95" s="467"/>
      <c r="J95" s="487"/>
    </row>
    <row r="96" spans="1:12" s="475" customFormat="1" ht="11.25" customHeight="1" x14ac:dyDescent="0.2">
      <c r="A96" s="29"/>
      <c r="B96" s="29"/>
      <c r="C96" s="29" t="s">
        <v>935</v>
      </c>
      <c r="D96" s="33" t="s">
        <v>2367</v>
      </c>
      <c r="E96" s="461" t="s">
        <v>2467</v>
      </c>
      <c r="F96" s="463">
        <f>-'kontrola LD'!G345-'kontrola LD'!G410</f>
        <v>11618</v>
      </c>
      <c r="G96" s="463">
        <f>-'kontrola LD'!H345-'kontrola LD'!H410</f>
        <v>0</v>
      </c>
      <c r="H96" s="464"/>
      <c r="I96" s="464"/>
    </row>
    <row r="97" spans="1:9" s="475" customFormat="1" ht="11.25" customHeight="1" x14ac:dyDescent="0.2">
      <c r="A97" s="29"/>
      <c r="B97" s="29"/>
      <c r="C97" s="29" t="s">
        <v>937</v>
      </c>
      <c r="D97" s="34" t="s">
        <v>2368</v>
      </c>
      <c r="E97" s="461" t="s">
        <v>1692</v>
      </c>
      <c r="F97" s="463">
        <f>-'kontrola LD'!G160</f>
        <v>0</v>
      </c>
      <c r="G97" s="463">
        <f>-'kontrola LD'!H160</f>
        <v>0</v>
      </c>
      <c r="H97" s="464"/>
      <c r="I97" s="464"/>
    </row>
    <row r="98" spans="1:9" s="475" customFormat="1" ht="11.25" customHeight="1" x14ac:dyDescent="0.2">
      <c r="A98" s="29"/>
      <c r="B98" s="29"/>
      <c r="C98" s="29" t="s">
        <v>938</v>
      </c>
      <c r="D98" s="34" t="s">
        <v>531</v>
      </c>
      <c r="E98" s="461" t="s">
        <v>2470</v>
      </c>
      <c r="F98" s="463">
        <f>-'kontrola LD'!G353</f>
        <v>0</v>
      </c>
      <c r="G98" s="463">
        <f>-'kontrola LD'!H353</f>
        <v>0</v>
      </c>
      <c r="H98" s="464"/>
      <c r="I98" s="464"/>
    </row>
    <row r="99" spans="1:9" s="475" customFormat="1" ht="11.25" customHeight="1" x14ac:dyDescent="0.2">
      <c r="A99" s="29"/>
      <c r="B99" s="29"/>
      <c r="C99" s="29"/>
      <c r="D99" s="521"/>
      <c r="E99" s="460"/>
      <c r="F99" s="464"/>
      <c r="G99" s="464"/>
      <c r="H99" s="464"/>
      <c r="I99" s="464"/>
    </row>
    <row r="100" spans="1:9" s="475" customFormat="1" ht="11.25" customHeight="1" x14ac:dyDescent="0.2">
      <c r="A100" s="24"/>
      <c r="B100" s="24" t="s">
        <v>949</v>
      </c>
      <c r="C100" s="24"/>
      <c r="D100" s="37" t="s">
        <v>2657</v>
      </c>
      <c r="E100" s="541" t="s">
        <v>1696</v>
      </c>
      <c r="F100" s="542">
        <f>F101+F102+F103+F104+F105+F106</f>
        <v>0</v>
      </c>
      <c r="G100" s="542">
        <f>G101+G102+G103+G104+G105+G106</f>
        <v>0</v>
      </c>
      <c r="H100" s="467"/>
      <c r="I100" s="467"/>
    </row>
    <row r="101" spans="1:9" s="475" customFormat="1" ht="11.25" customHeight="1" x14ac:dyDescent="0.2">
      <c r="A101" s="29"/>
      <c r="B101" s="29"/>
      <c r="C101" s="29" t="s">
        <v>935</v>
      </c>
      <c r="D101" s="34" t="s">
        <v>2369</v>
      </c>
      <c r="E101" s="461" t="s">
        <v>1698</v>
      </c>
      <c r="F101" s="463">
        <f>-'kontrola LD'!G346</f>
        <v>0</v>
      </c>
      <c r="G101" s="463">
        <f>-'kontrola LD'!H346</f>
        <v>0</v>
      </c>
      <c r="H101" s="464"/>
      <c r="I101" s="464"/>
    </row>
    <row r="102" spans="1:9" s="475" customFormat="1" ht="11.25" customHeight="1" x14ac:dyDescent="0.2">
      <c r="A102" s="29"/>
      <c r="B102" s="29"/>
      <c r="C102" s="29" t="s">
        <v>937</v>
      </c>
      <c r="D102" s="34" t="s">
        <v>2121</v>
      </c>
      <c r="E102" s="461" t="s">
        <v>1719</v>
      </c>
      <c r="F102" s="463">
        <f>-'kontrola LD'!G347</f>
        <v>0</v>
      </c>
      <c r="G102" s="463">
        <f>-'kontrola LD'!H347</f>
        <v>0</v>
      </c>
      <c r="H102" s="464"/>
      <c r="I102" s="464"/>
    </row>
    <row r="103" spans="1:9" s="475" customFormat="1" ht="11.25" customHeight="1" x14ac:dyDescent="0.2">
      <c r="A103" s="29"/>
      <c r="B103" s="29"/>
      <c r="C103" s="29" t="s">
        <v>938</v>
      </c>
      <c r="D103" s="34" t="s">
        <v>30</v>
      </c>
      <c r="E103" s="461" t="s">
        <v>1721</v>
      </c>
      <c r="F103" s="463">
        <f>-'kontrola LD'!G351-'kontrola LD'!G352</f>
        <v>0</v>
      </c>
      <c r="G103" s="463">
        <f>-'kontrola LD'!H351-'kontrola LD'!H352</f>
        <v>0</v>
      </c>
      <c r="H103" s="464"/>
      <c r="I103" s="464"/>
    </row>
    <row r="104" spans="1:9" s="475" customFormat="1" ht="11.25" customHeight="1" x14ac:dyDescent="0.2">
      <c r="A104" s="29"/>
      <c r="B104" s="29"/>
      <c r="C104" s="29" t="s">
        <v>432</v>
      </c>
      <c r="D104" s="34" t="s">
        <v>2122</v>
      </c>
      <c r="E104" s="461" t="s">
        <v>729</v>
      </c>
      <c r="F104" s="463">
        <f>-'kontrola LD'!G348</f>
        <v>0</v>
      </c>
      <c r="G104" s="463">
        <f>-'kontrola LD'!H348</f>
        <v>0</v>
      </c>
      <c r="H104" s="464"/>
      <c r="I104" s="464"/>
    </row>
    <row r="105" spans="1:9" s="475" customFormat="1" ht="11.25" customHeight="1" x14ac:dyDescent="0.2">
      <c r="A105" s="29"/>
      <c r="B105" s="29"/>
      <c r="C105" s="29" t="s">
        <v>1089</v>
      </c>
      <c r="D105" s="34" t="s">
        <v>2123</v>
      </c>
      <c r="E105" s="461" t="s">
        <v>730</v>
      </c>
      <c r="F105" s="463">
        <f>-'kontrola LD'!G349</f>
        <v>0</v>
      </c>
      <c r="G105" s="463">
        <f>-'kontrola LD'!H349</f>
        <v>0</v>
      </c>
      <c r="H105" s="464"/>
      <c r="I105" s="464"/>
    </row>
    <row r="106" spans="1:9" s="475" customFormat="1" ht="11.25" customHeight="1" x14ac:dyDescent="0.2">
      <c r="A106" s="29"/>
      <c r="B106" s="29"/>
      <c r="C106" s="29" t="s">
        <v>939</v>
      </c>
      <c r="D106" s="87" t="s">
        <v>538</v>
      </c>
      <c r="E106" s="461" t="s">
        <v>731</v>
      </c>
      <c r="F106" s="463">
        <f>-'kontrola LD'!G350</f>
        <v>0</v>
      </c>
      <c r="G106" s="463">
        <f>-'kontrola LD'!H350</f>
        <v>0</v>
      </c>
      <c r="H106" s="464"/>
      <c r="I106" s="464"/>
    </row>
    <row r="107" spans="1:9" s="475" customFormat="1" ht="11.25" customHeight="1" x14ac:dyDescent="0.2">
      <c r="A107" s="29"/>
      <c r="B107" s="29"/>
      <c r="C107" s="29"/>
      <c r="D107" s="522"/>
      <c r="E107" s="460"/>
      <c r="F107" s="464"/>
      <c r="G107" s="464"/>
      <c r="H107" s="464"/>
      <c r="I107" s="464"/>
    </row>
    <row r="108" spans="1:9" s="475" customFormat="1" ht="11.25" customHeight="1" x14ac:dyDescent="0.2">
      <c r="A108" s="24"/>
      <c r="B108" s="24" t="s">
        <v>1749</v>
      </c>
      <c r="C108" s="24"/>
      <c r="D108" s="36" t="s">
        <v>2658</v>
      </c>
      <c r="E108" s="541" t="s">
        <v>1724</v>
      </c>
      <c r="F108" s="542">
        <f>F109+F110+F111</f>
        <v>0</v>
      </c>
      <c r="G108" s="542">
        <f>G109+G110+G111</f>
        <v>0</v>
      </c>
      <c r="H108" s="467"/>
      <c r="I108" s="467"/>
    </row>
    <row r="109" spans="1:9" s="475" customFormat="1" ht="11.25" customHeight="1" x14ac:dyDescent="0.2">
      <c r="A109" s="29"/>
      <c r="B109" s="29"/>
      <c r="C109" s="29" t="s">
        <v>935</v>
      </c>
      <c r="D109" s="34" t="s">
        <v>2124</v>
      </c>
      <c r="E109" s="461" t="s">
        <v>1725</v>
      </c>
      <c r="F109" s="463">
        <f>-'kontrola LD'!G356</f>
        <v>0</v>
      </c>
      <c r="G109" s="463">
        <f>-'kontrola LD'!H356</f>
        <v>0</v>
      </c>
      <c r="H109" s="464"/>
      <c r="I109" s="464"/>
    </row>
    <row r="110" spans="1:9" s="475" customFormat="1" ht="11.25" customHeight="1" x14ac:dyDescent="0.2">
      <c r="A110" s="29"/>
      <c r="B110" s="29"/>
      <c r="C110" s="29" t="s">
        <v>937</v>
      </c>
      <c r="D110" s="34" t="s">
        <v>2125</v>
      </c>
      <c r="E110" s="461" t="s">
        <v>732</v>
      </c>
      <c r="F110" s="463">
        <f>-'kontrola LD'!G357</f>
        <v>0</v>
      </c>
      <c r="G110" s="463">
        <f>-'kontrola LD'!H357</f>
        <v>0</v>
      </c>
      <c r="H110" s="464"/>
      <c r="I110" s="464"/>
    </row>
    <row r="111" spans="1:9" s="475" customFormat="1" ht="11.25" customHeight="1" x14ac:dyDescent="0.2">
      <c r="A111" s="29"/>
      <c r="B111" s="29"/>
      <c r="C111" s="29" t="s">
        <v>938</v>
      </c>
      <c r="D111" s="34" t="s">
        <v>2126</v>
      </c>
      <c r="E111" s="461" t="s">
        <v>1729</v>
      </c>
      <c r="F111" s="463">
        <f>-'kontrola LD'!G358-'kontrola LD'!G359</f>
        <v>0</v>
      </c>
      <c r="G111" s="463">
        <f>-'kontrola LD'!H358-'kontrola LD'!H359</f>
        <v>0</v>
      </c>
      <c r="H111" s="464"/>
      <c r="I111" s="464"/>
    </row>
    <row r="112" spans="1:9" s="475" customFormat="1" ht="11.25" customHeight="1" x14ac:dyDescent="0.2">
      <c r="A112" s="29"/>
      <c r="B112" s="29"/>
      <c r="C112" s="29"/>
      <c r="D112" s="521"/>
      <c r="E112" s="460"/>
      <c r="F112" s="464"/>
      <c r="G112" s="464"/>
      <c r="H112" s="464"/>
      <c r="I112" s="464"/>
    </row>
    <row r="113" spans="1:9" s="475" customFormat="1" ht="11.25" customHeight="1" x14ac:dyDescent="0.2">
      <c r="A113" s="24"/>
      <c r="B113" s="24" t="s">
        <v>1750</v>
      </c>
      <c r="C113" s="24"/>
      <c r="D113" s="37" t="s">
        <v>1493</v>
      </c>
      <c r="E113" s="541" t="s">
        <v>1730</v>
      </c>
      <c r="F113" s="542">
        <f>F114+F115</f>
        <v>-9769.3700000000008</v>
      </c>
      <c r="G113" s="542">
        <f>G114+G115</f>
        <v>0</v>
      </c>
      <c r="H113" s="467"/>
      <c r="I113" s="467"/>
    </row>
    <row r="114" spans="1:9" s="475" customFormat="1" ht="11.25" customHeight="1" x14ac:dyDescent="0.2">
      <c r="A114" s="29"/>
      <c r="B114" s="29"/>
      <c r="C114" s="29" t="s">
        <v>935</v>
      </c>
      <c r="D114" s="34" t="s">
        <v>2127</v>
      </c>
      <c r="E114" s="461" t="s">
        <v>1731</v>
      </c>
      <c r="F114" s="463">
        <f>-'kontrola LD'!G360</f>
        <v>0</v>
      </c>
      <c r="G114" s="463">
        <f>-'kontrola LD'!H360</f>
        <v>0</v>
      </c>
      <c r="H114" s="464"/>
      <c r="I114" s="464"/>
    </row>
    <row r="115" spans="1:9" s="475" customFormat="1" ht="11.25" customHeight="1" x14ac:dyDescent="0.2">
      <c r="A115" s="29"/>
      <c r="B115" s="29"/>
      <c r="C115" s="29" t="s">
        <v>937</v>
      </c>
      <c r="D115" s="33" t="s">
        <v>2128</v>
      </c>
      <c r="E115" s="461" t="s">
        <v>1732</v>
      </c>
      <c r="F115" s="463">
        <f>-'kontrola LD'!G361</f>
        <v>-9769.3700000000008</v>
      </c>
      <c r="G115" s="463">
        <f>-'kontrola LD'!H361</f>
        <v>0</v>
      </c>
      <c r="H115" s="464"/>
      <c r="I115" s="464"/>
    </row>
    <row r="116" spans="1:9" s="475" customFormat="1" ht="11.25" customHeight="1" x14ac:dyDescent="0.2">
      <c r="A116" s="29"/>
      <c r="B116" s="29"/>
      <c r="C116" s="29"/>
      <c r="D116" s="521"/>
      <c r="E116" s="460"/>
      <c r="F116" s="464"/>
      <c r="G116" s="464"/>
      <c r="H116" s="464"/>
      <c r="I116" s="464"/>
    </row>
    <row r="117" spans="1:9" s="475" customFormat="1" ht="20.399999999999999" x14ac:dyDescent="0.2">
      <c r="A117" s="24"/>
      <c r="B117" s="24" t="s">
        <v>1751</v>
      </c>
      <c r="C117" s="24"/>
      <c r="D117" s="520" t="s">
        <v>33</v>
      </c>
      <c r="E117" s="541" t="s">
        <v>1733</v>
      </c>
      <c r="F117" s="542">
        <f>H8-F95-F100-F108-F113-F119-F154</f>
        <v>-1388.659999999998</v>
      </c>
      <c r="G117" s="542" t="e">
        <f>I8-G95-G100-G108-G113-G119-G154</f>
        <v>#REF!</v>
      </c>
      <c r="H117" s="467"/>
      <c r="I117" s="467"/>
    </row>
    <row r="118" spans="1:9" s="475" customFormat="1" ht="11.25" customHeight="1" x14ac:dyDescent="0.2">
      <c r="A118" s="24"/>
      <c r="B118" s="24"/>
      <c r="C118" s="24"/>
      <c r="D118" s="521"/>
      <c r="E118" s="465"/>
      <c r="F118" s="467"/>
      <c r="G118" s="467"/>
      <c r="H118" s="467"/>
      <c r="I118" s="467"/>
    </row>
    <row r="119" spans="1:9" s="475" customFormat="1" ht="11.25" customHeight="1" x14ac:dyDescent="0.2">
      <c r="A119" s="24" t="s">
        <v>933</v>
      </c>
      <c r="B119" s="24"/>
      <c r="C119" s="24"/>
      <c r="D119" s="36" t="s">
        <v>2129</v>
      </c>
      <c r="E119" s="541" t="s">
        <v>1736</v>
      </c>
      <c r="F119" s="542">
        <f>F121+F126+F138+F149</f>
        <v>8627.0399999999991</v>
      </c>
      <c r="G119" s="542">
        <f>G121+G126+G138+G149</f>
        <v>0</v>
      </c>
      <c r="H119" s="467"/>
      <c r="I119" s="467"/>
    </row>
    <row r="120" spans="1:9" s="475" customFormat="1" ht="11.25" customHeight="1" x14ac:dyDescent="0.2">
      <c r="A120" s="24"/>
      <c r="B120" s="24"/>
      <c r="C120" s="24"/>
      <c r="D120" s="521"/>
      <c r="E120" s="465"/>
      <c r="F120" s="467"/>
      <c r="G120" s="467"/>
      <c r="H120" s="467"/>
      <c r="I120" s="467"/>
    </row>
    <row r="121" spans="1:9" s="475" customFormat="1" ht="11.25" customHeight="1" x14ac:dyDescent="0.2">
      <c r="A121" s="24"/>
      <c r="B121" s="24" t="s">
        <v>942</v>
      </c>
      <c r="C121" s="24"/>
      <c r="D121" s="37" t="s">
        <v>1494</v>
      </c>
      <c r="E121" s="541" t="s">
        <v>1926</v>
      </c>
      <c r="F121" s="542">
        <f>F122+F123+F124</f>
        <v>0</v>
      </c>
      <c r="G121" s="542">
        <f>G122+G123+G124</f>
        <v>0</v>
      </c>
      <c r="H121" s="467"/>
      <c r="I121" s="467"/>
    </row>
    <row r="122" spans="1:9" s="475" customFormat="1" ht="11.25" customHeight="1" x14ac:dyDescent="0.2">
      <c r="A122" s="29"/>
      <c r="B122" s="29"/>
      <c r="C122" s="29" t="s">
        <v>935</v>
      </c>
      <c r="D122" s="34" t="s">
        <v>2130</v>
      </c>
      <c r="E122" s="461" t="s">
        <v>1738</v>
      </c>
      <c r="F122" s="463">
        <f>-'kontrola LD'!G367</f>
        <v>0</v>
      </c>
      <c r="G122" s="463">
        <f>-'kontrola LD'!H367</f>
        <v>0</v>
      </c>
      <c r="H122" s="464"/>
      <c r="I122" s="464"/>
    </row>
    <row r="123" spans="1:9" s="475" customFormat="1" ht="11.25" customHeight="1" x14ac:dyDescent="0.2">
      <c r="A123" s="29"/>
      <c r="B123" s="29"/>
      <c r="C123" s="29" t="s">
        <v>937</v>
      </c>
      <c r="D123" s="34" t="s">
        <v>1675</v>
      </c>
      <c r="E123" s="461" t="s">
        <v>1198</v>
      </c>
      <c r="F123" s="463">
        <f>-'kontrola LD'!G370</f>
        <v>0</v>
      </c>
      <c r="G123" s="463">
        <f>-'kontrola LD'!H370</f>
        <v>0</v>
      </c>
      <c r="H123" s="464"/>
      <c r="I123" s="464"/>
    </row>
    <row r="124" spans="1:9" s="475" customFormat="1" ht="11.25" customHeight="1" x14ac:dyDescent="0.2">
      <c r="A124" s="29"/>
      <c r="B124" s="29"/>
      <c r="C124" s="29" t="s">
        <v>938</v>
      </c>
      <c r="D124" s="34" t="s">
        <v>1676</v>
      </c>
      <c r="E124" s="461" t="s">
        <v>2052</v>
      </c>
      <c r="F124" s="463">
        <f>-'kontrola LD'!G208</f>
        <v>0</v>
      </c>
      <c r="G124" s="463">
        <f>-'kontrola LD'!H209</f>
        <v>0</v>
      </c>
      <c r="H124" s="464"/>
      <c r="I124" s="464"/>
    </row>
    <row r="125" spans="1:9" s="475" customFormat="1" ht="11.25" customHeight="1" x14ac:dyDescent="0.2">
      <c r="A125" s="29"/>
      <c r="B125" s="29"/>
      <c r="C125" s="29"/>
      <c r="D125" s="521"/>
      <c r="E125" s="460"/>
      <c r="F125" s="464"/>
      <c r="G125" s="464"/>
      <c r="H125" s="464"/>
      <c r="I125" s="464"/>
    </row>
    <row r="126" spans="1:9" s="475" customFormat="1" ht="11.25" customHeight="1" x14ac:dyDescent="0.2">
      <c r="A126" s="24"/>
      <c r="B126" s="24" t="s">
        <v>943</v>
      </c>
      <c r="C126" s="24"/>
      <c r="D126" s="37" t="s">
        <v>1029</v>
      </c>
      <c r="E126" s="541" t="s">
        <v>1542</v>
      </c>
      <c r="F126" s="542">
        <f>F127+F128+F129+F130+F131+F132+F133+F134+F135+F136</f>
        <v>0</v>
      </c>
      <c r="G126" s="542">
        <f>G127+G128+G129+G130+G131+G132+G133+G134+G135+G136</f>
        <v>0</v>
      </c>
      <c r="H126" s="467"/>
      <c r="I126" s="467"/>
    </row>
    <row r="127" spans="1:9" s="475" customFormat="1" ht="11.25" customHeight="1" x14ac:dyDescent="0.2">
      <c r="A127" s="29"/>
      <c r="B127" s="29"/>
      <c r="C127" s="29" t="s">
        <v>935</v>
      </c>
      <c r="D127" s="34" t="s">
        <v>1603</v>
      </c>
      <c r="E127" s="461" t="s">
        <v>1300</v>
      </c>
      <c r="F127" s="463">
        <f>-'kontrola LD'!G402</f>
        <v>0</v>
      </c>
      <c r="G127" s="463">
        <f>-'kontrola LD'!H402</f>
        <v>0</v>
      </c>
      <c r="H127" s="464"/>
      <c r="I127" s="464"/>
    </row>
    <row r="128" spans="1:9" s="475" customFormat="1" ht="11.25" customHeight="1" x14ac:dyDescent="0.2">
      <c r="A128" s="29"/>
      <c r="B128" s="29"/>
      <c r="C128" s="29" t="s">
        <v>937</v>
      </c>
      <c r="D128" s="34" t="s">
        <v>2589</v>
      </c>
      <c r="E128" s="461" t="s">
        <v>2375</v>
      </c>
      <c r="F128" s="463">
        <f>-'kontrola LD'!G393</f>
        <v>0</v>
      </c>
      <c r="G128" s="463">
        <f>-'kontrola LD'!H393</f>
        <v>0</v>
      </c>
      <c r="H128" s="464"/>
      <c r="I128" s="464"/>
    </row>
    <row r="129" spans="1:9" s="475" customFormat="1" ht="11.25" customHeight="1" x14ac:dyDescent="0.2">
      <c r="A129" s="29"/>
      <c r="B129" s="29"/>
      <c r="C129" s="29" t="s">
        <v>938</v>
      </c>
      <c r="D129" s="34" t="s">
        <v>37</v>
      </c>
      <c r="E129" s="461" t="s">
        <v>2377</v>
      </c>
      <c r="F129" s="463">
        <f>-'kontrola LD'!G381</f>
        <v>0</v>
      </c>
      <c r="G129" s="463">
        <f>-'kontrola LD'!H381</f>
        <v>0</v>
      </c>
      <c r="H129" s="464"/>
      <c r="I129" s="464"/>
    </row>
    <row r="130" spans="1:9" s="475" customFormat="1" ht="11.25" customHeight="1" x14ac:dyDescent="0.2">
      <c r="A130" s="29"/>
      <c r="B130" s="29"/>
      <c r="C130" s="29" t="s">
        <v>432</v>
      </c>
      <c r="D130" s="33" t="s">
        <v>2535</v>
      </c>
      <c r="E130" s="461" t="s">
        <v>2379</v>
      </c>
      <c r="F130" s="463">
        <f>-'kontrola LD'!G382</f>
        <v>0</v>
      </c>
      <c r="G130" s="463">
        <f>-'kontrola LD'!H382</f>
        <v>0</v>
      </c>
      <c r="H130" s="464"/>
      <c r="I130" s="464"/>
    </row>
    <row r="131" spans="1:9" s="475" customFormat="1" ht="11.25" customHeight="1" x14ac:dyDescent="0.2">
      <c r="A131" s="29"/>
      <c r="B131" s="29"/>
      <c r="C131" s="29" t="s">
        <v>1089</v>
      </c>
      <c r="D131" s="34" t="s">
        <v>537</v>
      </c>
      <c r="E131" s="461" t="s">
        <v>808</v>
      </c>
      <c r="F131" s="463">
        <f>-'kontrola LD'!G392</f>
        <v>0</v>
      </c>
      <c r="G131" s="463">
        <f>-'kontrola LD'!H392</f>
        <v>0</v>
      </c>
      <c r="H131" s="464"/>
      <c r="I131" s="464"/>
    </row>
    <row r="132" spans="1:9" s="475" customFormat="1" ht="11.25" customHeight="1" x14ac:dyDescent="0.2">
      <c r="A132" s="29"/>
      <c r="B132" s="29"/>
      <c r="C132" s="29" t="s">
        <v>939</v>
      </c>
      <c r="D132" s="33" t="s">
        <v>1928</v>
      </c>
      <c r="E132" s="461" t="s">
        <v>41</v>
      </c>
      <c r="F132" s="463">
        <f>-'kontrola LD'!G396</f>
        <v>0</v>
      </c>
      <c r="G132" s="463">
        <f>-'kontrola LD'!H396</f>
        <v>0</v>
      </c>
      <c r="H132" s="464"/>
      <c r="I132" s="464"/>
    </row>
    <row r="133" spans="1:9" s="475" customFormat="1" ht="11.25" customHeight="1" x14ac:dyDescent="0.2">
      <c r="A133" s="29"/>
      <c r="B133" s="29"/>
      <c r="C133" s="29" t="s">
        <v>940</v>
      </c>
      <c r="D133" s="34" t="s">
        <v>1927</v>
      </c>
      <c r="E133" s="461" t="s">
        <v>1499</v>
      </c>
      <c r="F133" s="463">
        <f>-'kontrola LD'!G386-'kontrola LD'!G165</f>
        <v>0</v>
      </c>
      <c r="G133" s="463">
        <f>-'kontrola LD'!H386-'kontrola LD'!H165</f>
        <v>0</v>
      </c>
      <c r="H133" s="464"/>
      <c r="I133" s="464"/>
    </row>
    <row r="134" spans="1:9" s="475" customFormat="1" ht="11.25" customHeight="1" x14ac:dyDescent="0.2">
      <c r="A134" s="29"/>
      <c r="B134" s="29"/>
      <c r="C134" s="29" t="s">
        <v>936</v>
      </c>
      <c r="D134" s="34" t="s">
        <v>1929</v>
      </c>
      <c r="E134" s="461" t="s">
        <v>274</v>
      </c>
      <c r="F134" s="463">
        <f>-'kontrola LD'!G383</f>
        <v>0</v>
      </c>
      <c r="G134" s="463">
        <f>-'kontrola LD'!H383</f>
        <v>0</v>
      </c>
      <c r="H134" s="464"/>
      <c r="I134" s="464"/>
    </row>
    <row r="135" spans="1:9" s="475" customFormat="1" ht="11.25" customHeight="1" x14ac:dyDescent="0.2">
      <c r="A135" s="29"/>
      <c r="B135" s="29"/>
      <c r="C135" s="29" t="s">
        <v>941</v>
      </c>
      <c r="D135" s="34" t="s">
        <v>1930</v>
      </c>
      <c r="E135" s="461" t="s">
        <v>276</v>
      </c>
      <c r="F135" s="463">
        <f>-'kontrola LD'!G278-'kontrola LD'!G295-'kontrola LD'!G283-'kontrola LD'!G303-'kontrola LD'!G389</f>
        <v>0</v>
      </c>
      <c r="G135" s="463">
        <f>-'kontrola LD'!H278-'kontrola LD'!H295-'kontrola LD'!H283-'kontrola LD'!H303-'kontrola LD'!H389</f>
        <v>0</v>
      </c>
      <c r="H135" s="464"/>
      <c r="I135" s="464"/>
    </row>
    <row r="136" spans="1:9" s="475" customFormat="1" ht="11.25" customHeight="1" x14ac:dyDescent="0.2">
      <c r="A136" s="29"/>
      <c r="B136" s="29"/>
      <c r="C136" s="29" t="s">
        <v>259</v>
      </c>
      <c r="D136" s="33" t="s">
        <v>1931</v>
      </c>
      <c r="E136" s="461" t="s">
        <v>278</v>
      </c>
      <c r="F136" s="463">
        <f>-'kontrola LD'!G406</f>
        <v>0</v>
      </c>
      <c r="G136" s="463">
        <f>-'kontrola LD'!H406</f>
        <v>0</v>
      </c>
      <c r="H136" s="464"/>
      <c r="I136" s="464"/>
    </row>
    <row r="137" spans="1:9" s="475" customFormat="1" ht="11.25" customHeight="1" x14ac:dyDescent="0.2">
      <c r="A137" s="29"/>
      <c r="B137" s="29"/>
      <c r="C137" s="29"/>
      <c r="D137" s="521"/>
      <c r="E137" s="460"/>
      <c r="F137" s="464"/>
      <c r="G137" s="464"/>
      <c r="H137" s="464"/>
      <c r="I137" s="464"/>
    </row>
    <row r="138" spans="1:9" s="475" customFormat="1" ht="11.25" customHeight="1" x14ac:dyDescent="0.2">
      <c r="A138" s="24"/>
      <c r="B138" s="24" t="s">
        <v>279</v>
      </c>
      <c r="C138" s="24"/>
      <c r="D138" s="37" t="s">
        <v>1030</v>
      </c>
      <c r="E138" s="541" t="s">
        <v>2411</v>
      </c>
      <c r="F138" s="542">
        <f>F139+F140+F141+F142+F143+F144+F145+F146+F147</f>
        <v>8627.0399999999991</v>
      </c>
      <c r="G138" s="542">
        <f>G139+G140+G141+G142+G143+G144+G145+G146+G147</f>
        <v>0</v>
      </c>
      <c r="H138" s="467"/>
      <c r="I138" s="467"/>
    </row>
    <row r="139" spans="1:9" s="475" customFormat="1" ht="11.25" customHeight="1" x14ac:dyDescent="0.2">
      <c r="A139" s="29"/>
      <c r="B139" s="29"/>
      <c r="C139" s="29" t="s">
        <v>935</v>
      </c>
      <c r="D139" s="34" t="s">
        <v>2590</v>
      </c>
      <c r="E139" s="461" t="s">
        <v>2412</v>
      </c>
      <c r="F139" s="463">
        <f>-'kontrola LD'!G206-'kontrola LD'!G207-'kontrola LD'!G211-'kontrola LD'!G212-'kontrola LD'!G391-'kontrola LD'!G395-'kontrola LD'!G399</f>
        <v>29.839999999999918</v>
      </c>
      <c r="G139" s="463">
        <f>-'kontrola LD'!H206-'kontrola LD'!H207-'kontrola LD'!H211-'kontrola LD'!H212-'kontrola LD'!H391-'kontrola LD'!H395-'kontrola LD'!H399</f>
        <v>0</v>
      </c>
      <c r="H139" s="464"/>
      <c r="I139" s="464"/>
    </row>
    <row r="140" spans="1:9" s="475" customFormat="1" ht="11.25" customHeight="1" x14ac:dyDescent="0.2">
      <c r="A140" s="29"/>
      <c r="B140" s="29"/>
      <c r="C140" s="29" t="s">
        <v>937</v>
      </c>
      <c r="D140" s="33" t="s">
        <v>2117</v>
      </c>
      <c r="E140" s="461" t="s">
        <v>2413</v>
      </c>
      <c r="F140" s="463">
        <f>-'kontrola LD'!G213</f>
        <v>0</v>
      </c>
      <c r="G140" s="463">
        <f>-'kontrola LD'!H213</f>
        <v>0</v>
      </c>
      <c r="H140" s="464"/>
      <c r="I140" s="464"/>
    </row>
    <row r="141" spans="1:9" s="475" customFormat="1" ht="11.25" customHeight="1" x14ac:dyDescent="0.2">
      <c r="A141" s="29"/>
      <c r="B141" s="29"/>
      <c r="C141" s="29" t="s">
        <v>938</v>
      </c>
      <c r="D141" s="521" t="s">
        <v>36</v>
      </c>
      <c r="E141" s="461" t="s">
        <v>281</v>
      </c>
      <c r="F141" s="463">
        <f>-'kontrola LD'!G264-'kontrola LD'!G379</f>
        <v>0</v>
      </c>
      <c r="G141" s="463">
        <f>-'kontrola LD'!H264-'kontrola LD'!H379</f>
        <v>0</v>
      </c>
      <c r="H141" s="464"/>
      <c r="I141" s="464"/>
    </row>
    <row r="142" spans="1:9" s="475" customFormat="1" ht="11.25" customHeight="1" x14ac:dyDescent="0.2">
      <c r="A142" s="29"/>
      <c r="B142" s="29"/>
      <c r="C142" s="29" t="s">
        <v>432</v>
      </c>
      <c r="D142" s="521" t="s">
        <v>2534</v>
      </c>
      <c r="E142" s="461" t="s">
        <v>989</v>
      </c>
      <c r="F142" s="463">
        <f>-'kontrola LD'!G265-'kontrola LD'!G380</f>
        <v>0</v>
      </c>
      <c r="G142" s="463">
        <f>-'kontrola LD'!H265-'kontrola LD'!H380</f>
        <v>0</v>
      </c>
      <c r="H142" s="464"/>
      <c r="I142" s="464"/>
    </row>
    <row r="143" spans="1:9" s="475" customFormat="1" ht="11.25" customHeight="1" x14ac:dyDescent="0.2">
      <c r="A143" s="29"/>
      <c r="B143" s="29"/>
      <c r="C143" s="29" t="s">
        <v>1089</v>
      </c>
      <c r="D143" s="34" t="s">
        <v>1932</v>
      </c>
      <c r="E143" s="461" t="s">
        <v>2414</v>
      </c>
      <c r="F143" s="463">
        <f>-'kontrola LD'!G266-'kontrola LD'!G267-'kontrola LD'!G268-'kontrola LD'!G269-'kontrola LD'!G270-'kontrola LD'!G340-'kontrola LD'!G397-'kontrola LD'!G400</f>
        <v>1790</v>
      </c>
      <c r="G143" s="463">
        <f>-'kontrola LD'!H266-'kontrola LD'!H267-'kontrola LD'!H268-'kontrola LD'!H269-'kontrola LD'!H270-'kontrola LD'!H340-'kontrola LD'!H397-'kontrola LD'!H400</f>
        <v>0</v>
      </c>
      <c r="H143" s="464"/>
      <c r="I143" s="464"/>
    </row>
    <row r="144" spans="1:9" s="475" customFormat="1" ht="11.25" customHeight="1" x14ac:dyDescent="0.2">
      <c r="A144" s="29"/>
      <c r="B144" s="29"/>
      <c r="C144" s="29" t="s">
        <v>939</v>
      </c>
      <c r="D144" s="33" t="s">
        <v>532</v>
      </c>
      <c r="E144" s="461" t="s">
        <v>2415</v>
      </c>
      <c r="F144" s="463">
        <f>-'kontrola LD'!G216-'kontrola LD'!G217</f>
        <v>0</v>
      </c>
      <c r="G144" s="463">
        <f>-'kontrola LD'!H216-'kontrola LD'!H217</f>
        <v>0</v>
      </c>
      <c r="H144" s="464"/>
      <c r="I144" s="464"/>
    </row>
    <row r="145" spans="1:9" s="475" customFormat="1" ht="11.25" customHeight="1" x14ac:dyDescent="0.2">
      <c r="A145" s="29"/>
      <c r="B145" s="29"/>
      <c r="C145" s="29" t="s">
        <v>940</v>
      </c>
      <c r="D145" s="34" t="s">
        <v>35</v>
      </c>
      <c r="E145" s="461" t="s">
        <v>2416</v>
      </c>
      <c r="F145" s="463">
        <f>-'kontrola LD'!G223</f>
        <v>0</v>
      </c>
      <c r="G145" s="463">
        <f>-'kontrola LD'!H223</f>
        <v>0</v>
      </c>
      <c r="H145" s="464"/>
      <c r="I145" s="464"/>
    </row>
    <row r="146" spans="1:9" s="475" customFormat="1" ht="11.25" customHeight="1" x14ac:dyDescent="0.2">
      <c r="A146" s="29"/>
      <c r="B146" s="29"/>
      <c r="C146" s="29" t="s">
        <v>936</v>
      </c>
      <c r="D146" s="33" t="s">
        <v>182</v>
      </c>
      <c r="E146" s="461" t="s">
        <v>2417</v>
      </c>
      <c r="F146" s="463">
        <f>-'kontrola LD'!G228-'kontrola LD'!G231-'kontrola LD'!G234-'kontrola LD'!G237-'kontrola LD'!G240-'kontrola LD'!G243</f>
        <v>6807.2</v>
      </c>
      <c r="G146" s="463">
        <f>-'kontrola LD'!H228-'kontrola LD'!H231-'kontrola LD'!H234-'kontrola LD'!H237-'kontrola LD'!H240-'kontrola LD'!H243</f>
        <v>0</v>
      </c>
      <c r="H146" s="464"/>
      <c r="I146" s="464"/>
    </row>
    <row r="147" spans="1:9" s="475" customFormat="1" ht="11.25" customHeight="1" x14ac:dyDescent="0.2">
      <c r="A147" s="29"/>
      <c r="B147" s="29"/>
      <c r="C147" s="29" t="s">
        <v>941</v>
      </c>
      <c r="D147" s="34" t="s">
        <v>2219</v>
      </c>
      <c r="E147" s="461" t="s">
        <v>993</v>
      </c>
      <c r="F147" s="463">
        <f>-'kontrola LD'!G277-'kontrola LD'!G282-'kontrola LD'!G294-'kontrola LD'!G388-'kontrola LD'!G401-'kontrola LD'!G302</f>
        <v>0</v>
      </c>
      <c r="G147" s="463">
        <f>-'kontrola LD'!H277-'kontrola LD'!H282-'kontrola LD'!H294-'kontrola LD'!H388-'kontrola LD'!H401-'kontrola LD'!H302</f>
        <v>0</v>
      </c>
      <c r="H147" s="464"/>
      <c r="I147" s="464"/>
    </row>
    <row r="148" spans="1:9" s="475" customFormat="1" ht="11.25" customHeight="1" x14ac:dyDescent="0.2">
      <c r="A148" s="29"/>
      <c r="B148" s="29"/>
      <c r="C148" s="29"/>
      <c r="D148" s="521"/>
      <c r="E148" s="460"/>
      <c r="F148" s="464"/>
      <c r="G148" s="464"/>
      <c r="H148" s="464"/>
      <c r="I148" s="464"/>
    </row>
    <row r="149" spans="1:9" s="475" customFormat="1" ht="11.25" customHeight="1" x14ac:dyDescent="0.2">
      <c r="A149" s="24"/>
      <c r="B149" s="24" t="s">
        <v>1752</v>
      </c>
      <c r="C149" s="24"/>
      <c r="D149" s="37" t="s">
        <v>1031</v>
      </c>
      <c r="E149" s="541" t="s">
        <v>994</v>
      </c>
      <c r="F149" s="542">
        <f>F150+F151+F152</f>
        <v>0</v>
      </c>
      <c r="G149" s="542">
        <f>G150+G151+G152</f>
        <v>0</v>
      </c>
      <c r="H149" s="467"/>
      <c r="I149" s="467"/>
    </row>
    <row r="150" spans="1:9" s="475" customFormat="1" ht="11.25" customHeight="1" x14ac:dyDescent="0.2">
      <c r="A150" s="29"/>
      <c r="B150" s="29"/>
      <c r="C150" s="29" t="s">
        <v>935</v>
      </c>
      <c r="D150" s="34" t="s">
        <v>183</v>
      </c>
      <c r="E150" s="461" t="s">
        <v>996</v>
      </c>
      <c r="F150" s="463">
        <f>-'kontrola LD'!G375</f>
        <v>0</v>
      </c>
      <c r="G150" s="463">
        <f>-'kontrola LD'!H375</f>
        <v>0</v>
      </c>
      <c r="H150" s="464"/>
      <c r="I150" s="464"/>
    </row>
    <row r="151" spans="1:9" s="475" customFormat="1" ht="11.25" customHeight="1" x14ac:dyDescent="0.2">
      <c r="A151" s="29"/>
      <c r="B151" s="29"/>
      <c r="C151" s="29" t="s">
        <v>937</v>
      </c>
      <c r="D151" s="34" t="s">
        <v>34</v>
      </c>
      <c r="E151" s="461" t="s">
        <v>998</v>
      </c>
      <c r="F151" s="463">
        <f>-'kontrola LD'!G374-'kontrola LD'!G148-'kontrola LD'!G151-'kontrola LD'!G152</f>
        <v>0</v>
      </c>
      <c r="G151" s="463">
        <f>-'kontrola LD'!H374-'kontrola LD'!H148-'kontrola LD'!H151-'kontrola LD'!H152</f>
        <v>0</v>
      </c>
      <c r="H151" s="464"/>
      <c r="I151" s="464"/>
    </row>
    <row r="152" spans="1:9" s="475" customFormat="1" ht="11.25" customHeight="1" x14ac:dyDescent="0.2">
      <c r="A152" s="29"/>
      <c r="B152" s="29"/>
      <c r="C152" s="29" t="s">
        <v>938</v>
      </c>
      <c r="D152" s="34" t="s">
        <v>582</v>
      </c>
      <c r="E152" s="461" t="s">
        <v>1000</v>
      </c>
      <c r="F152" s="463">
        <f>-'kontrola LD'!G155-'kontrola LD'!G156-'kontrola LD'!G385-'kontrola LD'!G164</f>
        <v>0</v>
      </c>
      <c r="G152" s="463">
        <f>-'kontrola LD'!H155-'kontrola LD'!H156-'kontrola LD'!H385-'kontrola LD'!H164</f>
        <v>0</v>
      </c>
      <c r="H152" s="464"/>
      <c r="I152" s="464"/>
    </row>
    <row r="153" spans="1:9" s="475" customFormat="1" ht="11.25" customHeight="1" x14ac:dyDescent="0.2">
      <c r="A153" s="29"/>
      <c r="B153" s="29"/>
      <c r="C153" s="29"/>
      <c r="D153" s="521"/>
      <c r="E153" s="460"/>
      <c r="F153" s="464"/>
      <c r="G153" s="464"/>
      <c r="H153" s="464"/>
      <c r="I153" s="464"/>
    </row>
    <row r="154" spans="1:9" s="475" customFormat="1" ht="11.25" customHeight="1" x14ac:dyDescent="0.2">
      <c r="A154" s="24" t="s">
        <v>261</v>
      </c>
      <c r="B154" s="24"/>
      <c r="C154" s="24"/>
      <c r="D154" s="36" t="s">
        <v>1032</v>
      </c>
      <c r="E154" s="541" t="s">
        <v>1001</v>
      </c>
      <c r="F154" s="542">
        <f>F156+F157</f>
        <v>0</v>
      </c>
      <c r="G154" s="542">
        <f>G156+G157</f>
        <v>0</v>
      </c>
      <c r="H154" s="467"/>
      <c r="I154" s="467"/>
    </row>
    <row r="155" spans="1:9" s="475" customFormat="1" ht="11.25" customHeight="1" x14ac:dyDescent="0.2">
      <c r="A155" s="24"/>
      <c r="B155" s="24"/>
      <c r="C155" s="24"/>
      <c r="D155" s="521"/>
      <c r="E155" s="465"/>
      <c r="F155" s="467"/>
      <c r="G155" s="467"/>
      <c r="H155" s="467"/>
      <c r="I155" s="467"/>
    </row>
    <row r="156" spans="1:9" s="475" customFormat="1" ht="11.25" customHeight="1" x14ac:dyDescent="0.2">
      <c r="A156" s="29"/>
      <c r="B156" s="29"/>
      <c r="C156" s="29" t="s">
        <v>935</v>
      </c>
      <c r="D156" s="34" t="s">
        <v>583</v>
      </c>
      <c r="E156" s="461" t="s">
        <v>1002</v>
      </c>
      <c r="F156" s="463">
        <f>-'kontrola LD'!G312</f>
        <v>0</v>
      </c>
      <c r="G156" s="463">
        <f>-'kontrola LD'!H312</f>
        <v>0</v>
      </c>
      <c r="H156" s="464"/>
      <c r="I156" s="464"/>
    </row>
    <row r="157" spans="1:9" s="475" customFormat="1" ht="11.25" customHeight="1" x14ac:dyDescent="0.2">
      <c r="A157" s="29"/>
      <c r="B157" s="29"/>
      <c r="C157" s="29" t="s">
        <v>937</v>
      </c>
      <c r="D157" s="34" t="s">
        <v>584</v>
      </c>
      <c r="E157" s="461" t="s">
        <v>1003</v>
      </c>
      <c r="F157" s="463">
        <f>-'kontrola LD'!G315</f>
        <v>0</v>
      </c>
      <c r="G157" s="463">
        <f>-'kontrola LD'!H315</f>
        <v>0</v>
      </c>
      <c r="H157" s="464"/>
      <c r="I157" s="464"/>
    </row>
    <row r="158" spans="1:9" s="475" customFormat="1" ht="11.25" customHeight="1" x14ac:dyDescent="0.2">
      <c r="A158" s="29"/>
      <c r="B158" s="29"/>
      <c r="C158" s="29"/>
      <c r="D158" s="521"/>
      <c r="E158" s="460"/>
      <c r="F158" s="464"/>
      <c r="G158" s="464"/>
      <c r="H158" s="464"/>
      <c r="I158" s="464"/>
    </row>
    <row r="159" spans="1:9" s="475" customFormat="1" ht="11.25" customHeight="1" x14ac:dyDescent="0.2">
      <c r="A159" s="24"/>
      <c r="B159" s="24"/>
      <c r="C159" s="24"/>
      <c r="D159" s="36" t="s">
        <v>1495</v>
      </c>
      <c r="E159" s="541" t="s">
        <v>2466</v>
      </c>
      <c r="F159" s="542">
        <f>F91+F93+F95+F96+F97+F98+F100+F101+F102+F103+F104+F105+F106+F108+F109+F110+F111+F113+F114+F115+F117+F119+F121+F122+F123+F124+F126+F127+F128+F129+F130+F131+F132+F133+F134+F135+F136+F138+F139+F140+F141+F142+F143+F144+F145+F146+F147+F149+F150+F151+F152+F154+F156+F157</f>
        <v>37736.700000000004</v>
      </c>
      <c r="G159" s="542" t="e">
        <f>G91+G93+G95+G96+G97+G98+G100+G101+G102+G103+G104+G105+G106+G108+G109+G110+G111+G113+G114+G115+G117+G119+G121+G122+G123+G124+G126+G127+G128+G129+G130+G131+G132+G133+G134+G135+G136+G138+G139+G140+G141+G142+G143+G144+G145+G146+G147+G149+G150+G151+G152+G154+G156+G157</f>
        <v>#REF!</v>
      </c>
      <c r="H159" s="467"/>
      <c r="I159" s="467"/>
    </row>
    <row r="163" spans="4:9" x14ac:dyDescent="0.2">
      <c r="D163" s="505" t="s">
        <v>1563</v>
      </c>
      <c r="E163" s="526" t="e">
        <f>IF(AND(H164="OK",I164="OK",H165="OK",I165="OK"),"OK","ERROR")</f>
        <v>#REF!</v>
      </c>
      <c r="F163" s="506"/>
      <c r="G163" s="506"/>
    </row>
    <row r="164" spans="4:9" x14ac:dyDescent="0.2">
      <c r="D164" s="523" t="s">
        <v>1562</v>
      </c>
      <c r="E164" s="524"/>
      <c r="F164" s="525">
        <f>H8-F91</f>
        <v>0</v>
      </c>
      <c r="G164" s="525" t="e">
        <f>I8-G91</f>
        <v>#REF!</v>
      </c>
      <c r="H164" s="524" t="str">
        <f>IF(AND(F164&lt;0.1,F164&gt;-0.1),"OK","E")</f>
        <v>OK</v>
      </c>
      <c r="I164" s="524" t="e">
        <f>IF(AND(G164&lt;0.1,G164&gt;-0.1),"OK","E")</f>
        <v>#REF!</v>
      </c>
    </row>
    <row r="165" spans="4:9" x14ac:dyDescent="0.2">
      <c r="D165" s="523" t="s">
        <v>6</v>
      </c>
      <c r="E165" s="524"/>
      <c r="F165" s="525">
        <f>SUM('kontrola LD'!G415:G539)+F117</f>
        <v>1381.7700000000018</v>
      </c>
      <c r="G165" s="525" t="e">
        <f>SUM('kontrola LD'!H415:H539)+G117</f>
        <v>#REF!</v>
      </c>
      <c r="H165" s="524" t="str">
        <f>IF(AND(F165&lt;0.1,F165&gt;-0.1),"OK","E")</f>
        <v>E</v>
      </c>
      <c r="I165" s="524" t="e">
        <f>IF(AND(G165&lt;0.1,G165&gt;-0.1),"OK","E")</f>
        <v>#REF!</v>
      </c>
    </row>
  </sheetData>
  <sheetProtection selectLockedCells="1" selectUnlockedCells="1"/>
  <phoneticPr fontId="7" type="noConversion"/>
  <pageMargins left="0.25" right="0.23" top="0.5" bottom="0.32" header="0.5" footer="0.28000000000000003"/>
  <pageSetup paperSize="9" scale="77" orientation="portrait" r:id="rId1"/>
  <headerFooter alignWithMargins="0"/>
  <rowBreaks count="1" manualBreakCount="1">
    <brk id="8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indexed="34"/>
  </sheetPr>
  <dimension ref="A1:N86"/>
  <sheetViews>
    <sheetView workbookViewId="0"/>
  </sheetViews>
  <sheetFormatPr defaultColWidth="9.109375" defaultRowHeight="10.199999999999999" x14ac:dyDescent="0.2"/>
  <cols>
    <col min="1" max="1" width="2.44140625" style="32" customWidth="1"/>
    <col min="2" max="2" width="4.44140625" style="18" customWidth="1"/>
    <col min="3" max="3" width="3.109375" style="18" customWidth="1"/>
    <col min="4" max="4" width="4.5546875" style="18" customWidth="1"/>
    <col min="5" max="5" width="52.5546875" style="15" bestFit="1" customWidth="1"/>
    <col min="6" max="6" width="5.109375" style="456" customWidth="1"/>
    <col min="7" max="7" width="12.44140625" style="456" customWidth="1"/>
    <col min="8" max="8" width="11.6640625" style="456" bestFit="1" customWidth="1"/>
    <col min="9" max="16384" width="9.109375" style="456"/>
  </cols>
  <sheetData>
    <row r="1" spans="1:9" ht="17.399999999999999" x14ac:dyDescent="0.3">
      <c r="B1" s="13"/>
      <c r="C1" s="13"/>
      <c r="E1" s="78" t="s">
        <v>1560</v>
      </c>
    </row>
    <row r="2" spans="1:9" ht="15.6" x14ac:dyDescent="0.3">
      <c r="B2" s="13"/>
      <c r="C2" s="13"/>
      <c r="D2" s="13"/>
      <c r="E2" s="64" t="e">
        <f>'BS-SK format'!D2</f>
        <v>#REF!</v>
      </c>
    </row>
    <row r="3" spans="1:9" x14ac:dyDescent="0.2">
      <c r="A3" s="19"/>
      <c r="B3" s="13"/>
      <c r="C3" s="13"/>
      <c r="D3" s="13"/>
      <c r="E3" s="77" t="e">
        <f>'BS-SK format'!D3</f>
        <v>#REF!</v>
      </c>
    </row>
    <row r="4" spans="1:9" s="15" customFormat="1" x14ac:dyDescent="0.2">
      <c r="A4" s="32"/>
      <c r="B4" s="18"/>
      <c r="C4" s="18"/>
      <c r="D4" s="13"/>
      <c r="F4" s="457" t="s">
        <v>1590</v>
      </c>
      <c r="G4" s="458" t="s">
        <v>80</v>
      </c>
      <c r="H4" s="457" t="s">
        <v>81</v>
      </c>
    </row>
    <row r="5" spans="1:9" s="15" customFormat="1" x14ac:dyDescent="0.2">
      <c r="A5" s="32"/>
      <c r="B5" s="18"/>
      <c r="C5" s="18"/>
      <c r="D5" s="18"/>
      <c r="F5" s="457"/>
      <c r="G5" s="457" t="s">
        <v>17</v>
      </c>
      <c r="H5" s="457" t="s">
        <v>17</v>
      </c>
    </row>
    <row r="6" spans="1:9" x14ac:dyDescent="0.2">
      <c r="F6" s="459"/>
      <c r="G6" s="459"/>
      <c r="H6" s="459"/>
      <c r="I6" s="468"/>
    </row>
    <row r="7" spans="1:9" ht="11.25" customHeight="1" x14ac:dyDescent="0.2">
      <c r="A7" s="30"/>
      <c r="B7" s="29" t="s">
        <v>2155</v>
      </c>
      <c r="C7" s="29"/>
      <c r="E7" s="42" t="s">
        <v>2307</v>
      </c>
      <c r="F7" s="461" t="s">
        <v>2211</v>
      </c>
      <c r="G7" s="462">
        <f>-'kontrola LD'!G492</f>
        <v>0</v>
      </c>
      <c r="H7" s="462">
        <f>-'kontrola LD'!H492</f>
        <v>0</v>
      </c>
      <c r="I7" s="468"/>
    </row>
    <row r="8" spans="1:9" ht="11.25" customHeight="1" x14ac:dyDescent="0.2">
      <c r="A8" s="29" t="s">
        <v>697</v>
      </c>
      <c r="E8" s="39" t="s">
        <v>2536</v>
      </c>
      <c r="F8" s="461" t="s">
        <v>2212</v>
      </c>
      <c r="G8" s="463">
        <f>'kontrola LD'!G418+'kontrola LD'!G420</f>
        <v>0</v>
      </c>
      <c r="H8" s="463">
        <f>'kontrola LD'!H418+'kontrola LD'!H420</f>
        <v>0</v>
      </c>
      <c r="I8" s="468"/>
    </row>
    <row r="9" spans="1:9" ht="11.25" customHeight="1" x14ac:dyDescent="0.2">
      <c r="A9" s="29"/>
      <c r="E9" s="38"/>
      <c r="F9" s="460"/>
      <c r="G9" s="464"/>
      <c r="H9" s="464"/>
      <c r="I9" s="468"/>
    </row>
    <row r="10" spans="1:9" x14ac:dyDescent="0.2">
      <c r="C10" s="24" t="s">
        <v>1757</v>
      </c>
      <c r="E10" s="45" t="s">
        <v>2309</v>
      </c>
      <c r="F10" s="541" t="s">
        <v>2213</v>
      </c>
      <c r="G10" s="542">
        <f>G7-G8</f>
        <v>0</v>
      </c>
      <c r="H10" s="542">
        <f>H7-H8</f>
        <v>0</v>
      </c>
      <c r="I10" s="468"/>
    </row>
    <row r="11" spans="1:9" x14ac:dyDescent="0.2">
      <c r="C11" s="24"/>
      <c r="E11" s="40"/>
      <c r="F11" s="465"/>
      <c r="G11" s="467"/>
      <c r="H11" s="467"/>
      <c r="I11" s="468"/>
    </row>
    <row r="12" spans="1:9" x14ac:dyDescent="0.2">
      <c r="B12" s="24" t="s">
        <v>2156</v>
      </c>
      <c r="C12" s="24"/>
      <c r="E12" s="44" t="s">
        <v>2095</v>
      </c>
      <c r="F12" s="541" t="s">
        <v>2214</v>
      </c>
      <c r="G12" s="542">
        <f>G13+G14+G15</f>
        <v>0</v>
      </c>
      <c r="H12" s="542">
        <f>H13+H14+H15</f>
        <v>0</v>
      </c>
      <c r="I12" s="468"/>
    </row>
    <row r="13" spans="1:9" x14ac:dyDescent="0.2">
      <c r="B13" s="15"/>
      <c r="D13" s="18">
        <v>1</v>
      </c>
      <c r="E13" s="42" t="s">
        <v>1517</v>
      </c>
      <c r="F13" s="461" t="s">
        <v>442</v>
      </c>
      <c r="G13" s="463">
        <f>-'kontrola LD'!G490-'kontrola LD'!G491</f>
        <v>0</v>
      </c>
      <c r="H13" s="463">
        <f>-'kontrola LD'!H490-'kontrola LD'!H491</f>
        <v>0</v>
      </c>
      <c r="I13" s="468"/>
    </row>
    <row r="14" spans="1:9" ht="20.399999999999999" x14ac:dyDescent="0.2">
      <c r="B14" s="15"/>
      <c r="D14" s="18">
        <v>2</v>
      </c>
      <c r="E14" s="43" t="s">
        <v>1518</v>
      </c>
      <c r="F14" s="461" t="s">
        <v>443</v>
      </c>
      <c r="G14" s="463">
        <f>-'kontrola LD'!G497-'kontrola LD'!G498-'kontrola LD'!G499-'kontrola LD'!G500</f>
        <v>0</v>
      </c>
      <c r="H14" s="463">
        <f>-'kontrola LD'!H497-'kontrola LD'!H498-'kontrola LD'!H499-'kontrola LD'!H500</f>
        <v>0</v>
      </c>
      <c r="I14" s="468"/>
    </row>
    <row r="15" spans="1:9" x14ac:dyDescent="0.2">
      <c r="B15" s="15"/>
      <c r="D15" s="18">
        <v>3</v>
      </c>
      <c r="E15" s="42" t="s">
        <v>1519</v>
      </c>
      <c r="F15" s="461" t="s">
        <v>444</v>
      </c>
      <c r="G15" s="463">
        <f>-'kontrola LD'!G503-'kontrola LD'!G504-'kontrola LD'!G505-'kontrola LD'!G506</f>
        <v>0</v>
      </c>
      <c r="H15" s="463">
        <f>-'kontrola LD'!H503-'kontrola LD'!H504-'kontrola LD'!H505-'kontrola LD'!H506</f>
        <v>0</v>
      </c>
      <c r="I15" s="468"/>
    </row>
    <row r="16" spans="1:9" x14ac:dyDescent="0.2">
      <c r="B16" s="15"/>
      <c r="E16" s="39"/>
      <c r="F16" s="460"/>
      <c r="G16" s="464"/>
      <c r="H16" s="464"/>
      <c r="I16" s="468"/>
    </row>
    <row r="17" spans="1:11" x14ac:dyDescent="0.2">
      <c r="A17" s="24" t="s">
        <v>698</v>
      </c>
      <c r="D17" s="15"/>
      <c r="E17" s="45" t="s">
        <v>1520</v>
      </c>
      <c r="F17" s="541" t="s">
        <v>445</v>
      </c>
      <c r="G17" s="542">
        <f>G18+G19</f>
        <v>408.59</v>
      </c>
      <c r="H17" s="542">
        <f>H18+H19</f>
        <v>0</v>
      </c>
      <c r="I17" s="468"/>
    </row>
    <row r="18" spans="1:11" x14ac:dyDescent="0.2">
      <c r="B18" s="15"/>
      <c r="D18" s="18">
        <v>1</v>
      </c>
      <c r="E18" s="531" t="s">
        <v>2537</v>
      </c>
      <c r="F18" s="461" t="s">
        <v>258</v>
      </c>
      <c r="G18" s="463">
        <f>'kontrola LD'!G415+'kontrola LD'!G416+'kontrola LD'!G417+'kontrola LD'!G421</f>
        <v>6.75</v>
      </c>
      <c r="H18" s="463">
        <f>'kontrola LD'!H415+'kontrola LD'!H416+'kontrola LD'!H417+'kontrola LD'!H421</f>
        <v>0</v>
      </c>
      <c r="I18" s="468"/>
    </row>
    <row r="19" spans="1:11" x14ac:dyDescent="0.2">
      <c r="B19" s="15"/>
      <c r="D19" s="18">
        <v>2</v>
      </c>
      <c r="E19" s="42" t="s">
        <v>2559</v>
      </c>
      <c r="F19" s="461" t="s">
        <v>259</v>
      </c>
      <c r="G19" s="463">
        <f>'kontrola LD'!G425+'kontrola LD'!G426+'kontrola LD'!G427+'kontrola LD'!G428</f>
        <v>401.84</v>
      </c>
      <c r="H19" s="463">
        <f>'kontrola LD'!H425+'kontrola LD'!H426+'kontrola LD'!H427+'kontrola LD'!H428</f>
        <v>0</v>
      </c>
      <c r="I19" s="468"/>
    </row>
    <row r="20" spans="1:11" x14ac:dyDescent="0.2">
      <c r="B20" s="15"/>
      <c r="E20" s="39"/>
      <c r="F20" s="460"/>
      <c r="G20" s="464"/>
      <c r="H20" s="464"/>
      <c r="I20" s="468"/>
    </row>
    <row r="21" spans="1:11" x14ac:dyDescent="0.2">
      <c r="C21" s="24" t="s">
        <v>1757</v>
      </c>
      <c r="D21" s="24"/>
      <c r="E21" s="44" t="s">
        <v>2347</v>
      </c>
      <c r="F21" s="541" t="s">
        <v>260</v>
      </c>
      <c r="G21" s="542">
        <f>G10+G12-G17</f>
        <v>-408.59</v>
      </c>
      <c r="H21" s="542">
        <f>H10+H12-H17</f>
        <v>0</v>
      </c>
      <c r="I21" s="468"/>
    </row>
    <row r="22" spans="1:11" x14ac:dyDescent="0.2">
      <c r="C22" s="24"/>
      <c r="D22" s="24"/>
      <c r="E22" s="40"/>
      <c r="F22" s="465"/>
      <c r="G22" s="467"/>
      <c r="H22" s="467"/>
      <c r="I22" s="468"/>
    </row>
    <row r="23" spans="1:11" x14ac:dyDescent="0.2">
      <c r="A23" s="24" t="s">
        <v>568</v>
      </c>
      <c r="D23" s="15"/>
      <c r="E23" s="40" t="s">
        <v>2547</v>
      </c>
      <c r="F23" s="543" t="s">
        <v>1739</v>
      </c>
      <c r="G23" s="544">
        <f>G24+G25+G26+G27</f>
        <v>0</v>
      </c>
      <c r="H23" s="544">
        <f>H24+H25+H26+H27</f>
        <v>0</v>
      </c>
      <c r="I23" s="468"/>
    </row>
    <row r="24" spans="1:11" x14ac:dyDescent="0.2">
      <c r="B24" s="15"/>
      <c r="D24" s="18">
        <v>1</v>
      </c>
      <c r="E24" s="42" t="s">
        <v>2348</v>
      </c>
      <c r="F24" s="461" t="s">
        <v>1740</v>
      </c>
      <c r="G24" s="463">
        <f>'kontrola LD'!G431+'kontrola LD'!G432</f>
        <v>0</v>
      </c>
      <c r="H24" s="463">
        <f>'kontrola LD'!H431+'kontrola LD'!H432</f>
        <v>0</v>
      </c>
      <c r="I24" s="468"/>
    </row>
    <row r="25" spans="1:11" x14ac:dyDescent="0.2">
      <c r="B25" s="15"/>
      <c r="D25" s="18">
        <v>2</v>
      </c>
      <c r="E25" s="42" t="s">
        <v>2349</v>
      </c>
      <c r="F25" s="461" t="s">
        <v>1741</v>
      </c>
      <c r="G25" s="463">
        <f>'kontrola LD'!G433</f>
        <v>0</v>
      </c>
      <c r="H25" s="463">
        <f>'kontrola LD'!H433</f>
        <v>0</v>
      </c>
      <c r="I25" s="468"/>
    </row>
    <row r="26" spans="1:11" x14ac:dyDescent="0.2">
      <c r="B26" s="15"/>
      <c r="D26" s="18">
        <v>3</v>
      </c>
      <c r="E26" s="42" t="s">
        <v>2350</v>
      </c>
      <c r="F26" s="461" t="s">
        <v>1742</v>
      </c>
      <c r="G26" s="463">
        <f>'kontrola LD'!G434+'kontrola LD'!G435+'kontrola LD'!G436</f>
        <v>0</v>
      </c>
      <c r="H26" s="463">
        <f>'kontrola LD'!H434+'kontrola LD'!H435+'kontrola LD'!H436</f>
        <v>0</v>
      </c>
      <c r="I26" s="468"/>
    </row>
    <row r="27" spans="1:11" x14ac:dyDescent="0.2">
      <c r="B27" s="15"/>
      <c r="D27" s="18">
        <v>4</v>
      </c>
      <c r="E27" s="42" t="s">
        <v>2351</v>
      </c>
      <c r="F27" s="461" t="s">
        <v>171</v>
      </c>
      <c r="G27" s="463">
        <f>'kontrola LD'!G437+'kontrola LD'!G438</f>
        <v>0</v>
      </c>
      <c r="H27" s="463">
        <f>'kontrola LD'!H437+'kontrola LD'!H438</f>
        <v>0</v>
      </c>
      <c r="I27" s="468"/>
    </row>
    <row r="28" spans="1:11" x14ac:dyDescent="0.2">
      <c r="A28" s="18" t="s">
        <v>16</v>
      </c>
      <c r="D28" s="29"/>
      <c r="E28" s="42" t="s">
        <v>556</v>
      </c>
      <c r="F28" s="461" t="s">
        <v>172</v>
      </c>
      <c r="G28" s="463">
        <f>'kontrola LD'!G441+'kontrola LD'!G442+'kontrola LD'!G443</f>
        <v>0</v>
      </c>
      <c r="H28" s="463">
        <f>'kontrola LD'!H441+'kontrola LD'!H442+'kontrola LD'!H443</f>
        <v>0</v>
      </c>
      <c r="I28" s="468"/>
    </row>
    <row r="29" spans="1:11" x14ac:dyDescent="0.2">
      <c r="A29" s="18" t="s">
        <v>891</v>
      </c>
      <c r="D29" s="29"/>
      <c r="E29" s="39" t="s">
        <v>62</v>
      </c>
      <c r="F29" s="461" t="s">
        <v>173</v>
      </c>
      <c r="G29" s="463">
        <f>'kontrola LD'!G457+'kontrola LD'!G458</f>
        <v>0</v>
      </c>
      <c r="H29" s="463">
        <f>'kontrola LD'!H457+'kontrola LD'!H458</f>
        <v>0</v>
      </c>
      <c r="I29" s="468"/>
    </row>
    <row r="30" spans="1:11" x14ac:dyDescent="0.2">
      <c r="B30" s="29" t="s">
        <v>892</v>
      </c>
      <c r="D30" s="29"/>
      <c r="E30" s="42" t="s">
        <v>557</v>
      </c>
      <c r="F30" s="461" t="s">
        <v>1106</v>
      </c>
      <c r="G30" s="463">
        <f>-'kontrola LD'!G509-'kontrola LD'!G510</f>
        <v>0</v>
      </c>
      <c r="H30" s="463">
        <f>-'kontrola LD'!H509-'kontrola LD'!H510</f>
        <v>0</v>
      </c>
      <c r="I30" s="468"/>
    </row>
    <row r="31" spans="1:11" ht="20.399999999999999" x14ac:dyDescent="0.2">
      <c r="A31" s="29" t="s">
        <v>893</v>
      </c>
      <c r="D31" s="15"/>
      <c r="E31" s="42" t="s">
        <v>558</v>
      </c>
      <c r="F31" s="461" t="s">
        <v>1107</v>
      </c>
      <c r="G31" s="463">
        <f>'kontrola LD'!G446+'kontrola LD'!G447</f>
        <v>0</v>
      </c>
      <c r="H31" s="463">
        <f>'kontrola LD'!H446+'kontrola LD'!H447</f>
        <v>0</v>
      </c>
      <c r="I31" s="468"/>
    </row>
    <row r="32" spans="1:11" x14ac:dyDescent="0.2">
      <c r="B32" s="29" t="s">
        <v>894</v>
      </c>
      <c r="D32" s="15"/>
      <c r="E32" s="86" t="s">
        <v>63</v>
      </c>
      <c r="F32" s="461" t="s">
        <v>1108</v>
      </c>
      <c r="G32" s="463">
        <f>-'kontrola LD'!G511-'kontrola LD'!G512-'kontrola LD'!G513-'kontrola LD'!G514-'kontrola LD'!G518-'kontrola LD'!G517</f>
        <v>0</v>
      </c>
      <c r="H32" s="463">
        <f>-'kontrola LD'!H511-'kontrola LD'!H512-'kontrola LD'!H513-'kontrola LD'!H514-'kontrola LD'!H518-'kontrola LD'!H517</f>
        <v>0</v>
      </c>
      <c r="I32" s="468"/>
      <c r="J32" s="468"/>
      <c r="K32" s="468"/>
    </row>
    <row r="33" spans="1:14" x14ac:dyDescent="0.2">
      <c r="A33" s="29" t="s">
        <v>895</v>
      </c>
      <c r="D33" s="15"/>
      <c r="E33" s="86" t="s">
        <v>2579</v>
      </c>
      <c r="F33" s="461" t="s">
        <v>339</v>
      </c>
      <c r="G33" s="463">
        <f>'kontrola LD'!G448+'kontrola LD'!G449+'kontrola LD'!G450+'kontrola LD'!G451+'kontrola LD'!G452+'kontrola LD'!G453+'kontrola LD'!G454+'kontrola LD'!G460+'kontrola LD'!G459</f>
        <v>20</v>
      </c>
      <c r="H33" s="463">
        <f>'kontrola LD'!H448+'kontrola LD'!H449+'kontrola LD'!H450+'kontrola LD'!H451+'kontrola LD'!H452+'kontrola LD'!H453+'kontrola LD'!H454+'kontrola LD'!H460+'kontrola LD'!H459</f>
        <v>0</v>
      </c>
      <c r="I33" s="468"/>
      <c r="J33" s="468"/>
      <c r="K33" s="468"/>
    </row>
    <row r="34" spans="1:14" x14ac:dyDescent="0.2">
      <c r="B34" s="29" t="s">
        <v>896</v>
      </c>
      <c r="D34" s="15"/>
      <c r="E34" s="43" t="s">
        <v>559</v>
      </c>
      <c r="F34" s="461" t="s">
        <v>340</v>
      </c>
      <c r="G34" s="463">
        <f>('kontrola LD'!G538)</f>
        <v>0</v>
      </c>
      <c r="H34" s="463">
        <f>('kontrola LD'!H538)</f>
        <v>0</v>
      </c>
      <c r="I34" s="468"/>
      <c r="J34" s="468"/>
      <c r="K34" s="468"/>
    </row>
    <row r="35" spans="1:14" x14ac:dyDescent="0.2">
      <c r="A35" s="29" t="s">
        <v>897</v>
      </c>
      <c r="D35" s="15"/>
      <c r="E35" s="43" t="s">
        <v>560</v>
      </c>
      <c r="F35" s="461" t="s">
        <v>341</v>
      </c>
      <c r="G35" s="463">
        <f>-'kontrola LD'!G484</f>
        <v>0</v>
      </c>
      <c r="H35" s="463">
        <f>-'kontrola LD'!H484</f>
        <v>0</v>
      </c>
      <c r="I35" s="468"/>
      <c r="J35" s="468"/>
      <c r="K35" s="468"/>
    </row>
    <row r="36" spans="1:14" x14ac:dyDescent="0.2">
      <c r="A36" s="29"/>
      <c r="E36" s="39"/>
      <c r="F36" s="488"/>
      <c r="G36" s="489"/>
      <c r="H36" s="489"/>
      <c r="I36" s="468"/>
      <c r="J36" s="468"/>
      <c r="K36" s="468"/>
    </row>
    <row r="37" spans="1:14" x14ac:dyDescent="0.2">
      <c r="C37" s="24" t="s">
        <v>901</v>
      </c>
      <c r="E37" s="45" t="s">
        <v>2546</v>
      </c>
      <c r="F37" s="541" t="s">
        <v>342</v>
      </c>
      <c r="G37" s="542">
        <f>G21-G23-G28-G29+G30-G31+G32-G33+(-G34)-(-G35)</f>
        <v>-428.59</v>
      </c>
      <c r="H37" s="542">
        <f>H21-H23-H28-H29+H30-H31+H32-H33+(-H34)-(-H35)</f>
        <v>0</v>
      </c>
      <c r="I37" s="468"/>
      <c r="J37" s="468"/>
      <c r="K37" s="468"/>
      <c r="L37" s="468"/>
      <c r="M37" s="468"/>
      <c r="N37" s="468"/>
    </row>
    <row r="38" spans="1:14" x14ac:dyDescent="0.2">
      <c r="C38" s="24"/>
      <c r="E38" s="41"/>
      <c r="F38" s="465"/>
      <c r="G38" s="467"/>
      <c r="H38" s="467"/>
      <c r="I38" s="468"/>
      <c r="J38" s="468"/>
      <c r="K38" s="468"/>
    </row>
    <row r="39" spans="1:14" x14ac:dyDescent="0.2">
      <c r="B39" s="29" t="s">
        <v>898</v>
      </c>
      <c r="E39" s="42" t="s">
        <v>561</v>
      </c>
      <c r="F39" s="469">
        <v>26</v>
      </c>
      <c r="G39" s="463">
        <f>-'kontrola LD'!G521</f>
        <v>0</v>
      </c>
      <c r="H39" s="463">
        <f>-'kontrola LD'!H521</f>
        <v>0</v>
      </c>
      <c r="I39" s="468"/>
      <c r="J39" s="468"/>
      <c r="K39" s="468"/>
    </row>
    <row r="40" spans="1:14" x14ac:dyDescent="0.2">
      <c r="A40" s="29" t="s">
        <v>2155</v>
      </c>
      <c r="E40" s="43" t="s">
        <v>1148</v>
      </c>
      <c r="F40" s="469">
        <v>27</v>
      </c>
      <c r="G40" s="463">
        <f>'kontrola LD'!G463</f>
        <v>0</v>
      </c>
      <c r="H40" s="463">
        <f>'kontrola LD'!H463</f>
        <v>0</v>
      </c>
      <c r="I40" s="468"/>
      <c r="J40" s="468"/>
      <c r="K40" s="468"/>
    </row>
    <row r="41" spans="1:14" x14ac:dyDescent="0.2">
      <c r="A41" s="29"/>
      <c r="E41" s="39"/>
      <c r="F41" s="470"/>
      <c r="G41" s="464"/>
      <c r="H41" s="464"/>
      <c r="I41" s="468"/>
      <c r="J41" s="468"/>
      <c r="K41" s="468"/>
    </row>
    <row r="42" spans="1:14" x14ac:dyDescent="0.2">
      <c r="B42" s="24" t="s">
        <v>899</v>
      </c>
      <c r="E42" s="40" t="s">
        <v>2545</v>
      </c>
      <c r="F42" s="545">
        <v>28</v>
      </c>
      <c r="G42" s="544">
        <f>G43+G44+G45</f>
        <v>0</v>
      </c>
      <c r="H42" s="544">
        <f>H43+H44+H45</f>
        <v>0</v>
      </c>
      <c r="I42" s="468"/>
      <c r="J42" s="468"/>
      <c r="K42" s="468"/>
    </row>
    <row r="43" spans="1:14" x14ac:dyDescent="0.2">
      <c r="D43" s="29" t="s">
        <v>2635</v>
      </c>
      <c r="E43" s="42" t="s">
        <v>1950</v>
      </c>
      <c r="F43" s="469">
        <v>29</v>
      </c>
      <c r="G43" s="463">
        <f>-'kontrola LD'!G526</f>
        <v>0</v>
      </c>
      <c r="H43" s="463">
        <f>-'kontrola LD'!H526</f>
        <v>0</v>
      </c>
      <c r="I43" s="468"/>
      <c r="J43" s="468"/>
      <c r="K43" s="468"/>
    </row>
    <row r="44" spans="1:14" x14ac:dyDescent="0.2">
      <c r="D44" s="29" t="s">
        <v>937</v>
      </c>
      <c r="E44" s="42" t="s">
        <v>1951</v>
      </c>
      <c r="F44" s="469">
        <v>30</v>
      </c>
      <c r="G44" s="463">
        <f>-'kontrola LD'!G527</f>
        <v>0</v>
      </c>
      <c r="H44" s="463">
        <f>-'kontrola LD'!H527</f>
        <v>0</v>
      </c>
      <c r="I44" s="468"/>
      <c r="J44" s="468"/>
      <c r="K44" s="468"/>
    </row>
    <row r="45" spans="1:14" x14ac:dyDescent="0.2">
      <c r="D45" s="29" t="s">
        <v>938</v>
      </c>
      <c r="E45" s="42" t="s">
        <v>1702</v>
      </c>
      <c r="F45" s="469">
        <v>31</v>
      </c>
      <c r="G45" s="463">
        <f>-'kontrola LD'!G528</f>
        <v>0</v>
      </c>
      <c r="H45" s="463">
        <f>-'kontrola LD'!H528</f>
        <v>0</v>
      </c>
      <c r="I45" s="468"/>
      <c r="J45" s="468"/>
      <c r="K45" s="468"/>
    </row>
    <row r="46" spans="1:14" x14ac:dyDescent="0.2">
      <c r="B46" s="29" t="s">
        <v>2080</v>
      </c>
      <c r="E46" s="42" t="s">
        <v>1703</v>
      </c>
      <c r="F46" s="469">
        <v>32</v>
      </c>
      <c r="G46" s="463">
        <f>-'kontrola LD'!G529</f>
        <v>0</v>
      </c>
      <c r="H46" s="463">
        <f>-'kontrola LD'!H529</f>
        <v>0</v>
      </c>
      <c r="I46" s="468"/>
      <c r="J46" s="468"/>
      <c r="K46" s="468"/>
    </row>
    <row r="47" spans="1:14" x14ac:dyDescent="0.2">
      <c r="A47" s="29" t="s">
        <v>900</v>
      </c>
      <c r="E47" s="42" t="s">
        <v>1704</v>
      </c>
      <c r="F47" s="469">
        <v>33</v>
      </c>
      <c r="G47" s="463">
        <f>'kontrola LD'!G468</f>
        <v>0</v>
      </c>
      <c r="H47" s="463">
        <f>'kontrola LD'!H468</f>
        <v>0</v>
      </c>
      <c r="I47" s="468"/>
      <c r="J47" s="468"/>
      <c r="K47" s="468"/>
    </row>
    <row r="48" spans="1:14" x14ac:dyDescent="0.2">
      <c r="B48" s="29" t="s">
        <v>2082</v>
      </c>
      <c r="E48" s="42" t="s">
        <v>1705</v>
      </c>
      <c r="F48" s="469">
        <v>34</v>
      </c>
      <c r="G48" s="463">
        <f>-'kontrola LD'!G524-'kontrola LD'!G530</f>
        <v>0</v>
      </c>
      <c r="H48" s="463">
        <f>-'kontrola LD'!H524-'kontrola LD'!H530</f>
        <v>0</v>
      </c>
      <c r="I48" s="468"/>
      <c r="J48" s="468"/>
      <c r="K48" s="468"/>
    </row>
    <row r="49" spans="1:11" x14ac:dyDescent="0.2">
      <c r="A49" s="29" t="s">
        <v>2081</v>
      </c>
      <c r="E49" s="42" t="s">
        <v>72</v>
      </c>
      <c r="F49" s="469">
        <v>35</v>
      </c>
      <c r="G49" s="463">
        <f>'kontrola LD'!G466+'kontrola LD'!G469</f>
        <v>0</v>
      </c>
      <c r="H49" s="463">
        <f>'kontrola LD'!H466+'kontrola LD'!H469</f>
        <v>0</v>
      </c>
      <c r="I49" s="468"/>
      <c r="J49" s="468"/>
      <c r="K49" s="468"/>
    </row>
    <row r="50" spans="1:11" x14ac:dyDescent="0.2">
      <c r="A50" s="32" t="s">
        <v>908</v>
      </c>
      <c r="B50" s="29" t="s">
        <v>179</v>
      </c>
      <c r="E50" s="31" t="s">
        <v>2580</v>
      </c>
      <c r="F50" s="469">
        <v>36</v>
      </c>
      <c r="G50" s="463">
        <f>'kontrola LD'!G467</f>
        <v>0</v>
      </c>
      <c r="H50" s="463">
        <f>'kontrola LD'!H467</f>
        <v>0</v>
      </c>
      <c r="I50" s="468"/>
      <c r="J50" s="468"/>
      <c r="K50" s="468"/>
    </row>
    <row r="51" spans="1:11" x14ac:dyDescent="0.2">
      <c r="B51" s="29" t="s">
        <v>301</v>
      </c>
      <c r="E51" s="42" t="s">
        <v>73</v>
      </c>
      <c r="F51" s="469">
        <v>37</v>
      </c>
      <c r="G51" s="463">
        <f>-'kontrola LD'!G522</f>
        <v>0</v>
      </c>
      <c r="H51" s="463">
        <f>-'kontrola LD'!H522</f>
        <v>0</v>
      </c>
      <c r="I51" s="468"/>
      <c r="J51" s="468"/>
      <c r="K51" s="468"/>
    </row>
    <row r="52" spans="1:11" x14ac:dyDescent="0.2">
      <c r="A52" s="29" t="s">
        <v>1110</v>
      </c>
      <c r="E52" s="42" t="s">
        <v>74</v>
      </c>
      <c r="F52" s="469">
        <v>38</v>
      </c>
      <c r="G52" s="463">
        <f>'kontrola LD'!G464</f>
        <v>0</v>
      </c>
      <c r="H52" s="463">
        <f>'kontrola LD'!H464</f>
        <v>0</v>
      </c>
      <c r="I52" s="468"/>
      <c r="J52" s="468"/>
      <c r="K52" s="468"/>
    </row>
    <row r="53" spans="1:11" x14ac:dyDescent="0.2">
      <c r="B53" s="29" t="s">
        <v>925</v>
      </c>
      <c r="E53" s="43" t="s">
        <v>1150</v>
      </c>
      <c r="F53" s="469">
        <v>39</v>
      </c>
      <c r="G53" s="463">
        <f>-'kontrola LD'!G523</f>
        <v>0</v>
      </c>
      <c r="H53" s="463">
        <f>-'kontrola LD'!H523</f>
        <v>0</v>
      </c>
      <c r="I53" s="468"/>
      <c r="J53" s="468"/>
      <c r="K53" s="468"/>
    </row>
    <row r="54" spans="1:11" x14ac:dyDescent="0.2">
      <c r="A54" s="29" t="s">
        <v>1112</v>
      </c>
      <c r="E54" s="43" t="s">
        <v>1151</v>
      </c>
      <c r="F54" s="469">
        <v>40</v>
      </c>
      <c r="G54" s="463">
        <f>'kontrola LD'!G465</f>
        <v>0</v>
      </c>
      <c r="H54" s="463">
        <f>'kontrola LD'!H465</f>
        <v>0</v>
      </c>
      <c r="I54" s="468"/>
      <c r="J54" s="468"/>
      <c r="K54" s="468"/>
    </row>
    <row r="55" spans="1:11" x14ac:dyDescent="0.2">
      <c r="B55" s="29" t="s">
        <v>1109</v>
      </c>
      <c r="E55" s="42" t="s">
        <v>1116</v>
      </c>
      <c r="F55" s="469">
        <v>41</v>
      </c>
      <c r="G55" s="463">
        <f>-'kontrola LD'!G531</f>
        <v>0</v>
      </c>
      <c r="H55" s="463">
        <f>-'kontrola LD'!H531</f>
        <v>0</v>
      </c>
      <c r="I55" s="468"/>
      <c r="J55" s="468"/>
      <c r="K55" s="468"/>
    </row>
    <row r="56" spans="1:11" x14ac:dyDescent="0.2">
      <c r="A56" s="29" t="s">
        <v>1113</v>
      </c>
      <c r="E56" s="42" t="s">
        <v>1152</v>
      </c>
      <c r="F56" s="469">
        <v>42</v>
      </c>
      <c r="G56" s="463">
        <f>'kontrola LD'!G470+'kontrola LD'!G471</f>
        <v>0</v>
      </c>
      <c r="H56" s="463">
        <f>'kontrola LD'!H470+'kontrola LD'!H471</f>
        <v>0</v>
      </c>
      <c r="I56" s="468"/>
      <c r="J56" s="468"/>
      <c r="K56" s="468"/>
    </row>
    <row r="57" spans="1:11" x14ac:dyDescent="0.2">
      <c r="B57" s="29" t="s">
        <v>1111</v>
      </c>
      <c r="E57" s="43" t="s">
        <v>76</v>
      </c>
      <c r="F57" s="469">
        <v>43</v>
      </c>
      <c r="G57" s="463">
        <f>'kontrola LD'!G539</f>
        <v>0</v>
      </c>
      <c r="H57" s="463">
        <f>'kontrola LD'!H539</f>
        <v>0</v>
      </c>
      <c r="I57" s="468"/>
      <c r="J57" s="468"/>
      <c r="K57" s="468"/>
    </row>
    <row r="58" spans="1:11" x14ac:dyDescent="0.2">
      <c r="A58" s="29" t="s">
        <v>1114</v>
      </c>
      <c r="E58" s="43" t="s">
        <v>75</v>
      </c>
      <c r="F58" s="469">
        <v>44</v>
      </c>
      <c r="G58" s="463">
        <f>-'kontrola LD'!G485</f>
        <v>0</v>
      </c>
      <c r="H58" s="463">
        <f>-'kontrola LD'!H485</f>
        <v>0</v>
      </c>
      <c r="I58" s="468"/>
      <c r="J58" s="468"/>
      <c r="K58" s="468"/>
    </row>
    <row r="59" spans="1:11" ht="20.399999999999999" x14ac:dyDescent="0.2">
      <c r="C59" s="24" t="s">
        <v>901</v>
      </c>
      <c r="E59" s="45" t="s">
        <v>2544</v>
      </c>
      <c r="F59" s="541">
        <v>45</v>
      </c>
      <c r="G59" s="542">
        <f>G39-G40+G42+G46-G47+G48-G49-G50+G51-G52+G53-G54+G55-G56+(-G57)-(-G58)</f>
        <v>0</v>
      </c>
      <c r="H59" s="542">
        <f>H39-H40+H42+H46-H47+H48-H49-H50+H51-H52+H53-H54+H55-H56+(-H57)-(-H58)</f>
        <v>0</v>
      </c>
      <c r="I59" s="468"/>
      <c r="J59" s="468"/>
      <c r="K59" s="468"/>
    </row>
    <row r="60" spans="1:11" s="468" customFormat="1" x14ac:dyDescent="0.2">
      <c r="A60" s="32"/>
      <c r="B60" s="18"/>
      <c r="C60" s="24"/>
      <c r="D60" s="18"/>
      <c r="E60" s="39"/>
      <c r="F60" s="473"/>
      <c r="G60" s="474"/>
      <c r="H60" s="474"/>
    </row>
    <row r="61" spans="1:11" x14ac:dyDescent="0.2">
      <c r="A61" s="24" t="s">
        <v>1115</v>
      </c>
      <c r="E61" s="40" t="s">
        <v>2543</v>
      </c>
      <c r="F61" s="541">
        <v>46</v>
      </c>
      <c r="G61" s="542">
        <f>G62+G63</f>
        <v>960</v>
      </c>
      <c r="H61" s="542">
        <f>H62+H63</f>
        <v>0</v>
      </c>
      <c r="I61" s="468"/>
      <c r="J61" s="468"/>
      <c r="K61" s="468"/>
    </row>
    <row r="62" spans="1:11" x14ac:dyDescent="0.2">
      <c r="A62" s="32" t="s">
        <v>349</v>
      </c>
      <c r="D62" s="29"/>
      <c r="E62" s="43" t="s">
        <v>1553</v>
      </c>
      <c r="F62" s="469">
        <v>47</v>
      </c>
      <c r="G62" s="463">
        <f>'kontrola LD'!G478+'kontrola LD'!G482</f>
        <v>960</v>
      </c>
      <c r="H62" s="463">
        <f>'kontrola LD'!H478+'kontrola LD'!H482</f>
        <v>0</v>
      </c>
      <c r="I62" s="468"/>
      <c r="J62" s="468"/>
      <c r="K62" s="468"/>
    </row>
    <row r="63" spans="1:11" x14ac:dyDescent="0.2">
      <c r="A63" s="32">
        <v>2</v>
      </c>
      <c r="D63" s="29"/>
      <c r="E63" s="43" t="s">
        <v>1554</v>
      </c>
      <c r="F63" s="469">
        <v>48</v>
      </c>
      <c r="G63" s="463">
        <f>'kontrola LD'!G479</f>
        <v>0</v>
      </c>
      <c r="H63" s="463">
        <f>'kontrola LD'!H479</f>
        <v>0</v>
      </c>
      <c r="I63" s="468"/>
      <c r="J63" s="468"/>
      <c r="K63" s="468"/>
    </row>
    <row r="64" spans="1:11" x14ac:dyDescent="0.2">
      <c r="D64" s="29"/>
      <c r="E64" s="39"/>
      <c r="F64" s="470"/>
      <c r="G64" s="464"/>
      <c r="H64" s="464"/>
      <c r="I64" s="468"/>
      <c r="J64" s="468"/>
      <c r="K64" s="468"/>
    </row>
    <row r="65" spans="1:11" x14ac:dyDescent="0.2">
      <c r="C65" s="29" t="s">
        <v>918</v>
      </c>
      <c r="E65" s="40" t="s">
        <v>2542</v>
      </c>
      <c r="F65" s="541" t="s">
        <v>352</v>
      </c>
      <c r="G65" s="542">
        <f>G37+G59-G61</f>
        <v>-1388.59</v>
      </c>
      <c r="H65" s="542">
        <f>H37+H59-H61</f>
        <v>0</v>
      </c>
      <c r="I65" s="468"/>
      <c r="J65" s="468"/>
      <c r="K65" s="468"/>
    </row>
    <row r="66" spans="1:11" x14ac:dyDescent="0.2">
      <c r="C66" s="24"/>
      <c r="E66" s="39"/>
      <c r="F66" s="465"/>
      <c r="G66" s="467"/>
      <c r="H66" s="467"/>
      <c r="I66" s="468"/>
      <c r="J66" s="468"/>
      <c r="K66" s="468"/>
    </row>
    <row r="67" spans="1:11" x14ac:dyDescent="0.2">
      <c r="B67" s="29" t="s">
        <v>1756</v>
      </c>
      <c r="E67" s="42" t="s">
        <v>77</v>
      </c>
      <c r="F67" s="509" t="s">
        <v>353</v>
      </c>
      <c r="G67" s="508">
        <f>-'kontrola LD'!G534-'kontrola LD'!G535</f>
        <v>0</v>
      </c>
      <c r="H67" s="508">
        <f>-'kontrola LD'!H534-'kontrola LD'!H535</f>
        <v>0</v>
      </c>
      <c r="I67" s="468"/>
    </row>
    <row r="68" spans="1:11" x14ac:dyDescent="0.2">
      <c r="A68" s="29" t="s">
        <v>919</v>
      </c>
      <c r="E68" s="42" t="s">
        <v>78</v>
      </c>
      <c r="F68" s="469">
        <v>51</v>
      </c>
      <c r="G68" s="463">
        <f>'kontrola LD'!G474+'kontrola LD'!G475</f>
        <v>0</v>
      </c>
      <c r="H68" s="463">
        <f>'kontrola LD'!H474+'kontrola LD'!H475</f>
        <v>0</v>
      </c>
      <c r="I68" s="468"/>
    </row>
    <row r="69" spans="1:11" x14ac:dyDescent="0.2">
      <c r="A69" s="29"/>
      <c r="E69" s="39"/>
      <c r="F69" s="470"/>
      <c r="G69" s="464"/>
      <c r="H69" s="464"/>
      <c r="I69" s="468"/>
    </row>
    <row r="70" spans="1:11" x14ac:dyDescent="0.2">
      <c r="A70" s="24" t="s">
        <v>920</v>
      </c>
      <c r="E70" s="40" t="s">
        <v>2541</v>
      </c>
      <c r="F70" s="546">
        <v>52</v>
      </c>
      <c r="G70" s="542">
        <f>G71+G72</f>
        <v>0</v>
      </c>
      <c r="H70" s="542">
        <f>H71+H72</f>
        <v>0</v>
      </c>
      <c r="I70" s="468"/>
    </row>
    <row r="71" spans="1:11" x14ac:dyDescent="0.2">
      <c r="A71" s="32" t="s">
        <v>357</v>
      </c>
      <c r="D71" s="29"/>
      <c r="E71" s="43" t="s">
        <v>1522</v>
      </c>
      <c r="F71" s="469">
        <v>53</v>
      </c>
      <c r="G71" s="463">
        <f>'kontrola LD'!G480</f>
        <v>0</v>
      </c>
      <c r="H71" s="463">
        <f>'kontrola LD'!H480</f>
        <v>0</v>
      </c>
      <c r="I71" s="468"/>
    </row>
    <row r="72" spans="1:11" x14ac:dyDescent="0.2">
      <c r="A72" s="32">
        <v>2</v>
      </c>
      <c r="D72" s="29"/>
      <c r="E72" s="43" t="s">
        <v>1153</v>
      </c>
      <c r="F72" s="469">
        <v>54</v>
      </c>
      <c r="G72" s="463">
        <f>'kontrola LD'!G481</f>
        <v>0</v>
      </c>
      <c r="H72" s="463">
        <f>'kontrola LD'!H481</f>
        <v>0</v>
      </c>
      <c r="I72" s="468"/>
    </row>
    <row r="73" spans="1:11" x14ac:dyDescent="0.2">
      <c r="D73" s="29"/>
      <c r="E73" s="39"/>
      <c r="F73" s="470"/>
      <c r="G73" s="464"/>
      <c r="H73" s="464"/>
      <c r="I73" s="468"/>
    </row>
    <row r="74" spans="1:11" x14ac:dyDescent="0.2">
      <c r="C74" s="29" t="s">
        <v>901</v>
      </c>
      <c r="E74" s="40" t="s">
        <v>2540</v>
      </c>
      <c r="F74" s="541" t="s">
        <v>1627</v>
      </c>
      <c r="G74" s="542">
        <f>G67-G68-G70</f>
        <v>0</v>
      </c>
      <c r="H74" s="542">
        <f>H67-H68-H70</f>
        <v>0</v>
      </c>
      <c r="I74" s="468"/>
    </row>
    <row r="75" spans="1:11" x14ac:dyDescent="0.2">
      <c r="C75" s="24"/>
      <c r="E75" s="39"/>
      <c r="F75" s="465"/>
      <c r="G75" s="467"/>
      <c r="H75" s="467"/>
      <c r="I75" s="468"/>
    </row>
    <row r="76" spans="1:11" x14ac:dyDescent="0.2">
      <c r="A76" s="29" t="s">
        <v>921</v>
      </c>
      <c r="E76" s="39" t="s">
        <v>79</v>
      </c>
      <c r="F76" s="469">
        <v>56</v>
      </c>
      <c r="G76" s="463">
        <f>'kontrola LD'!G483</f>
        <v>0</v>
      </c>
      <c r="H76" s="463">
        <f>'kontrola LD'!H483</f>
        <v>0</v>
      </c>
    </row>
    <row r="77" spans="1:11" x14ac:dyDescent="0.2">
      <c r="A77" s="29"/>
      <c r="E77" s="39"/>
      <c r="F77" s="470"/>
      <c r="G77" s="464"/>
      <c r="H77" s="464"/>
    </row>
    <row r="78" spans="1:11" x14ac:dyDescent="0.2">
      <c r="C78" s="29" t="s">
        <v>1758</v>
      </c>
      <c r="E78" s="40" t="s">
        <v>2539</v>
      </c>
      <c r="F78" s="541" t="s">
        <v>359</v>
      </c>
      <c r="G78" s="542">
        <f>G65+G74-G76</f>
        <v>-1388.59</v>
      </c>
      <c r="H78" s="542">
        <f>H65+H74-H76</f>
        <v>0</v>
      </c>
    </row>
    <row r="79" spans="1:11" x14ac:dyDescent="0.2">
      <c r="I79" s="475"/>
    </row>
    <row r="80" spans="1:11" x14ac:dyDescent="0.2">
      <c r="E80" s="466" t="s">
        <v>2538</v>
      </c>
      <c r="F80" s="541">
        <v>99</v>
      </c>
      <c r="G80" s="542">
        <f>G7+G8+G10+G12+G13+G14+G15+G17+G18+G19+G21+G23+G24+G25+G26+G27+G28+G29+G30+G31+G32+G33+G34+G35+G37+G39+G40+G42+G43+G44+G45+G46+G47+G48+G49+G50+G51+G52+G53+G54+G55+G56+G57+G58+G59+G61+G62+G63+G65+G67+G68+G70+G71+G72+G74+G76+G78</f>
        <v>-857.17999999999984</v>
      </c>
      <c r="H80" s="542">
        <f>H7+H8+H10+H12+H13+H14+H15+H17+H18+H19+H21+H23+H24+H25+H26+H27+H28+H29+H30+H31+H32+H33+H34+H35+H37+H39+H40+H42+H43+H44+H45+H46+H47+H48+H49+H50+H51+H52+H53+H54+H55+H56+H57+H58+H59+H61+H62+H63+H65+H67+H68+H70+H71+H72+H74+H76+H78</f>
        <v>0</v>
      </c>
      <c r="I80" s="475"/>
    </row>
    <row r="81" spans="5:10" x14ac:dyDescent="0.2">
      <c r="E81" s="466"/>
      <c r="I81" s="475"/>
    </row>
    <row r="82" spans="5:10" x14ac:dyDescent="0.2">
      <c r="E82" s="466"/>
      <c r="I82" s="475"/>
    </row>
    <row r="83" spans="5:10" x14ac:dyDescent="0.2">
      <c r="E83" s="505" t="s">
        <v>1563</v>
      </c>
      <c r="F83" s="526" t="e">
        <f>IF(AND(I84="OK",J84="OK",I85="OK",J85="OK"),"OK","ERROR")</f>
        <v>#REF!</v>
      </c>
      <c r="I83" s="475"/>
    </row>
    <row r="84" spans="5:10" x14ac:dyDescent="0.2">
      <c r="E84" s="527" t="s">
        <v>1169</v>
      </c>
      <c r="F84" s="528"/>
      <c r="G84" s="529">
        <f>G78+SUM('kontrola LD'!G415:G539)</f>
        <v>1381.84</v>
      </c>
      <c r="H84" s="529">
        <f>H78+SUM('kontrola LD'!H415:H539)</f>
        <v>0</v>
      </c>
      <c r="I84" s="524" t="str">
        <f>IF(AND(G84&lt;0.1,G84&gt;-0.1),"OK","E")</f>
        <v>E</v>
      </c>
      <c r="J84" s="524" t="str">
        <f>IF(AND(H84&lt;0.1,H84&gt;-0.1),"OK","E")</f>
        <v>OK</v>
      </c>
    </row>
    <row r="85" spans="5:10" x14ac:dyDescent="0.2">
      <c r="E85" s="527" t="s">
        <v>1170</v>
      </c>
      <c r="F85" s="530"/>
      <c r="G85" s="529">
        <f>G78-'BS-G Old format'!F117</f>
        <v>6.9999999998117346E-2</v>
      </c>
      <c r="H85" s="529" t="e">
        <f>H78-'BS-G Old format'!G117</f>
        <v>#REF!</v>
      </c>
      <c r="I85" s="524" t="str">
        <f>IF(AND(G85&lt;0.1,G85&gt;-0.1),"OK","E")</f>
        <v>OK</v>
      </c>
      <c r="J85" s="524" t="e">
        <f>IF(AND(H85&lt;0.1,H85&gt;-0.1),"OK","E")</f>
        <v>#REF!</v>
      </c>
    </row>
    <row r="86" spans="5:10" x14ac:dyDescent="0.2">
      <c r="G86" s="476"/>
    </row>
  </sheetData>
  <phoneticPr fontId="7" type="noConversion"/>
  <pageMargins left="0.38" right="0.52" top="0.37" bottom="0.39" header="0.35" footer="0.36"/>
  <pageSetup paperSize="9" scale="85" orientation="portrait" r:id="rId1"/>
  <headerFooter alignWithMargins="0"/>
  <rowBreaks count="1" manualBreakCount="1">
    <brk id="6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indexed="13"/>
  </sheetPr>
  <dimension ref="A1:H199"/>
  <sheetViews>
    <sheetView workbookViewId="0">
      <selection sqref="A1:A3"/>
    </sheetView>
  </sheetViews>
  <sheetFormatPr defaultColWidth="9.109375" defaultRowHeight="10.8" x14ac:dyDescent="0.25"/>
  <cols>
    <col min="1" max="1" width="5.109375" style="302" customWidth="1"/>
    <col min="2" max="2" width="15.5546875" style="302" customWidth="1"/>
    <col min="3" max="3" width="3.6640625" style="302" customWidth="1"/>
    <col min="4" max="4" width="3.5546875" style="302" customWidth="1"/>
    <col min="5" max="5" width="12.44140625" style="302" customWidth="1"/>
    <col min="6" max="6" width="4.5546875" style="302" customWidth="1"/>
    <col min="7" max="7" width="23.109375" style="302" customWidth="1"/>
    <col min="8" max="8" width="24" style="302" customWidth="1"/>
    <col min="9" max="16384" width="9.109375" style="302"/>
  </cols>
  <sheetData>
    <row r="1" spans="1:8" s="282" customFormat="1" ht="11.25" customHeight="1" x14ac:dyDescent="0.25">
      <c r="A1" s="960" t="s">
        <v>780</v>
      </c>
      <c r="B1" s="946" t="s">
        <v>784</v>
      </c>
      <c r="C1" s="962" t="s">
        <v>781</v>
      </c>
      <c r="D1" s="281"/>
      <c r="E1" s="946" t="s">
        <v>80</v>
      </c>
      <c r="F1" s="946"/>
      <c r="G1" s="946"/>
      <c r="H1" s="976" t="s">
        <v>81</v>
      </c>
    </row>
    <row r="2" spans="1:8" s="282" customFormat="1" ht="11.25" customHeight="1" x14ac:dyDescent="0.25">
      <c r="A2" s="961"/>
      <c r="B2" s="954"/>
      <c r="C2" s="963"/>
      <c r="D2" s="978">
        <v>1</v>
      </c>
      <c r="E2" s="954" t="s">
        <v>785</v>
      </c>
      <c r="F2" s="954"/>
      <c r="G2" s="979" t="s">
        <v>86</v>
      </c>
      <c r="H2" s="977"/>
    </row>
    <row r="3" spans="1:8" s="282" customFormat="1" ht="11.25" customHeight="1" x14ac:dyDescent="0.25">
      <c r="A3" s="961"/>
      <c r="B3" s="954"/>
      <c r="C3" s="963"/>
      <c r="D3" s="978"/>
      <c r="E3" s="954" t="s">
        <v>793</v>
      </c>
      <c r="F3" s="954"/>
      <c r="G3" s="979"/>
      <c r="H3" s="288" t="s">
        <v>87</v>
      </c>
    </row>
    <row r="4" spans="1:8" s="291" customFormat="1" ht="24.75" customHeight="1" x14ac:dyDescent="0.25">
      <c r="A4" s="995"/>
      <c r="B4" s="949" t="s">
        <v>2158</v>
      </c>
      <c r="C4" s="969" t="s">
        <v>433</v>
      </c>
      <c r="D4" s="952">
        <f>'BS-G Old format'!F8</f>
        <v>9087.01</v>
      </c>
      <c r="E4" s="952"/>
      <c r="F4" s="952"/>
      <c r="G4" s="952">
        <f>D4-D5</f>
        <v>9087.01</v>
      </c>
      <c r="H4" s="973" t="e">
        <f>'BS-G Old format'!I8</f>
        <v>#REF!</v>
      </c>
    </row>
    <row r="5" spans="1:8" s="291" customFormat="1" ht="24.75" customHeight="1" x14ac:dyDescent="0.25">
      <c r="A5" s="995"/>
      <c r="B5" s="949"/>
      <c r="C5" s="969"/>
      <c r="D5" s="952">
        <f>'BS-G Old format'!G8</f>
        <v>0</v>
      </c>
      <c r="E5" s="952"/>
      <c r="F5" s="952"/>
      <c r="G5" s="952"/>
      <c r="H5" s="973"/>
    </row>
    <row r="6" spans="1:8" s="291" customFormat="1" ht="24.75" customHeight="1" x14ac:dyDescent="0.25">
      <c r="A6" s="968" t="s">
        <v>932</v>
      </c>
      <c r="B6" s="949" t="s">
        <v>1591</v>
      </c>
      <c r="C6" s="969" t="s">
        <v>434</v>
      </c>
      <c r="D6" s="952">
        <f>'BS-G Old format'!F10</f>
        <v>0</v>
      </c>
      <c r="E6" s="952"/>
      <c r="F6" s="952"/>
      <c r="G6" s="952">
        <f>D6-D7</f>
        <v>0</v>
      </c>
      <c r="H6" s="973">
        <f>'BS-G Old format'!I10</f>
        <v>0</v>
      </c>
    </row>
    <row r="7" spans="1:8" s="291" customFormat="1" ht="24.75" customHeight="1" x14ac:dyDescent="0.25">
      <c r="A7" s="968"/>
      <c r="B7" s="949"/>
      <c r="C7" s="969"/>
      <c r="D7" s="952">
        <f>'BS-G Old format'!G10</f>
        <v>0</v>
      </c>
      <c r="E7" s="952"/>
      <c r="F7" s="952"/>
      <c r="G7" s="952"/>
      <c r="H7" s="973"/>
    </row>
    <row r="8" spans="1:8" s="291" customFormat="1" ht="24.75" customHeight="1" x14ac:dyDescent="0.25">
      <c r="A8" s="968" t="s">
        <v>933</v>
      </c>
      <c r="B8" s="949" t="s">
        <v>469</v>
      </c>
      <c r="C8" s="969" t="s">
        <v>435</v>
      </c>
      <c r="D8" s="952">
        <f>'BS-G Old format'!F12</f>
        <v>0</v>
      </c>
      <c r="E8" s="952"/>
      <c r="F8" s="952"/>
      <c r="G8" s="952">
        <f>D8-D9</f>
        <v>0</v>
      </c>
      <c r="H8" s="973">
        <f>'BS-G Old format'!I12</f>
        <v>0</v>
      </c>
    </row>
    <row r="9" spans="1:8" s="291" customFormat="1" ht="24.75" customHeight="1" x14ac:dyDescent="0.25">
      <c r="A9" s="968"/>
      <c r="B9" s="949"/>
      <c r="C9" s="969"/>
      <c r="D9" s="952">
        <f>'BS-G Old format'!G12</f>
        <v>0</v>
      </c>
      <c r="E9" s="952"/>
      <c r="F9" s="952"/>
      <c r="G9" s="952"/>
      <c r="H9" s="973"/>
    </row>
    <row r="10" spans="1:8" s="291" customFormat="1" ht="24.75" customHeight="1" x14ac:dyDescent="0.25">
      <c r="A10" s="968" t="s">
        <v>942</v>
      </c>
      <c r="B10" s="949" t="s">
        <v>391</v>
      </c>
      <c r="C10" s="969" t="s">
        <v>436</v>
      </c>
      <c r="D10" s="952">
        <f>'BS-G Old format'!F14</f>
        <v>0</v>
      </c>
      <c r="E10" s="952"/>
      <c r="F10" s="952"/>
      <c r="G10" s="952">
        <f>D10-D11</f>
        <v>0</v>
      </c>
      <c r="H10" s="973">
        <f>'BS-G Old format'!I14</f>
        <v>0</v>
      </c>
    </row>
    <row r="11" spans="1:8" s="291" customFormat="1" ht="24.75" customHeight="1" x14ac:dyDescent="0.25">
      <c r="A11" s="968"/>
      <c r="B11" s="949"/>
      <c r="C11" s="969"/>
      <c r="D11" s="952">
        <f>'BS-G Old format'!G14</f>
        <v>0</v>
      </c>
      <c r="E11" s="952"/>
      <c r="F11" s="952"/>
      <c r="G11" s="952"/>
      <c r="H11" s="973"/>
    </row>
    <row r="12" spans="1:8" s="295" customFormat="1" ht="24.75" customHeight="1" x14ac:dyDescent="0.25">
      <c r="A12" s="989" t="s">
        <v>1042</v>
      </c>
      <c r="B12" s="950" t="s">
        <v>392</v>
      </c>
      <c r="C12" s="966" t="s">
        <v>437</v>
      </c>
      <c r="D12" s="947">
        <f>'BS-G Old format'!F15</f>
        <v>0</v>
      </c>
      <c r="E12" s="947"/>
      <c r="F12" s="947"/>
      <c r="G12" s="947">
        <f>D12-D13</f>
        <v>0</v>
      </c>
      <c r="H12" s="956">
        <f>'BS-G Old format'!I15</f>
        <v>0</v>
      </c>
    </row>
    <row r="13" spans="1:8" s="295" customFormat="1" ht="24.75" customHeight="1" x14ac:dyDescent="0.25">
      <c r="A13" s="993"/>
      <c r="B13" s="950"/>
      <c r="C13" s="966"/>
      <c r="D13" s="947">
        <f>'BS-G Old format'!G15</f>
        <v>0</v>
      </c>
      <c r="E13" s="947"/>
      <c r="F13" s="947"/>
      <c r="G13" s="947"/>
      <c r="H13" s="956"/>
    </row>
    <row r="14" spans="1:8" s="295" customFormat="1" ht="24.75" customHeight="1" x14ac:dyDescent="0.25">
      <c r="A14" s="994" t="s">
        <v>1043</v>
      </c>
      <c r="B14" s="950" t="s">
        <v>393</v>
      </c>
      <c r="C14" s="966" t="s">
        <v>438</v>
      </c>
      <c r="D14" s="947">
        <f>'BS-G Old format'!F16</f>
        <v>0</v>
      </c>
      <c r="E14" s="947"/>
      <c r="F14" s="947"/>
      <c r="G14" s="947">
        <f>D14-D15</f>
        <v>0</v>
      </c>
      <c r="H14" s="956">
        <f>'BS-G Old format'!I16</f>
        <v>0</v>
      </c>
    </row>
    <row r="15" spans="1:8" s="295" customFormat="1" ht="24.75" customHeight="1" x14ac:dyDescent="0.25">
      <c r="A15" s="994"/>
      <c r="B15" s="950"/>
      <c r="C15" s="966"/>
      <c r="D15" s="947">
        <f>'BS-G Old format'!G16</f>
        <v>0</v>
      </c>
      <c r="E15" s="947"/>
      <c r="F15" s="947"/>
      <c r="G15" s="947"/>
      <c r="H15" s="956"/>
    </row>
    <row r="16" spans="1:8" s="295" customFormat="1" ht="24.75" customHeight="1" x14ac:dyDescent="0.25">
      <c r="A16" s="988" t="s">
        <v>774</v>
      </c>
      <c r="B16" s="950" t="s">
        <v>472</v>
      </c>
      <c r="C16" s="966" t="s">
        <v>439</v>
      </c>
      <c r="D16" s="947">
        <f>'BS-G Old format'!F17</f>
        <v>0</v>
      </c>
      <c r="E16" s="947"/>
      <c r="F16" s="947"/>
      <c r="G16" s="947">
        <f>D16-D17</f>
        <v>0</v>
      </c>
      <c r="H16" s="956">
        <f>'BS-G Old format'!I17</f>
        <v>0</v>
      </c>
    </row>
    <row r="17" spans="1:8" s="295" customFormat="1" ht="24.75" customHeight="1" x14ac:dyDescent="0.25">
      <c r="A17" s="988"/>
      <c r="B17" s="950"/>
      <c r="C17" s="966"/>
      <c r="D17" s="947">
        <f>'BS-G Old format'!G17</f>
        <v>0</v>
      </c>
      <c r="E17" s="947"/>
      <c r="F17" s="947"/>
      <c r="G17" s="947"/>
      <c r="H17" s="956"/>
    </row>
    <row r="18" spans="1:8" s="295" customFormat="1" ht="24.75" customHeight="1" x14ac:dyDescent="0.25">
      <c r="A18" s="988" t="s">
        <v>1046</v>
      </c>
      <c r="B18" s="950" t="s">
        <v>473</v>
      </c>
      <c r="C18" s="966" t="s">
        <v>440</v>
      </c>
      <c r="D18" s="947">
        <f>'BS-G Old format'!F18</f>
        <v>0</v>
      </c>
      <c r="E18" s="947"/>
      <c r="F18" s="947"/>
      <c r="G18" s="947">
        <f>D18-D19</f>
        <v>0</v>
      </c>
      <c r="H18" s="956">
        <f>'BS-G Old format'!I18</f>
        <v>0</v>
      </c>
    </row>
    <row r="19" spans="1:8" s="295" customFormat="1" ht="24.75" customHeight="1" x14ac:dyDescent="0.25">
      <c r="A19" s="988"/>
      <c r="B19" s="950"/>
      <c r="C19" s="966"/>
      <c r="D19" s="947">
        <f>'BS-G Old format'!G18</f>
        <v>0</v>
      </c>
      <c r="E19" s="947"/>
      <c r="F19" s="947"/>
      <c r="G19" s="947"/>
      <c r="H19" s="956"/>
    </row>
    <row r="20" spans="1:8" s="295" customFormat="1" ht="24.75" customHeight="1" x14ac:dyDescent="0.25">
      <c r="A20" s="988" t="s">
        <v>1048</v>
      </c>
      <c r="B20" s="950" t="s">
        <v>2089</v>
      </c>
      <c r="C20" s="966" t="s">
        <v>441</v>
      </c>
      <c r="D20" s="947">
        <f>'BS-G Old format'!F19</f>
        <v>0</v>
      </c>
      <c r="E20" s="947"/>
      <c r="F20" s="947"/>
      <c r="G20" s="947">
        <f>D20-D21</f>
        <v>0</v>
      </c>
      <c r="H20" s="956">
        <f>'BS-G Old format'!I19</f>
        <v>0</v>
      </c>
    </row>
    <row r="21" spans="1:8" s="295" customFormat="1" ht="24.75" customHeight="1" x14ac:dyDescent="0.25">
      <c r="A21" s="988"/>
      <c r="B21" s="950"/>
      <c r="C21" s="966"/>
      <c r="D21" s="947">
        <f>'BS-G Old format'!G19</f>
        <v>0</v>
      </c>
      <c r="E21" s="947"/>
      <c r="F21" s="947"/>
      <c r="G21" s="947"/>
      <c r="H21" s="956"/>
    </row>
    <row r="22" spans="1:8" s="295" customFormat="1" ht="24.75" customHeight="1" x14ac:dyDescent="0.25">
      <c r="A22" s="988" t="s">
        <v>1050</v>
      </c>
      <c r="B22" s="950" t="s">
        <v>394</v>
      </c>
      <c r="C22" s="966" t="s">
        <v>1567</v>
      </c>
      <c r="D22" s="947">
        <f>'BS-G Old format'!F20</f>
        <v>0</v>
      </c>
      <c r="E22" s="947"/>
      <c r="F22" s="947"/>
      <c r="G22" s="947">
        <f>D22-D23</f>
        <v>0</v>
      </c>
      <c r="H22" s="956">
        <f>'BS-G Old format'!I20</f>
        <v>0</v>
      </c>
    </row>
    <row r="23" spans="1:8" s="295" customFormat="1" ht="24.75" customHeight="1" x14ac:dyDescent="0.25">
      <c r="A23" s="988"/>
      <c r="B23" s="950"/>
      <c r="C23" s="966"/>
      <c r="D23" s="947">
        <f>'BS-G Old format'!G20</f>
        <v>0</v>
      </c>
      <c r="E23" s="947"/>
      <c r="F23" s="947"/>
      <c r="G23" s="947"/>
      <c r="H23" s="956"/>
    </row>
    <row r="24" spans="1:8" s="295" customFormat="1" ht="24.75" customHeight="1" x14ac:dyDescent="0.25">
      <c r="A24" s="988" t="s">
        <v>1052</v>
      </c>
      <c r="B24" s="950" t="s">
        <v>395</v>
      </c>
      <c r="C24" s="966" t="s">
        <v>2697</v>
      </c>
      <c r="D24" s="947">
        <f>'BS-G Old format'!F21</f>
        <v>0</v>
      </c>
      <c r="E24" s="947"/>
      <c r="F24" s="947"/>
      <c r="G24" s="947">
        <f>D24-D25</f>
        <v>0</v>
      </c>
      <c r="H24" s="956">
        <f>'BS-G Old format'!I21</f>
        <v>0</v>
      </c>
    </row>
    <row r="25" spans="1:8" s="295" customFormat="1" ht="24.75" customHeight="1" x14ac:dyDescent="0.25">
      <c r="A25" s="988"/>
      <c r="B25" s="950"/>
      <c r="C25" s="966"/>
      <c r="D25" s="947">
        <f>'BS-G Old format'!G21</f>
        <v>0</v>
      </c>
      <c r="E25" s="947"/>
      <c r="F25" s="947"/>
      <c r="G25" s="947"/>
      <c r="H25" s="956"/>
    </row>
    <row r="26" spans="1:8" s="295" customFormat="1" ht="24.75" customHeight="1" x14ac:dyDescent="0.25">
      <c r="A26" s="988" t="s">
        <v>1054</v>
      </c>
      <c r="B26" s="950" t="s">
        <v>396</v>
      </c>
      <c r="C26" s="966" t="s">
        <v>2699</v>
      </c>
      <c r="D26" s="947">
        <f>'BS-G Old format'!F22</f>
        <v>0</v>
      </c>
      <c r="E26" s="947"/>
      <c r="F26" s="947"/>
      <c r="G26" s="947">
        <f>D26-D27</f>
        <v>0</v>
      </c>
      <c r="H26" s="956">
        <f>'BS-G Old format'!I22</f>
        <v>0</v>
      </c>
    </row>
    <row r="27" spans="1:8" s="295" customFormat="1" ht="27.75" customHeight="1" x14ac:dyDescent="0.25">
      <c r="A27" s="988"/>
      <c r="B27" s="950"/>
      <c r="C27" s="966"/>
      <c r="D27" s="947">
        <f>'BS-G Old format'!G22</f>
        <v>0</v>
      </c>
      <c r="E27" s="947"/>
      <c r="F27" s="947"/>
      <c r="G27" s="947"/>
      <c r="H27" s="956"/>
    </row>
    <row r="28" spans="1:8" s="291" customFormat="1" ht="24" customHeight="1" x14ac:dyDescent="0.25">
      <c r="A28" s="968" t="s">
        <v>943</v>
      </c>
      <c r="B28" s="949" t="s">
        <v>397</v>
      </c>
      <c r="C28" s="969" t="s">
        <v>262</v>
      </c>
      <c r="D28" s="952">
        <f>'BS-G Old format'!F24</f>
        <v>0</v>
      </c>
      <c r="E28" s="952"/>
      <c r="F28" s="952"/>
      <c r="G28" s="952">
        <f>D28-D29</f>
        <v>0</v>
      </c>
      <c r="H28" s="973">
        <f>'BS-G Old format'!I24</f>
        <v>0</v>
      </c>
    </row>
    <row r="29" spans="1:8" s="291" customFormat="1" ht="21.75" customHeight="1" x14ac:dyDescent="0.25">
      <c r="A29" s="968"/>
      <c r="B29" s="949"/>
      <c r="C29" s="969"/>
      <c r="D29" s="952">
        <f>'BS-G Old format'!G24</f>
        <v>0</v>
      </c>
      <c r="E29" s="952"/>
      <c r="F29" s="952"/>
      <c r="G29" s="952"/>
      <c r="H29" s="973"/>
    </row>
    <row r="30" spans="1:8" s="295" customFormat="1" ht="21.75" customHeight="1" x14ac:dyDescent="0.25">
      <c r="A30" s="989" t="s">
        <v>1056</v>
      </c>
      <c r="B30" s="950" t="s">
        <v>476</v>
      </c>
      <c r="C30" s="966" t="s">
        <v>2767</v>
      </c>
      <c r="D30" s="947">
        <f>'BS-G Old format'!F25</f>
        <v>0</v>
      </c>
      <c r="E30" s="947"/>
      <c r="F30" s="947"/>
      <c r="G30" s="947">
        <f>D30-D31</f>
        <v>0</v>
      </c>
      <c r="H30" s="956">
        <f>'BS-G Old format'!I25</f>
        <v>0</v>
      </c>
    </row>
    <row r="31" spans="1:8" s="295" customFormat="1" ht="24" customHeight="1" thickBot="1" x14ac:dyDescent="0.3">
      <c r="A31" s="990"/>
      <c r="B31" s="950"/>
      <c r="C31" s="967"/>
      <c r="D31" s="948">
        <f>'BS-G Old format'!G25</f>
        <v>0</v>
      </c>
      <c r="E31" s="948"/>
      <c r="F31" s="948"/>
      <c r="G31" s="948"/>
      <c r="H31" s="957"/>
    </row>
    <row r="32" spans="1:8" s="282" customFormat="1" ht="11.25" customHeight="1" x14ac:dyDescent="0.25">
      <c r="A32" s="960" t="s">
        <v>780</v>
      </c>
      <c r="B32" s="946" t="s">
        <v>784</v>
      </c>
      <c r="C32" s="962" t="s">
        <v>781</v>
      </c>
      <c r="D32" s="281"/>
      <c r="E32" s="946" t="s">
        <v>80</v>
      </c>
      <c r="F32" s="946"/>
      <c r="G32" s="946"/>
      <c r="H32" s="976" t="s">
        <v>81</v>
      </c>
    </row>
    <row r="33" spans="1:8" s="282" customFormat="1" ht="11.25" customHeight="1" x14ac:dyDescent="0.25">
      <c r="A33" s="961"/>
      <c r="B33" s="954"/>
      <c r="C33" s="963"/>
      <c r="D33" s="978">
        <v>1</v>
      </c>
      <c r="E33" s="954" t="s">
        <v>785</v>
      </c>
      <c r="F33" s="954"/>
      <c r="G33" s="979" t="s">
        <v>86</v>
      </c>
      <c r="H33" s="977"/>
    </row>
    <row r="34" spans="1:8" s="282" customFormat="1" ht="11.25" customHeight="1" x14ac:dyDescent="0.25">
      <c r="A34" s="961"/>
      <c r="B34" s="954"/>
      <c r="C34" s="963"/>
      <c r="D34" s="978"/>
      <c r="E34" s="954" t="s">
        <v>793</v>
      </c>
      <c r="F34" s="954"/>
      <c r="G34" s="979"/>
      <c r="H34" s="288" t="s">
        <v>87</v>
      </c>
    </row>
    <row r="35" spans="1:8" s="298" customFormat="1" ht="23.25" customHeight="1" x14ac:dyDescent="0.25">
      <c r="A35" s="988" t="s">
        <v>773</v>
      </c>
      <c r="B35" s="950" t="s">
        <v>477</v>
      </c>
      <c r="C35" s="966" t="s">
        <v>347</v>
      </c>
      <c r="D35" s="947">
        <f>'BS-G Old format'!F26</f>
        <v>0</v>
      </c>
      <c r="E35" s="947"/>
      <c r="F35" s="947"/>
      <c r="G35" s="947">
        <f>D35-D36</f>
        <v>0</v>
      </c>
      <c r="H35" s="956">
        <f>'BS-G Old format'!I26</f>
        <v>0</v>
      </c>
    </row>
    <row r="36" spans="1:8" s="298" customFormat="1" ht="22.5" customHeight="1" x14ac:dyDescent="0.25">
      <c r="A36" s="988"/>
      <c r="B36" s="950"/>
      <c r="C36" s="966"/>
      <c r="D36" s="947">
        <f>'BS-G Old format'!G26</f>
        <v>0</v>
      </c>
      <c r="E36" s="947"/>
      <c r="F36" s="947"/>
      <c r="G36" s="947"/>
      <c r="H36" s="956"/>
    </row>
    <row r="37" spans="1:8" s="298" customFormat="1" ht="25.5" customHeight="1" x14ac:dyDescent="0.25">
      <c r="A37" s="988" t="s">
        <v>774</v>
      </c>
      <c r="B37" s="950" t="s">
        <v>398</v>
      </c>
      <c r="C37" s="966" t="s">
        <v>743</v>
      </c>
      <c r="D37" s="947">
        <f>'BS-G Old format'!F27</f>
        <v>0</v>
      </c>
      <c r="E37" s="947"/>
      <c r="F37" s="947"/>
      <c r="G37" s="947">
        <f>D37-D38</f>
        <v>0</v>
      </c>
      <c r="H37" s="956">
        <f>'BS-G Old format'!I27</f>
        <v>0</v>
      </c>
    </row>
    <row r="38" spans="1:8" s="298" customFormat="1" ht="26.25" customHeight="1" x14ac:dyDescent="0.25">
      <c r="A38" s="988"/>
      <c r="B38" s="950"/>
      <c r="C38" s="966"/>
      <c r="D38" s="947">
        <f>'BS-G Old format'!G27</f>
        <v>0</v>
      </c>
      <c r="E38" s="947"/>
      <c r="F38" s="947"/>
      <c r="G38" s="947"/>
      <c r="H38" s="956"/>
    </row>
    <row r="39" spans="1:8" s="298" customFormat="1" ht="23.25" customHeight="1" x14ac:dyDescent="0.25">
      <c r="A39" s="988" t="s">
        <v>1046</v>
      </c>
      <c r="B39" s="950" t="s">
        <v>399</v>
      </c>
      <c r="C39" s="966" t="s">
        <v>744</v>
      </c>
      <c r="D39" s="947">
        <f>'BS-G Old format'!F28</f>
        <v>0</v>
      </c>
      <c r="E39" s="947"/>
      <c r="F39" s="947"/>
      <c r="G39" s="947">
        <f>D39-D40</f>
        <v>0</v>
      </c>
      <c r="H39" s="956">
        <f>'BS-G Old format'!I28</f>
        <v>0</v>
      </c>
    </row>
    <row r="40" spans="1:8" s="298" customFormat="1" ht="23.25" customHeight="1" x14ac:dyDescent="0.25">
      <c r="A40" s="988"/>
      <c r="B40" s="950"/>
      <c r="C40" s="966"/>
      <c r="D40" s="947">
        <f>'BS-G Old format'!G28</f>
        <v>0</v>
      </c>
      <c r="E40" s="947"/>
      <c r="F40" s="947"/>
      <c r="G40" s="947"/>
      <c r="H40" s="956"/>
    </row>
    <row r="41" spans="1:8" s="298" customFormat="1" ht="23.25" customHeight="1" x14ac:dyDescent="0.25">
      <c r="A41" s="988" t="s">
        <v>1048</v>
      </c>
      <c r="B41" s="950" t="s">
        <v>479</v>
      </c>
      <c r="C41" s="966" t="s">
        <v>2770</v>
      </c>
      <c r="D41" s="947">
        <f>'BS-G Old format'!F29</f>
        <v>0</v>
      </c>
      <c r="E41" s="947"/>
      <c r="F41" s="947"/>
      <c r="G41" s="947">
        <f>D41-D42</f>
        <v>0</v>
      </c>
      <c r="H41" s="956">
        <f>'BS-G Old format'!I29</f>
        <v>0</v>
      </c>
    </row>
    <row r="42" spans="1:8" s="298" customFormat="1" ht="23.25" customHeight="1" x14ac:dyDescent="0.25">
      <c r="A42" s="988"/>
      <c r="B42" s="950"/>
      <c r="C42" s="966"/>
      <c r="D42" s="947">
        <f>'BS-G Old format'!G29</f>
        <v>0</v>
      </c>
      <c r="E42" s="947"/>
      <c r="F42" s="947"/>
      <c r="G42" s="947"/>
      <c r="H42" s="956"/>
    </row>
    <row r="43" spans="1:8" s="298" customFormat="1" ht="24.75" customHeight="1" x14ac:dyDescent="0.25">
      <c r="A43" s="988" t="s">
        <v>1050</v>
      </c>
      <c r="B43" s="950" t="s">
        <v>400</v>
      </c>
      <c r="C43" s="966" t="s">
        <v>2771</v>
      </c>
      <c r="D43" s="947">
        <f>'BS-G Old format'!F30</f>
        <v>0</v>
      </c>
      <c r="E43" s="947"/>
      <c r="F43" s="947"/>
      <c r="G43" s="947">
        <f>D43-D44</f>
        <v>0</v>
      </c>
      <c r="H43" s="956">
        <f>'BS-G Old format'!I30</f>
        <v>0</v>
      </c>
    </row>
    <row r="44" spans="1:8" s="298" customFormat="1" ht="25.5" customHeight="1" x14ac:dyDescent="0.25">
      <c r="A44" s="988"/>
      <c r="B44" s="950"/>
      <c r="C44" s="966"/>
      <c r="D44" s="947">
        <f>'BS-G Old format'!G30</f>
        <v>0</v>
      </c>
      <c r="E44" s="947"/>
      <c r="F44" s="947"/>
      <c r="G44" s="947"/>
      <c r="H44" s="956"/>
    </row>
    <row r="45" spans="1:8" s="298" customFormat="1" ht="24" customHeight="1" x14ac:dyDescent="0.25">
      <c r="A45" s="988" t="s">
        <v>1052</v>
      </c>
      <c r="B45" s="950" t="s">
        <v>1700</v>
      </c>
      <c r="C45" s="966" t="s">
        <v>745</v>
      </c>
      <c r="D45" s="947">
        <f>'BS-G Old format'!F31</f>
        <v>0</v>
      </c>
      <c r="E45" s="947"/>
      <c r="F45" s="947"/>
      <c r="G45" s="947">
        <f>D45-D46</f>
        <v>0</v>
      </c>
      <c r="H45" s="956">
        <f>'BS-G Old format'!I31</f>
        <v>0</v>
      </c>
    </row>
    <row r="46" spans="1:8" s="298" customFormat="1" ht="24.75" customHeight="1" x14ac:dyDescent="0.25">
      <c r="A46" s="988"/>
      <c r="B46" s="950"/>
      <c r="C46" s="966"/>
      <c r="D46" s="947">
        <f>'BS-G Old format'!G31</f>
        <v>0</v>
      </c>
      <c r="E46" s="947"/>
      <c r="F46" s="947"/>
      <c r="G46" s="947"/>
      <c r="H46" s="956"/>
    </row>
    <row r="47" spans="1:8" s="298" customFormat="1" ht="24.75" customHeight="1" x14ac:dyDescent="0.25">
      <c r="A47" s="988" t="s">
        <v>1054</v>
      </c>
      <c r="B47" s="950" t="s">
        <v>401</v>
      </c>
      <c r="C47" s="966" t="s">
        <v>2775</v>
      </c>
      <c r="D47" s="947">
        <f>'BS-G Old format'!F32</f>
        <v>0</v>
      </c>
      <c r="E47" s="947"/>
      <c r="F47" s="947"/>
      <c r="G47" s="947">
        <f>D47-D48</f>
        <v>0</v>
      </c>
      <c r="H47" s="956">
        <f>'BS-G Old format'!I32</f>
        <v>0</v>
      </c>
    </row>
    <row r="48" spans="1:8" s="298" customFormat="1" ht="28.5" customHeight="1" x14ac:dyDescent="0.25">
      <c r="A48" s="988"/>
      <c r="B48" s="950"/>
      <c r="C48" s="966"/>
      <c r="D48" s="947">
        <f>'BS-G Old format'!G32</f>
        <v>0</v>
      </c>
      <c r="E48" s="947"/>
      <c r="F48" s="947"/>
      <c r="G48" s="947"/>
      <c r="H48" s="956"/>
    </row>
    <row r="49" spans="1:8" s="298" customFormat="1" ht="22.5" customHeight="1" x14ac:dyDescent="0.25">
      <c r="A49" s="988" t="s">
        <v>1220</v>
      </c>
      <c r="B49" s="950" t="s">
        <v>402</v>
      </c>
      <c r="C49" s="966" t="s">
        <v>2776</v>
      </c>
      <c r="D49" s="947">
        <f>'BS-G Old format'!F33</f>
        <v>0</v>
      </c>
      <c r="E49" s="947"/>
      <c r="F49" s="947"/>
      <c r="G49" s="947">
        <f>D49-D50</f>
        <v>0</v>
      </c>
      <c r="H49" s="956">
        <f>'BS-G Old format'!I33</f>
        <v>0</v>
      </c>
    </row>
    <row r="50" spans="1:8" s="298" customFormat="1" ht="23.25" customHeight="1" x14ac:dyDescent="0.25">
      <c r="A50" s="988"/>
      <c r="B50" s="950"/>
      <c r="C50" s="966"/>
      <c r="D50" s="947">
        <f>'BS-G Old format'!G33</f>
        <v>0</v>
      </c>
      <c r="E50" s="947"/>
      <c r="F50" s="947"/>
      <c r="G50" s="947"/>
      <c r="H50" s="956"/>
    </row>
    <row r="51" spans="1:8" s="299" customFormat="1" ht="21.75" customHeight="1" x14ac:dyDescent="0.25">
      <c r="A51" s="968" t="s">
        <v>279</v>
      </c>
      <c r="B51" s="949" t="s">
        <v>403</v>
      </c>
      <c r="C51" s="969" t="s">
        <v>902</v>
      </c>
      <c r="D51" s="952">
        <f>'BS-G Old format'!F35</f>
        <v>0</v>
      </c>
      <c r="E51" s="952"/>
      <c r="F51" s="952"/>
      <c r="G51" s="952">
        <f>D51-D52</f>
        <v>0</v>
      </c>
      <c r="H51" s="973">
        <f>'BS-G Old format'!I35</f>
        <v>0</v>
      </c>
    </row>
    <row r="52" spans="1:8" s="299" customFormat="1" ht="22.5" customHeight="1" x14ac:dyDescent="0.25">
      <c r="A52" s="968"/>
      <c r="B52" s="949"/>
      <c r="C52" s="969"/>
      <c r="D52" s="952">
        <f>'BS-G Old format'!G35</f>
        <v>0</v>
      </c>
      <c r="E52" s="952"/>
      <c r="F52" s="952"/>
      <c r="G52" s="952"/>
      <c r="H52" s="973"/>
    </row>
    <row r="53" spans="1:8" s="298" customFormat="1" ht="27" customHeight="1" x14ac:dyDescent="0.25">
      <c r="A53" s="992" t="s">
        <v>746</v>
      </c>
      <c r="B53" s="950" t="s">
        <v>2693</v>
      </c>
      <c r="C53" s="966" t="s">
        <v>1037</v>
      </c>
      <c r="D53" s="947">
        <f>'BS-G Old format'!F36</f>
        <v>0</v>
      </c>
      <c r="E53" s="947"/>
      <c r="F53" s="947"/>
      <c r="G53" s="947">
        <f>D53-D54</f>
        <v>0</v>
      </c>
      <c r="H53" s="956">
        <f>'BS-G Old format'!I36</f>
        <v>0</v>
      </c>
    </row>
    <row r="54" spans="1:8" s="298" customFormat="1" ht="25.5" customHeight="1" x14ac:dyDescent="0.25">
      <c r="A54" s="992"/>
      <c r="B54" s="950"/>
      <c r="C54" s="966"/>
      <c r="D54" s="947">
        <f>'BS-G Old format'!G36</f>
        <v>0</v>
      </c>
      <c r="E54" s="947"/>
      <c r="F54" s="947"/>
      <c r="G54" s="947"/>
      <c r="H54" s="956"/>
    </row>
    <row r="55" spans="1:8" s="298" customFormat="1" ht="26.25" customHeight="1" x14ac:dyDescent="0.25">
      <c r="A55" s="988" t="s">
        <v>773</v>
      </c>
      <c r="B55" s="950" t="s">
        <v>348</v>
      </c>
      <c r="C55" s="966" t="s">
        <v>1038</v>
      </c>
      <c r="D55" s="947">
        <f>'BS-G Old format'!F37</f>
        <v>0</v>
      </c>
      <c r="E55" s="947"/>
      <c r="F55" s="947"/>
      <c r="G55" s="947">
        <f>D55-D56</f>
        <v>0</v>
      </c>
      <c r="H55" s="956">
        <f>'BS-G Old format'!I37</f>
        <v>0</v>
      </c>
    </row>
    <row r="56" spans="1:8" s="298" customFormat="1" ht="26.25" customHeight="1" x14ac:dyDescent="0.25">
      <c r="A56" s="988"/>
      <c r="B56" s="950"/>
      <c r="C56" s="966"/>
      <c r="D56" s="947">
        <f>'BS-G Old format'!G37</f>
        <v>0</v>
      </c>
      <c r="E56" s="947"/>
      <c r="F56" s="947"/>
      <c r="G56" s="947"/>
      <c r="H56" s="956"/>
    </row>
    <row r="57" spans="1:8" s="298" customFormat="1" ht="24" customHeight="1" x14ac:dyDescent="0.25">
      <c r="A57" s="988" t="s">
        <v>774</v>
      </c>
      <c r="B57" s="950" t="s">
        <v>1524</v>
      </c>
      <c r="C57" s="966" t="s">
        <v>1041</v>
      </c>
      <c r="D57" s="947">
        <f>'BS-G Old format'!F38</f>
        <v>0</v>
      </c>
      <c r="E57" s="947"/>
      <c r="F57" s="947"/>
      <c r="G57" s="947">
        <f>D57-D58</f>
        <v>0</v>
      </c>
      <c r="H57" s="956">
        <f>'BS-G Old format'!I38</f>
        <v>0</v>
      </c>
    </row>
    <row r="58" spans="1:8" s="298" customFormat="1" ht="22.5" customHeight="1" x14ac:dyDescent="0.25">
      <c r="A58" s="988"/>
      <c r="B58" s="950"/>
      <c r="C58" s="966"/>
      <c r="D58" s="947">
        <f>'BS-G Old format'!G38</f>
        <v>0</v>
      </c>
      <c r="E58" s="947"/>
      <c r="F58" s="947"/>
      <c r="G58" s="947"/>
      <c r="H58" s="956"/>
    </row>
    <row r="59" spans="1:8" s="298" customFormat="1" ht="26.25" customHeight="1" x14ac:dyDescent="0.25">
      <c r="A59" s="988" t="s">
        <v>1046</v>
      </c>
      <c r="B59" s="950" t="s">
        <v>1611</v>
      </c>
      <c r="C59" s="966" t="s">
        <v>747</v>
      </c>
      <c r="D59" s="947">
        <f>'BS-G Old format'!F39</f>
        <v>0</v>
      </c>
      <c r="E59" s="947"/>
      <c r="F59" s="947"/>
      <c r="G59" s="947">
        <f>D59-D60</f>
        <v>0</v>
      </c>
      <c r="H59" s="956">
        <f>'BS-G Old format'!I39</f>
        <v>0</v>
      </c>
    </row>
    <row r="60" spans="1:8" s="298" customFormat="1" ht="26.25" customHeight="1" x14ac:dyDescent="0.25">
      <c r="A60" s="988"/>
      <c r="B60" s="950"/>
      <c r="C60" s="966"/>
      <c r="D60" s="947">
        <f>'BS-G Old format'!G39</f>
        <v>0</v>
      </c>
      <c r="E60" s="947"/>
      <c r="F60" s="947"/>
      <c r="G60" s="947"/>
      <c r="H60" s="956"/>
    </row>
    <row r="61" spans="1:8" s="298" customFormat="1" ht="25.5" customHeight="1" x14ac:dyDescent="0.25">
      <c r="A61" s="988" t="s">
        <v>1048</v>
      </c>
      <c r="B61" s="950" t="s">
        <v>661</v>
      </c>
      <c r="C61" s="966" t="s">
        <v>2633</v>
      </c>
      <c r="D61" s="947">
        <f>'BS-G Old format'!F40</f>
        <v>0</v>
      </c>
      <c r="E61" s="947"/>
      <c r="F61" s="947"/>
      <c r="G61" s="947">
        <f>D61-D62</f>
        <v>0</v>
      </c>
      <c r="H61" s="956">
        <f>'BS-G Old format'!I40</f>
        <v>0</v>
      </c>
    </row>
    <row r="62" spans="1:8" s="298" customFormat="1" ht="24" customHeight="1" thickBot="1" x14ac:dyDescent="0.3">
      <c r="A62" s="991"/>
      <c r="B62" s="950"/>
      <c r="C62" s="967"/>
      <c r="D62" s="948">
        <f>'BS-G Old format'!G40</f>
        <v>0</v>
      </c>
      <c r="E62" s="948"/>
      <c r="F62" s="948"/>
      <c r="G62" s="948"/>
      <c r="H62" s="957"/>
    </row>
    <row r="63" spans="1:8" s="282" customFormat="1" ht="11.25" customHeight="1" x14ac:dyDescent="0.25">
      <c r="A63" s="960" t="s">
        <v>780</v>
      </c>
      <c r="B63" s="946" t="s">
        <v>784</v>
      </c>
      <c r="C63" s="962" t="s">
        <v>781</v>
      </c>
      <c r="D63" s="281"/>
      <c r="E63" s="946" t="s">
        <v>80</v>
      </c>
      <c r="F63" s="946"/>
      <c r="G63" s="946"/>
      <c r="H63" s="976" t="s">
        <v>81</v>
      </c>
    </row>
    <row r="64" spans="1:8" s="282" customFormat="1" ht="11.25" customHeight="1" x14ac:dyDescent="0.25">
      <c r="A64" s="961"/>
      <c r="B64" s="954"/>
      <c r="C64" s="963"/>
      <c r="D64" s="978">
        <v>1</v>
      </c>
      <c r="E64" s="954" t="s">
        <v>785</v>
      </c>
      <c r="F64" s="954"/>
      <c r="G64" s="979" t="s">
        <v>86</v>
      </c>
      <c r="H64" s="977"/>
    </row>
    <row r="65" spans="1:8" s="282" customFormat="1" ht="11.25" customHeight="1" x14ac:dyDescent="0.25">
      <c r="A65" s="961"/>
      <c r="B65" s="954"/>
      <c r="C65" s="963"/>
      <c r="D65" s="978"/>
      <c r="E65" s="954" t="s">
        <v>793</v>
      </c>
      <c r="F65" s="954"/>
      <c r="G65" s="979"/>
      <c r="H65" s="288" t="s">
        <v>87</v>
      </c>
    </row>
    <row r="66" spans="1:8" s="298" customFormat="1" ht="26.25" customHeight="1" x14ac:dyDescent="0.25">
      <c r="A66" s="988" t="s">
        <v>1050</v>
      </c>
      <c r="B66" s="998" t="s">
        <v>662</v>
      </c>
      <c r="C66" s="966" t="s">
        <v>308</v>
      </c>
      <c r="D66" s="947">
        <f>'BS-G Old format'!F41</f>
        <v>0</v>
      </c>
      <c r="E66" s="947"/>
      <c r="F66" s="947"/>
      <c r="G66" s="947">
        <f>D66-D67</f>
        <v>0</v>
      </c>
      <c r="H66" s="956">
        <f>'BS-G Old format'!I41</f>
        <v>0</v>
      </c>
    </row>
    <row r="67" spans="1:8" s="298" customFormat="1" ht="26.25" customHeight="1" x14ac:dyDescent="0.25">
      <c r="A67" s="988"/>
      <c r="B67" s="998"/>
      <c r="C67" s="966"/>
      <c r="D67" s="947">
        <f>'BS-G Old format'!G41</f>
        <v>0</v>
      </c>
      <c r="E67" s="947"/>
      <c r="F67" s="947"/>
      <c r="G67" s="947"/>
      <c r="H67" s="956"/>
    </row>
    <row r="68" spans="1:8" s="298" customFormat="1" ht="22.5" customHeight="1" x14ac:dyDescent="0.25">
      <c r="A68" s="988" t="s">
        <v>1052</v>
      </c>
      <c r="B68" s="998" t="s">
        <v>663</v>
      </c>
      <c r="C68" s="966" t="s">
        <v>1802</v>
      </c>
      <c r="D68" s="947">
        <f>'BS-G Old format'!F42</f>
        <v>0</v>
      </c>
      <c r="E68" s="947"/>
      <c r="F68" s="947"/>
      <c r="G68" s="947">
        <f>D68-D69</f>
        <v>0</v>
      </c>
      <c r="H68" s="956">
        <f>'BS-G Old format'!I42</f>
        <v>0</v>
      </c>
    </row>
    <row r="69" spans="1:8" s="298" customFormat="1" ht="22.5" customHeight="1" x14ac:dyDescent="0.25">
      <c r="A69" s="988"/>
      <c r="B69" s="998"/>
      <c r="C69" s="966"/>
      <c r="D69" s="947">
        <f>'BS-G Old format'!G42</f>
        <v>0</v>
      </c>
      <c r="E69" s="947"/>
      <c r="F69" s="947"/>
      <c r="G69" s="947"/>
      <c r="H69" s="956"/>
    </row>
    <row r="70" spans="1:8" s="298" customFormat="1" ht="26.25" customHeight="1" x14ac:dyDescent="0.25">
      <c r="A70" s="988" t="s">
        <v>1054</v>
      </c>
      <c r="B70" s="998" t="s">
        <v>664</v>
      </c>
      <c r="C70" s="966" t="s">
        <v>312</v>
      </c>
      <c r="D70" s="947">
        <f>'BS-G Old format'!F43</f>
        <v>0</v>
      </c>
      <c r="E70" s="947"/>
      <c r="F70" s="947"/>
      <c r="G70" s="947">
        <f>D70-D71</f>
        <v>0</v>
      </c>
      <c r="H70" s="956">
        <f>'BS-G Old format'!I43</f>
        <v>0</v>
      </c>
    </row>
    <row r="71" spans="1:8" s="298" customFormat="1" ht="26.25" customHeight="1" x14ac:dyDescent="0.25">
      <c r="A71" s="988"/>
      <c r="B71" s="998"/>
      <c r="C71" s="966"/>
      <c r="D71" s="947">
        <f>'BS-G Old format'!G43</f>
        <v>0</v>
      </c>
      <c r="E71" s="947"/>
      <c r="F71" s="947"/>
      <c r="G71" s="947"/>
      <c r="H71" s="956"/>
    </row>
    <row r="72" spans="1:8" s="299" customFormat="1" ht="23.25" customHeight="1" x14ac:dyDescent="0.25">
      <c r="A72" s="968" t="s">
        <v>261</v>
      </c>
      <c r="B72" s="999" t="s">
        <v>2151</v>
      </c>
      <c r="C72" s="969" t="s">
        <v>315</v>
      </c>
      <c r="D72" s="952">
        <f>'BS-G Old format'!F45</f>
        <v>9087.01</v>
      </c>
      <c r="E72" s="952"/>
      <c r="F72" s="952"/>
      <c r="G72" s="952">
        <f>D72-D73</f>
        <v>9087.01</v>
      </c>
      <c r="H72" s="973" t="e">
        <f>'BS-G Old format'!I45</f>
        <v>#REF!</v>
      </c>
    </row>
    <row r="73" spans="1:8" s="299" customFormat="1" ht="23.25" customHeight="1" x14ac:dyDescent="0.25">
      <c r="A73" s="968"/>
      <c r="B73" s="999"/>
      <c r="C73" s="969"/>
      <c r="D73" s="952">
        <f>'BS-G Old format'!G45</f>
        <v>0</v>
      </c>
      <c r="E73" s="952"/>
      <c r="F73" s="952"/>
      <c r="G73" s="952"/>
      <c r="H73" s="973"/>
    </row>
    <row r="74" spans="1:8" s="299" customFormat="1" ht="23.25" customHeight="1" x14ac:dyDescent="0.25">
      <c r="A74" s="968" t="s">
        <v>944</v>
      </c>
      <c r="B74" s="999" t="s">
        <v>665</v>
      </c>
      <c r="C74" s="969" t="s">
        <v>1805</v>
      </c>
      <c r="D74" s="952">
        <f>'BS-G Old format'!F47</f>
        <v>0</v>
      </c>
      <c r="E74" s="952"/>
      <c r="F74" s="952"/>
      <c r="G74" s="952">
        <f>D74-D75</f>
        <v>0</v>
      </c>
      <c r="H74" s="973">
        <f>'BS-G Old format'!I47</f>
        <v>0</v>
      </c>
    </row>
    <row r="75" spans="1:8" s="299" customFormat="1" ht="22.5" customHeight="1" x14ac:dyDescent="0.25">
      <c r="A75" s="968"/>
      <c r="B75" s="999"/>
      <c r="C75" s="969"/>
      <c r="D75" s="952">
        <f>'BS-G Old format'!G47</f>
        <v>0</v>
      </c>
      <c r="E75" s="952"/>
      <c r="F75" s="952"/>
      <c r="G75" s="952"/>
      <c r="H75" s="973"/>
    </row>
    <row r="76" spans="1:8" s="298" customFormat="1" ht="24" customHeight="1" x14ac:dyDescent="0.25">
      <c r="A76" s="989" t="s">
        <v>1159</v>
      </c>
      <c r="B76" s="998" t="s">
        <v>2152</v>
      </c>
      <c r="C76" s="966" t="s">
        <v>1806</v>
      </c>
      <c r="D76" s="947">
        <f>'BS-G Old format'!F48</f>
        <v>0</v>
      </c>
      <c r="E76" s="947"/>
      <c r="F76" s="947"/>
      <c r="G76" s="947">
        <f>D76-D77</f>
        <v>0</v>
      </c>
      <c r="H76" s="956">
        <f>'BS-G Old format'!I48</f>
        <v>0</v>
      </c>
    </row>
    <row r="77" spans="1:8" s="298" customFormat="1" ht="23.25" customHeight="1" x14ac:dyDescent="0.25">
      <c r="A77" s="989"/>
      <c r="B77" s="998"/>
      <c r="C77" s="966"/>
      <c r="D77" s="947">
        <f>'BS-G Old format'!G48</f>
        <v>0</v>
      </c>
      <c r="E77" s="947"/>
      <c r="F77" s="947"/>
      <c r="G77" s="947"/>
      <c r="H77" s="956"/>
    </row>
    <row r="78" spans="1:8" s="298" customFormat="1" ht="24.75" customHeight="1" x14ac:dyDescent="0.25">
      <c r="A78" s="988" t="s">
        <v>773</v>
      </c>
      <c r="B78" s="998" t="s">
        <v>542</v>
      </c>
      <c r="C78" s="966" t="s">
        <v>1808</v>
      </c>
      <c r="D78" s="947">
        <f>'BS-G Old format'!F49</f>
        <v>0</v>
      </c>
      <c r="E78" s="947"/>
      <c r="F78" s="947"/>
      <c r="G78" s="947">
        <f>D78-D79</f>
        <v>0</v>
      </c>
      <c r="H78" s="956">
        <f>'BS-G Old format'!I49</f>
        <v>0</v>
      </c>
    </row>
    <row r="79" spans="1:8" s="298" customFormat="1" ht="24.75" customHeight="1" x14ac:dyDescent="0.25">
      <c r="A79" s="988"/>
      <c r="B79" s="998"/>
      <c r="C79" s="966"/>
      <c r="D79" s="947">
        <f>'BS-G Old format'!G49</f>
        <v>0</v>
      </c>
      <c r="E79" s="947"/>
      <c r="F79" s="947"/>
      <c r="G79" s="947"/>
      <c r="H79" s="956"/>
    </row>
    <row r="80" spans="1:8" s="298" customFormat="1" ht="26.25" customHeight="1" x14ac:dyDescent="0.25">
      <c r="A80" s="988" t="s">
        <v>774</v>
      </c>
      <c r="B80" s="998" t="s">
        <v>543</v>
      </c>
      <c r="C80" s="966" t="s">
        <v>1809</v>
      </c>
      <c r="D80" s="947">
        <f>'BS-G Old format'!F50</f>
        <v>0</v>
      </c>
      <c r="E80" s="947"/>
      <c r="F80" s="947"/>
      <c r="G80" s="947">
        <f>D80-D81</f>
        <v>0</v>
      </c>
      <c r="H80" s="956">
        <f>'BS-G Old format'!I50</f>
        <v>0</v>
      </c>
    </row>
    <row r="81" spans="1:8" s="298" customFormat="1" ht="24.75" customHeight="1" x14ac:dyDescent="0.25">
      <c r="A81" s="988"/>
      <c r="B81" s="998"/>
      <c r="C81" s="966"/>
      <c r="D81" s="947">
        <f>'BS-G Old format'!G50</f>
        <v>0</v>
      </c>
      <c r="E81" s="947"/>
      <c r="F81" s="947"/>
      <c r="G81" s="947"/>
      <c r="H81" s="956"/>
    </row>
    <row r="82" spans="1:8" s="298" customFormat="1" ht="24.75" customHeight="1" x14ac:dyDescent="0.25">
      <c r="A82" s="988" t="s">
        <v>1046</v>
      </c>
      <c r="B82" s="998" t="s">
        <v>2154</v>
      </c>
      <c r="C82" s="966" t="s">
        <v>1810</v>
      </c>
      <c r="D82" s="947">
        <f>'BS-G Old format'!F51</f>
        <v>0</v>
      </c>
      <c r="E82" s="947"/>
      <c r="F82" s="947"/>
      <c r="G82" s="947">
        <f>D82-D83</f>
        <v>0</v>
      </c>
      <c r="H82" s="956">
        <f>'BS-G Old format'!I51</f>
        <v>0</v>
      </c>
    </row>
    <row r="83" spans="1:8" s="298" customFormat="1" ht="24.75" customHeight="1" x14ac:dyDescent="0.25">
      <c r="A83" s="988"/>
      <c r="B83" s="998"/>
      <c r="C83" s="966"/>
      <c r="D83" s="947">
        <f>'BS-G Old format'!G51</f>
        <v>0</v>
      </c>
      <c r="E83" s="947"/>
      <c r="F83" s="947"/>
      <c r="G83" s="947"/>
      <c r="H83" s="956"/>
    </row>
    <row r="84" spans="1:8" s="298" customFormat="1" ht="24.75" customHeight="1" x14ac:dyDescent="0.25">
      <c r="A84" s="988"/>
      <c r="B84" s="998" t="s">
        <v>2281</v>
      </c>
      <c r="C84" s="966" t="s">
        <v>1811</v>
      </c>
      <c r="D84" s="947">
        <f>'BS-G Old format'!F52</f>
        <v>0</v>
      </c>
      <c r="E84" s="947"/>
      <c r="F84" s="947"/>
      <c r="G84" s="947">
        <f>D84-D85</f>
        <v>0</v>
      </c>
      <c r="H84" s="956">
        <f>'BS-G Old format'!I52</f>
        <v>0</v>
      </c>
    </row>
    <row r="85" spans="1:8" s="298" customFormat="1" ht="24.75" customHeight="1" x14ac:dyDescent="0.25">
      <c r="A85" s="988"/>
      <c r="B85" s="998"/>
      <c r="C85" s="966"/>
      <c r="D85" s="947">
        <f>'BS-G Old format'!G52</f>
        <v>0</v>
      </c>
      <c r="E85" s="947"/>
      <c r="F85" s="947"/>
      <c r="G85" s="947"/>
      <c r="H85" s="956"/>
    </row>
    <row r="86" spans="1:8" s="298" customFormat="1" ht="23.25" customHeight="1" x14ac:dyDescent="0.25">
      <c r="A86" s="988" t="s">
        <v>1050</v>
      </c>
      <c r="B86" s="998" t="s">
        <v>2282</v>
      </c>
      <c r="C86" s="966" t="s">
        <v>1812</v>
      </c>
      <c r="D86" s="947">
        <f>'BS-G Old format'!F53</f>
        <v>0</v>
      </c>
      <c r="E86" s="947"/>
      <c r="F86" s="947"/>
      <c r="G86" s="947">
        <f>D86-D87</f>
        <v>0</v>
      </c>
      <c r="H86" s="956">
        <f>'BS-G Old format'!I53</f>
        <v>0</v>
      </c>
    </row>
    <row r="87" spans="1:8" s="298" customFormat="1" ht="22.5" customHeight="1" x14ac:dyDescent="0.25">
      <c r="A87" s="988"/>
      <c r="B87" s="998"/>
      <c r="C87" s="966"/>
      <c r="D87" s="947">
        <f>'BS-G Old format'!G53</f>
        <v>0</v>
      </c>
      <c r="E87" s="947"/>
      <c r="F87" s="947"/>
      <c r="G87" s="947"/>
      <c r="H87" s="956"/>
    </row>
    <row r="88" spans="1:8" s="298" customFormat="1" ht="24.75" customHeight="1" x14ac:dyDescent="0.25">
      <c r="A88" s="988" t="s">
        <v>1052</v>
      </c>
      <c r="B88" s="998" t="s">
        <v>2283</v>
      </c>
      <c r="C88" s="966" t="s">
        <v>1544</v>
      </c>
      <c r="D88" s="947">
        <f>'BS-G Old format'!F54</f>
        <v>0</v>
      </c>
      <c r="E88" s="947"/>
      <c r="F88" s="947"/>
      <c r="G88" s="947">
        <f>D88-D89</f>
        <v>0</v>
      </c>
      <c r="H88" s="956">
        <f>'BS-G Old format'!I54</f>
        <v>0</v>
      </c>
    </row>
    <row r="89" spans="1:8" s="298" customFormat="1" ht="24.75" customHeight="1" x14ac:dyDescent="0.25">
      <c r="A89" s="988"/>
      <c r="B89" s="998"/>
      <c r="C89" s="966"/>
      <c r="D89" s="947">
        <f>'BS-G Old format'!G54</f>
        <v>0</v>
      </c>
      <c r="E89" s="947"/>
      <c r="F89" s="947"/>
      <c r="G89" s="947"/>
      <c r="H89" s="956"/>
    </row>
    <row r="90" spans="1:8" s="299" customFormat="1" ht="24.75" customHeight="1" x14ac:dyDescent="0.25">
      <c r="A90" s="970" t="s">
        <v>945</v>
      </c>
      <c r="B90" s="999" t="s">
        <v>544</v>
      </c>
      <c r="C90" s="969" t="s">
        <v>385</v>
      </c>
      <c r="D90" s="952">
        <f>'BS-G Old format'!F56</f>
        <v>0</v>
      </c>
      <c r="E90" s="952"/>
      <c r="F90" s="952"/>
      <c r="G90" s="952">
        <f>D90-D91</f>
        <v>0</v>
      </c>
      <c r="H90" s="973">
        <f>'BS-G Old format'!I56</f>
        <v>0</v>
      </c>
    </row>
    <row r="91" spans="1:8" s="299" customFormat="1" ht="24.75" customHeight="1" x14ac:dyDescent="0.25">
      <c r="A91" s="970"/>
      <c r="B91" s="999"/>
      <c r="C91" s="969"/>
      <c r="D91" s="952">
        <f>'BS-G Old format'!G56</f>
        <v>0</v>
      </c>
      <c r="E91" s="952"/>
      <c r="F91" s="952"/>
      <c r="G91" s="952"/>
      <c r="H91" s="973"/>
    </row>
    <row r="92" spans="1:8" s="298" customFormat="1" ht="27" customHeight="1" x14ac:dyDescent="0.25">
      <c r="A92" s="989" t="s">
        <v>2861</v>
      </c>
      <c r="B92" s="998" t="s">
        <v>545</v>
      </c>
      <c r="C92" s="966" t="s">
        <v>387</v>
      </c>
      <c r="D92" s="947">
        <f>'BS-G Old format'!F57</f>
        <v>0</v>
      </c>
      <c r="E92" s="947"/>
      <c r="F92" s="947"/>
      <c r="G92" s="947">
        <f>D92-D93</f>
        <v>0</v>
      </c>
      <c r="H92" s="956">
        <f>'BS-G Old format'!I57</f>
        <v>0</v>
      </c>
    </row>
    <row r="93" spans="1:8" s="298" customFormat="1" ht="26.25" customHeight="1" thickBot="1" x14ac:dyDescent="0.3">
      <c r="A93" s="990"/>
      <c r="B93" s="998"/>
      <c r="C93" s="967"/>
      <c r="D93" s="948">
        <f>'BS-G Old format'!G57</f>
        <v>0</v>
      </c>
      <c r="E93" s="948"/>
      <c r="F93" s="948"/>
      <c r="G93" s="948"/>
      <c r="H93" s="957"/>
    </row>
    <row r="94" spans="1:8" s="282" customFormat="1" ht="11.25" customHeight="1" x14ac:dyDescent="0.25">
      <c r="A94" s="960" t="s">
        <v>780</v>
      </c>
      <c r="B94" s="946" t="s">
        <v>784</v>
      </c>
      <c r="C94" s="962" t="s">
        <v>781</v>
      </c>
      <c r="D94" s="281"/>
      <c r="E94" s="946" t="s">
        <v>80</v>
      </c>
      <c r="F94" s="946"/>
      <c r="G94" s="946"/>
      <c r="H94" s="976" t="s">
        <v>81</v>
      </c>
    </row>
    <row r="95" spans="1:8" s="282" customFormat="1" ht="11.25" customHeight="1" x14ac:dyDescent="0.25">
      <c r="A95" s="961"/>
      <c r="B95" s="954"/>
      <c r="C95" s="963"/>
      <c r="D95" s="978">
        <v>1</v>
      </c>
      <c r="E95" s="954" t="s">
        <v>785</v>
      </c>
      <c r="F95" s="954"/>
      <c r="G95" s="979" t="s">
        <v>86</v>
      </c>
      <c r="H95" s="977"/>
    </row>
    <row r="96" spans="1:8" s="282" customFormat="1" ht="11.25" customHeight="1" x14ac:dyDescent="0.25">
      <c r="A96" s="961"/>
      <c r="B96" s="954"/>
      <c r="C96" s="963"/>
      <c r="D96" s="978"/>
      <c r="E96" s="954" t="s">
        <v>793</v>
      </c>
      <c r="F96" s="954"/>
      <c r="G96" s="979"/>
      <c r="H96" s="288" t="s">
        <v>87</v>
      </c>
    </row>
    <row r="97" spans="1:8" ht="27.75" customHeight="1" x14ac:dyDescent="0.25">
      <c r="A97" s="958" t="s">
        <v>773</v>
      </c>
      <c r="B97" s="998" t="s">
        <v>1885</v>
      </c>
      <c r="C97" s="966" t="s">
        <v>1545</v>
      </c>
      <c r="D97" s="947">
        <f>'BS-G Old format'!F58</f>
        <v>0</v>
      </c>
      <c r="E97" s="947"/>
      <c r="F97" s="947"/>
      <c r="G97" s="947">
        <f>D97-D98</f>
        <v>0</v>
      </c>
      <c r="H97" s="956">
        <f>'BS-G Old format'!I58</f>
        <v>0</v>
      </c>
    </row>
    <row r="98" spans="1:8" ht="27" customHeight="1" x14ac:dyDescent="0.25">
      <c r="A98" s="958"/>
      <c r="B98" s="998"/>
      <c r="C98" s="966"/>
      <c r="D98" s="947">
        <f>'BS-G Old format'!G58</f>
        <v>0</v>
      </c>
      <c r="E98" s="947"/>
      <c r="F98" s="947"/>
      <c r="G98" s="947"/>
      <c r="H98" s="956"/>
    </row>
    <row r="99" spans="1:8" ht="24.75" customHeight="1" x14ac:dyDescent="0.25">
      <c r="A99" s="958" t="s">
        <v>774</v>
      </c>
      <c r="B99" s="998" t="s">
        <v>1886</v>
      </c>
      <c r="C99" s="966" t="s">
        <v>1546</v>
      </c>
      <c r="D99" s="947">
        <f>'BS-G Old format'!F59</f>
        <v>0</v>
      </c>
      <c r="E99" s="947"/>
      <c r="F99" s="947"/>
      <c r="G99" s="947">
        <f>D99-D100</f>
        <v>0</v>
      </c>
      <c r="H99" s="956">
        <f>'BS-G Old format'!I59</f>
        <v>0</v>
      </c>
    </row>
    <row r="100" spans="1:8" ht="27.75" customHeight="1" x14ac:dyDescent="0.25">
      <c r="A100" s="958"/>
      <c r="B100" s="998"/>
      <c r="C100" s="966"/>
      <c r="D100" s="947">
        <f>'BS-G Old format'!G59</f>
        <v>0</v>
      </c>
      <c r="E100" s="947"/>
      <c r="F100" s="947"/>
      <c r="G100" s="947"/>
      <c r="H100" s="956"/>
    </row>
    <row r="101" spans="1:8" ht="24.75" customHeight="1" x14ac:dyDescent="0.25">
      <c r="A101" s="958" t="s">
        <v>1046</v>
      </c>
      <c r="B101" s="998" t="s">
        <v>1887</v>
      </c>
      <c r="C101" s="966" t="s">
        <v>700</v>
      </c>
      <c r="D101" s="947">
        <f>'BS-G Old format'!F60</f>
        <v>0</v>
      </c>
      <c r="E101" s="947"/>
      <c r="F101" s="947"/>
      <c r="G101" s="947">
        <f>D101-D102</f>
        <v>0</v>
      </c>
      <c r="H101" s="956">
        <f>'BS-G Old format'!I60</f>
        <v>0</v>
      </c>
    </row>
    <row r="102" spans="1:8" ht="28.5" customHeight="1" x14ac:dyDescent="0.25">
      <c r="A102" s="958"/>
      <c r="B102" s="998"/>
      <c r="C102" s="966"/>
      <c r="D102" s="947">
        <f>'BS-G Old format'!G60</f>
        <v>0</v>
      </c>
      <c r="E102" s="947"/>
      <c r="F102" s="947"/>
      <c r="G102" s="947"/>
      <c r="H102" s="956"/>
    </row>
    <row r="103" spans="1:8" ht="23.25" customHeight="1" x14ac:dyDescent="0.25">
      <c r="A103" s="958" t="s">
        <v>1048</v>
      </c>
      <c r="B103" s="998" t="s">
        <v>1888</v>
      </c>
      <c r="C103" s="966" t="s">
        <v>701</v>
      </c>
      <c r="D103" s="947">
        <f>'BS-G Old format'!F61</f>
        <v>0</v>
      </c>
      <c r="E103" s="947"/>
      <c r="F103" s="947"/>
      <c r="G103" s="947">
        <f>D103-D104</f>
        <v>0</v>
      </c>
      <c r="H103" s="956">
        <f>'BS-G Old format'!I61</f>
        <v>0</v>
      </c>
    </row>
    <row r="104" spans="1:8" ht="23.25" customHeight="1" x14ac:dyDescent="0.25">
      <c r="A104" s="958"/>
      <c r="B104" s="998"/>
      <c r="C104" s="966"/>
      <c r="D104" s="947">
        <f>'BS-G Old format'!G61</f>
        <v>0</v>
      </c>
      <c r="E104" s="947"/>
      <c r="F104" s="947"/>
      <c r="G104" s="947"/>
      <c r="H104" s="956"/>
    </row>
    <row r="105" spans="1:8" ht="23.25" customHeight="1" x14ac:dyDescent="0.25">
      <c r="A105" s="958" t="s">
        <v>1050</v>
      </c>
      <c r="B105" s="998" t="s">
        <v>534</v>
      </c>
      <c r="C105" s="966" t="s">
        <v>702</v>
      </c>
      <c r="D105" s="947">
        <f>'BS-G Old format'!F62</f>
        <v>0</v>
      </c>
      <c r="E105" s="947"/>
      <c r="F105" s="947"/>
      <c r="G105" s="947">
        <f>D105-D106</f>
        <v>0</v>
      </c>
      <c r="H105" s="956">
        <f>'BS-G Old format'!I62</f>
        <v>0</v>
      </c>
    </row>
    <row r="106" spans="1:8" ht="23.25" customHeight="1" x14ac:dyDescent="0.25">
      <c r="A106" s="958"/>
      <c r="B106" s="998"/>
      <c r="C106" s="966"/>
      <c r="D106" s="947">
        <f>'BS-G Old format'!G62</f>
        <v>0</v>
      </c>
      <c r="E106" s="947"/>
      <c r="F106" s="947"/>
      <c r="G106" s="947"/>
      <c r="H106" s="956"/>
    </row>
    <row r="107" spans="1:8" s="299" customFormat="1" ht="22.5" customHeight="1" x14ac:dyDescent="0.25">
      <c r="A107" s="981" t="s">
        <v>946</v>
      </c>
      <c r="B107" s="999" t="s">
        <v>1889</v>
      </c>
      <c r="C107" s="969" t="s">
        <v>703</v>
      </c>
      <c r="D107" s="952">
        <f>'BS-G Old format'!F64</f>
        <v>9070.5</v>
      </c>
      <c r="E107" s="952"/>
      <c r="F107" s="952"/>
      <c r="G107" s="952">
        <f>D107-D108</f>
        <v>9070.5</v>
      </c>
      <c r="H107" s="973" t="e">
        <f>'BS-G Old format'!I64</f>
        <v>#REF!</v>
      </c>
    </row>
    <row r="108" spans="1:8" s="299" customFormat="1" ht="23.25" customHeight="1" x14ac:dyDescent="0.25">
      <c r="A108" s="981"/>
      <c r="B108" s="999"/>
      <c r="C108" s="969"/>
      <c r="D108" s="952">
        <f>'BS-G Old format'!G64</f>
        <v>0</v>
      </c>
      <c r="E108" s="952"/>
      <c r="F108" s="952"/>
      <c r="G108" s="952"/>
      <c r="H108" s="973"/>
    </row>
    <row r="109" spans="1:8" ht="24.75" customHeight="1" x14ac:dyDescent="0.25">
      <c r="A109" s="985" t="s">
        <v>1329</v>
      </c>
      <c r="B109" s="998" t="s">
        <v>1890</v>
      </c>
      <c r="C109" s="966" t="s">
        <v>704</v>
      </c>
      <c r="D109" s="947">
        <f>'BS-G Old format'!F65</f>
        <v>8541</v>
      </c>
      <c r="E109" s="947"/>
      <c r="F109" s="947"/>
      <c r="G109" s="947">
        <f>D109-D110</f>
        <v>8541</v>
      </c>
      <c r="H109" s="956" t="e">
        <f>'BS-G Old format'!I65</f>
        <v>#REF!</v>
      </c>
    </row>
    <row r="110" spans="1:8" ht="27" customHeight="1" x14ac:dyDescent="0.25">
      <c r="A110" s="985"/>
      <c r="B110" s="998"/>
      <c r="C110" s="966"/>
      <c r="D110" s="947">
        <f>'BS-G Old format'!G65</f>
        <v>0</v>
      </c>
      <c r="E110" s="947"/>
      <c r="F110" s="947"/>
      <c r="G110" s="947"/>
      <c r="H110" s="956"/>
    </row>
    <row r="111" spans="1:8" ht="24.75" customHeight="1" x14ac:dyDescent="0.25">
      <c r="A111" s="958" t="s">
        <v>773</v>
      </c>
      <c r="B111" s="998" t="s">
        <v>1885</v>
      </c>
      <c r="C111" s="966" t="s">
        <v>705</v>
      </c>
      <c r="D111" s="947">
        <f>'BS-G Old format'!F66</f>
        <v>0</v>
      </c>
      <c r="E111" s="947"/>
      <c r="F111" s="947"/>
      <c r="G111" s="947">
        <f>D111-D112</f>
        <v>0</v>
      </c>
      <c r="H111" s="956">
        <f>'BS-G Old format'!I66</f>
        <v>0</v>
      </c>
    </row>
    <row r="112" spans="1:8" ht="27" customHeight="1" x14ac:dyDescent="0.25">
      <c r="A112" s="958"/>
      <c r="B112" s="998"/>
      <c r="C112" s="966"/>
      <c r="D112" s="947">
        <f>'BS-G Old format'!G66</f>
        <v>0</v>
      </c>
      <c r="E112" s="947"/>
      <c r="F112" s="947"/>
      <c r="G112" s="947"/>
      <c r="H112" s="956"/>
    </row>
    <row r="113" spans="1:8" ht="24.75" customHeight="1" x14ac:dyDescent="0.25">
      <c r="A113" s="958" t="s">
        <v>774</v>
      </c>
      <c r="B113" s="998" t="s">
        <v>1886</v>
      </c>
      <c r="C113" s="966" t="s">
        <v>1474</v>
      </c>
      <c r="D113" s="947">
        <f>'BS-G Old format'!F67</f>
        <v>0</v>
      </c>
      <c r="E113" s="947"/>
      <c r="F113" s="947"/>
      <c r="G113" s="947">
        <f>D113-D114</f>
        <v>0</v>
      </c>
      <c r="H113" s="956">
        <f>'BS-G Old format'!I67</f>
        <v>0</v>
      </c>
    </row>
    <row r="114" spans="1:8" ht="27" customHeight="1" x14ac:dyDescent="0.25">
      <c r="A114" s="958"/>
      <c r="B114" s="998"/>
      <c r="C114" s="966"/>
      <c r="D114" s="947">
        <f>'BS-G Old format'!G67</f>
        <v>0</v>
      </c>
      <c r="E114" s="947"/>
      <c r="F114" s="947"/>
      <c r="G114" s="947"/>
      <c r="H114" s="956"/>
    </row>
    <row r="115" spans="1:8" ht="24.75" customHeight="1" x14ac:dyDescent="0.25">
      <c r="A115" s="958" t="s">
        <v>1046</v>
      </c>
      <c r="B115" s="998" t="s">
        <v>1117</v>
      </c>
      <c r="C115" s="966" t="s">
        <v>1476</v>
      </c>
      <c r="D115" s="947">
        <f>'BS-G Old format'!F68</f>
        <v>0</v>
      </c>
      <c r="E115" s="947"/>
      <c r="F115" s="947"/>
      <c r="G115" s="947">
        <f>D115-D116</f>
        <v>0</v>
      </c>
      <c r="H115" s="956">
        <f>'BS-G Old format'!I68</f>
        <v>0</v>
      </c>
    </row>
    <row r="116" spans="1:8" ht="27.75" customHeight="1" x14ac:dyDescent="0.25">
      <c r="A116" s="958"/>
      <c r="B116" s="998"/>
      <c r="C116" s="966"/>
      <c r="D116" s="947">
        <f>'BS-G Old format'!G68</f>
        <v>0</v>
      </c>
      <c r="E116" s="947"/>
      <c r="F116" s="947"/>
      <c r="G116" s="947"/>
      <c r="H116" s="956"/>
    </row>
    <row r="117" spans="1:8" ht="22.5" customHeight="1" x14ac:dyDescent="0.25">
      <c r="A117" s="958" t="s">
        <v>1048</v>
      </c>
      <c r="B117" s="998" t="s">
        <v>2473</v>
      </c>
      <c r="C117" s="966" t="s">
        <v>706</v>
      </c>
      <c r="D117" s="947">
        <f>'BS-G Old format'!F69</f>
        <v>0</v>
      </c>
      <c r="E117" s="947"/>
      <c r="F117" s="947"/>
      <c r="G117" s="947">
        <f>D117-D118</f>
        <v>0</v>
      </c>
      <c r="H117" s="956">
        <f>'BS-G Old format'!I69</f>
        <v>0</v>
      </c>
    </row>
    <row r="118" spans="1:8" ht="22.5" customHeight="1" x14ac:dyDescent="0.25">
      <c r="A118" s="958"/>
      <c r="B118" s="998"/>
      <c r="C118" s="966"/>
      <c r="D118" s="947">
        <f>'BS-G Old format'!G69</f>
        <v>0</v>
      </c>
      <c r="E118" s="947"/>
      <c r="F118" s="947"/>
      <c r="G118" s="947"/>
      <c r="H118" s="956"/>
    </row>
    <row r="119" spans="1:8" ht="22.5" customHeight="1" x14ac:dyDescent="0.25">
      <c r="A119" s="958" t="s">
        <v>1050</v>
      </c>
      <c r="B119" s="998" t="s">
        <v>2474</v>
      </c>
      <c r="C119" s="966" t="s">
        <v>707</v>
      </c>
      <c r="D119" s="947">
        <f>'BS-G Old format'!F70</f>
        <v>529.5</v>
      </c>
      <c r="E119" s="947"/>
      <c r="F119" s="947"/>
      <c r="G119" s="947">
        <f>D119-D120</f>
        <v>529.5</v>
      </c>
      <c r="H119" s="956">
        <f>'BS-G Old format'!I70</f>
        <v>0</v>
      </c>
    </row>
    <row r="120" spans="1:8" ht="23.25" customHeight="1" x14ac:dyDescent="0.25">
      <c r="A120" s="958"/>
      <c r="B120" s="998"/>
      <c r="C120" s="966"/>
      <c r="D120" s="947">
        <f>'BS-G Old format'!G70</f>
        <v>0</v>
      </c>
      <c r="E120" s="947"/>
      <c r="F120" s="947"/>
      <c r="G120" s="947"/>
      <c r="H120" s="956"/>
    </row>
    <row r="121" spans="1:8" ht="23.25" customHeight="1" x14ac:dyDescent="0.25">
      <c r="A121" s="958" t="s">
        <v>1052</v>
      </c>
      <c r="B121" s="998" t="s">
        <v>1888</v>
      </c>
      <c r="C121" s="966" t="s">
        <v>708</v>
      </c>
      <c r="D121" s="947">
        <f>'BS-G Old format'!F71</f>
        <v>0</v>
      </c>
      <c r="E121" s="947"/>
      <c r="F121" s="947"/>
      <c r="G121" s="947">
        <f>D121-D122</f>
        <v>0</v>
      </c>
      <c r="H121" s="956">
        <f>'BS-G Old format'!I71</f>
        <v>0</v>
      </c>
    </row>
    <row r="122" spans="1:8" ht="23.25" customHeight="1" x14ac:dyDescent="0.25">
      <c r="A122" s="958"/>
      <c r="B122" s="998"/>
      <c r="C122" s="966"/>
      <c r="D122" s="947">
        <f>'BS-G Old format'!G71</f>
        <v>0</v>
      </c>
      <c r="E122" s="947"/>
      <c r="F122" s="947"/>
      <c r="G122" s="947"/>
      <c r="H122" s="956"/>
    </row>
    <row r="123" spans="1:8" s="299" customFormat="1" ht="24" customHeight="1" x14ac:dyDescent="0.25">
      <c r="A123" s="981" t="s">
        <v>947</v>
      </c>
      <c r="B123" s="999" t="s">
        <v>2475</v>
      </c>
      <c r="C123" s="969" t="s">
        <v>709</v>
      </c>
      <c r="D123" s="952">
        <f>'BS-G Old format'!F73</f>
        <v>16.509999999999991</v>
      </c>
      <c r="E123" s="952"/>
      <c r="F123" s="952"/>
      <c r="G123" s="952">
        <f>D123-D124</f>
        <v>16.509999999999991</v>
      </c>
      <c r="H123" s="973">
        <f>'BS-G Old format'!I73</f>
        <v>0</v>
      </c>
    </row>
    <row r="124" spans="1:8" s="299" customFormat="1" ht="22.5" customHeight="1" thickBot="1" x14ac:dyDescent="0.3">
      <c r="A124" s="982"/>
      <c r="B124" s="999"/>
      <c r="C124" s="983"/>
      <c r="D124" s="953">
        <f>'BS-G Old format'!G73</f>
        <v>0</v>
      </c>
      <c r="E124" s="953"/>
      <c r="F124" s="953"/>
      <c r="G124" s="953"/>
      <c r="H124" s="980"/>
    </row>
    <row r="125" spans="1:8" s="282" customFormat="1" ht="11.25" customHeight="1" x14ac:dyDescent="0.25">
      <c r="A125" s="960" t="s">
        <v>780</v>
      </c>
      <c r="B125" s="946" t="s">
        <v>784</v>
      </c>
      <c r="C125" s="962" t="s">
        <v>781</v>
      </c>
      <c r="D125" s="281"/>
      <c r="E125" s="946" t="s">
        <v>80</v>
      </c>
      <c r="F125" s="946"/>
      <c r="G125" s="946"/>
      <c r="H125" s="976" t="s">
        <v>81</v>
      </c>
    </row>
    <row r="126" spans="1:8" s="282" customFormat="1" ht="11.25" customHeight="1" x14ac:dyDescent="0.25">
      <c r="A126" s="961"/>
      <c r="B126" s="954"/>
      <c r="C126" s="963"/>
      <c r="D126" s="978">
        <v>1</v>
      </c>
      <c r="E126" s="954" t="s">
        <v>785</v>
      </c>
      <c r="F126" s="954"/>
      <c r="G126" s="979" t="s">
        <v>86</v>
      </c>
      <c r="H126" s="977"/>
    </row>
    <row r="127" spans="1:8" s="282" customFormat="1" ht="11.25" customHeight="1" x14ac:dyDescent="0.25">
      <c r="A127" s="961"/>
      <c r="B127" s="954"/>
      <c r="C127" s="963"/>
      <c r="D127" s="978"/>
      <c r="E127" s="954" t="s">
        <v>793</v>
      </c>
      <c r="F127" s="954"/>
      <c r="G127" s="979"/>
      <c r="H127" s="288" t="s">
        <v>87</v>
      </c>
    </row>
    <row r="128" spans="1:8" ht="24.75" customHeight="1" x14ac:dyDescent="0.25">
      <c r="A128" s="972" t="s">
        <v>1334</v>
      </c>
      <c r="B128" s="950" t="s">
        <v>2476</v>
      </c>
      <c r="C128" s="966" t="s">
        <v>710</v>
      </c>
      <c r="D128" s="947">
        <f>'BS-G Old format'!F74</f>
        <v>16.509999999999991</v>
      </c>
      <c r="E128" s="947"/>
      <c r="F128" s="947"/>
      <c r="G128" s="947">
        <f>D128-D129</f>
        <v>16.509999999999991</v>
      </c>
      <c r="H128" s="956">
        <f>'BS-G Old format'!I74</f>
        <v>0</v>
      </c>
    </row>
    <row r="129" spans="1:8" ht="24.75" customHeight="1" x14ac:dyDescent="0.25">
      <c r="A129" s="972"/>
      <c r="B129" s="950"/>
      <c r="C129" s="966"/>
      <c r="D129" s="947">
        <f>'BS-G Old format'!G74</f>
        <v>0</v>
      </c>
      <c r="E129" s="947"/>
      <c r="F129" s="947"/>
      <c r="G129" s="947"/>
      <c r="H129" s="956"/>
    </row>
    <row r="130" spans="1:8" ht="24.75" customHeight="1" x14ac:dyDescent="0.25">
      <c r="A130" s="958" t="s">
        <v>773</v>
      </c>
      <c r="B130" s="950" t="s">
        <v>2477</v>
      </c>
      <c r="C130" s="966" t="s">
        <v>1085</v>
      </c>
      <c r="D130" s="947">
        <f>'BS-G Old format'!F75</f>
        <v>0</v>
      </c>
      <c r="E130" s="947"/>
      <c r="F130" s="947"/>
      <c r="G130" s="947">
        <f>D130-D131</f>
        <v>0</v>
      </c>
      <c r="H130" s="956">
        <f>'BS-G Old format'!I75</f>
        <v>0</v>
      </c>
    </row>
    <row r="131" spans="1:8" ht="24.75" customHeight="1" x14ac:dyDescent="0.25">
      <c r="A131" s="958"/>
      <c r="B131" s="950"/>
      <c r="C131" s="966"/>
      <c r="D131" s="947">
        <f>'BS-G Old format'!G75</f>
        <v>0</v>
      </c>
      <c r="E131" s="947"/>
      <c r="F131" s="947"/>
      <c r="G131" s="947"/>
      <c r="H131" s="956"/>
    </row>
    <row r="132" spans="1:8" ht="24.75" customHeight="1" x14ac:dyDescent="0.25">
      <c r="A132" s="958" t="s">
        <v>774</v>
      </c>
      <c r="B132" s="950" t="s">
        <v>2478</v>
      </c>
      <c r="C132" s="966" t="s">
        <v>1086</v>
      </c>
      <c r="D132" s="947">
        <f>'BS-G Old format'!F76</f>
        <v>0</v>
      </c>
      <c r="E132" s="947"/>
      <c r="F132" s="947"/>
      <c r="G132" s="947">
        <f>D132-D133</f>
        <v>0</v>
      </c>
      <c r="H132" s="956">
        <f>'BS-G Old format'!I76</f>
        <v>0</v>
      </c>
    </row>
    <row r="133" spans="1:8" ht="24.75" customHeight="1" x14ac:dyDescent="0.25">
      <c r="A133" s="958"/>
      <c r="B133" s="950"/>
      <c r="C133" s="966"/>
      <c r="D133" s="947">
        <f>'BS-G Old format'!G76</f>
        <v>0</v>
      </c>
      <c r="E133" s="947"/>
      <c r="F133" s="947"/>
      <c r="G133" s="947"/>
      <c r="H133" s="956"/>
    </row>
    <row r="134" spans="1:8" ht="24.75" customHeight="1" x14ac:dyDescent="0.25">
      <c r="A134" s="958" t="s">
        <v>1046</v>
      </c>
      <c r="B134" s="950" t="s">
        <v>2479</v>
      </c>
      <c r="C134" s="966" t="s">
        <v>1087</v>
      </c>
      <c r="D134" s="947">
        <f>'BS-G Old format'!F77</f>
        <v>0</v>
      </c>
      <c r="E134" s="947"/>
      <c r="F134" s="947"/>
      <c r="G134" s="947">
        <f>D134-D135</f>
        <v>0</v>
      </c>
      <c r="H134" s="956">
        <f>'BS-G Old format'!I77</f>
        <v>0</v>
      </c>
    </row>
    <row r="135" spans="1:8" ht="24.75" customHeight="1" x14ac:dyDescent="0.25">
      <c r="A135" s="958"/>
      <c r="B135" s="950"/>
      <c r="C135" s="966"/>
      <c r="D135" s="947">
        <f>'BS-G Old format'!G77</f>
        <v>0</v>
      </c>
      <c r="E135" s="947"/>
      <c r="F135" s="947"/>
      <c r="G135" s="947"/>
      <c r="H135" s="956"/>
    </row>
    <row r="136" spans="1:8" ht="24.75" customHeight="1" x14ac:dyDescent="0.25">
      <c r="A136" s="958" t="s">
        <v>1048</v>
      </c>
      <c r="B136" s="950" t="s">
        <v>2480</v>
      </c>
      <c r="C136" s="966" t="s">
        <v>224</v>
      </c>
      <c r="D136" s="947">
        <f>'BS-G Old format'!F78</f>
        <v>0</v>
      </c>
      <c r="E136" s="947"/>
      <c r="F136" s="947"/>
      <c r="G136" s="947">
        <f>D136-D137</f>
        <v>0</v>
      </c>
      <c r="H136" s="956">
        <f>'BS-G Old format'!I78</f>
        <v>0</v>
      </c>
    </row>
    <row r="137" spans="1:8" ht="24.75" customHeight="1" x14ac:dyDescent="0.25">
      <c r="A137" s="958"/>
      <c r="B137" s="950"/>
      <c r="C137" s="966"/>
      <c r="D137" s="947">
        <f>'BS-G Old format'!G78</f>
        <v>0</v>
      </c>
      <c r="E137" s="947"/>
      <c r="F137" s="947"/>
      <c r="G137" s="947"/>
      <c r="H137" s="956"/>
    </row>
    <row r="138" spans="1:8" s="299" customFormat="1" ht="24.75" customHeight="1" x14ac:dyDescent="0.25">
      <c r="A138" s="968" t="s">
        <v>934</v>
      </c>
      <c r="B138" s="950" t="s">
        <v>2654</v>
      </c>
      <c r="C138" s="969" t="s">
        <v>226</v>
      </c>
      <c r="D138" s="952">
        <f>'BS-G Old format'!F80</f>
        <v>0</v>
      </c>
      <c r="E138" s="952"/>
      <c r="F138" s="952"/>
      <c r="G138" s="952">
        <f>D138-D139</f>
        <v>0</v>
      </c>
      <c r="H138" s="973">
        <f>'BS-G Old format'!I80</f>
        <v>0</v>
      </c>
    </row>
    <row r="139" spans="1:8" s="299" customFormat="1" ht="24.75" customHeight="1" x14ac:dyDescent="0.25">
      <c r="A139" s="968"/>
      <c r="B139" s="950"/>
      <c r="C139" s="969"/>
      <c r="D139" s="952">
        <f>'BS-G Old format'!G80</f>
        <v>0</v>
      </c>
      <c r="E139" s="952"/>
      <c r="F139" s="952"/>
      <c r="G139" s="952"/>
      <c r="H139" s="973"/>
    </row>
    <row r="140" spans="1:8" ht="24.75" customHeight="1" x14ac:dyDescent="0.25">
      <c r="A140" s="972" t="s">
        <v>2595</v>
      </c>
      <c r="B140" s="950" t="s">
        <v>2654</v>
      </c>
      <c r="C140" s="966" t="s">
        <v>228</v>
      </c>
      <c r="D140" s="947">
        <f>'BS-G Old format'!F82</f>
        <v>0</v>
      </c>
      <c r="E140" s="947"/>
      <c r="F140" s="947"/>
      <c r="G140" s="947">
        <f>D140-D141</f>
        <v>0</v>
      </c>
      <c r="H140" s="974">
        <f>'BS-G Old format'!I82</f>
        <v>0</v>
      </c>
    </row>
    <row r="141" spans="1:8" ht="24.75" customHeight="1" x14ac:dyDescent="0.25">
      <c r="A141" s="972"/>
      <c r="B141" s="950"/>
      <c r="C141" s="966"/>
      <c r="D141" s="947">
        <f>'BS-G Old format'!G82</f>
        <v>0</v>
      </c>
      <c r="E141" s="947"/>
      <c r="F141" s="947"/>
      <c r="G141" s="947"/>
      <c r="H141" s="975"/>
    </row>
    <row r="142" spans="1:8" s="307" customFormat="1" ht="24.75" customHeight="1" x14ac:dyDescent="0.2">
      <c r="A142" s="958" t="s">
        <v>773</v>
      </c>
      <c r="B142" s="950" t="s">
        <v>2364</v>
      </c>
      <c r="C142" s="966" t="s">
        <v>1139</v>
      </c>
      <c r="D142" s="947">
        <f>'BS-G Old format'!F83</f>
        <v>0</v>
      </c>
      <c r="E142" s="947"/>
      <c r="F142" s="947"/>
      <c r="G142" s="947">
        <f>D142-D143</f>
        <v>0</v>
      </c>
      <c r="H142" s="956">
        <f>'BS-G Old format'!I83</f>
        <v>0</v>
      </c>
    </row>
    <row r="143" spans="1:8" s="307" customFormat="1" ht="24.75" customHeight="1" thickBot="1" x14ac:dyDescent="0.25">
      <c r="A143" s="959"/>
      <c r="B143" s="950"/>
      <c r="C143" s="967"/>
      <c r="D143" s="948">
        <f>'BS-G Old format'!G83</f>
        <v>0</v>
      </c>
      <c r="E143" s="948"/>
      <c r="F143" s="948"/>
      <c r="G143" s="948"/>
      <c r="H143" s="957"/>
    </row>
    <row r="144" spans="1:8" ht="33.75" customHeight="1" x14ac:dyDescent="0.2">
      <c r="A144" s="311" t="s">
        <v>780</v>
      </c>
      <c r="B144" s="1000" t="s">
        <v>779</v>
      </c>
      <c r="C144" s="1000"/>
      <c r="D144" s="1000"/>
      <c r="E144" s="1000"/>
      <c r="F144" s="415" t="s">
        <v>781</v>
      </c>
      <c r="G144" s="414" t="s">
        <v>782</v>
      </c>
      <c r="H144" s="413" t="s">
        <v>783</v>
      </c>
    </row>
    <row r="145" spans="1:8" s="299" customFormat="1" ht="24.75" customHeight="1" x14ac:dyDescent="0.25">
      <c r="A145" s="312"/>
      <c r="B145" s="949" t="s">
        <v>2481</v>
      </c>
      <c r="C145" s="949"/>
      <c r="D145" s="949"/>
      <c r="E145" s="949"/>
      <c r="F145" s="290" t="s">
        <v>1141</v>
      </c>
      <c r="G145" s="435">
        <f>'BS-G Old format'!F91</f>
        <v>9087.01</v>
      </c>
      <c r="H145" s="436" t="e">
        <f>'BS-G Old format'!G91</f>
        <v>#REF!</v>
      </c>
    </row>
    <row r="146" spans="1:8" s="299" customFormat="1" ht="24.75" customHeight="1" x14ac:dyDescent="0.25">
      <c r="A146" s="292" t="s">
        <v>932</v>
      </c>
      <c r="B146" s="949" t="s">
        <v>2482</v>
      </c>
      <c r="C146" s="949"/>
      <c r="D146" s="949"/>
      <c r="E146" s="949"/>
      <c r="F146" s="290" t="s">
        <v>1687</v>
      </c>
      <c r="G146" s="435">
        <f>'BS-G Old format'!F93</f>
        <v>459.97000000000116</v>
      </c>
      <c r="H146" s="436" t="e">
        <f>'BS-G Old format'!G93</f>
        <v>#REF!</v>
      </c>
    </row>
    <row r="147" spans="1:8" s="299" customFormat="1" ht="22.5" customHeight="1" x14ac:dyDescent="0.25">
      <c r="A147" s="292" t="s">
        <v>948</v>
      </c>
      <c r="B147" s="949" t="s">
        <v>2483</v>
      </c>
      <c r="C147" s="949"/>
      <c r="D147" s="949"/>
      <c r="E147" s="949"/>
      <c r="F147" s="290" t="s">
        <v>1689</v>
      </c>
      <c r="G147" s="435">
        <f>'BS-G Old format'!F95</f>
        <v>11618</v>
      </c>
      <c r="H147" s="436">
        <f>'BS-G Old format'!G95</f>
        <v>0</v>
      </c>
    </row>
    <row r="148" spans="1:8" ht="21" customHeight="1" x14ac:dyDescent="0.25">
      <c r="A148" s="306" t="s">
        <v>2809</v>
      </c>
      <c r="B148" s="950" t="s">
        <v>2367</v>
      </c>
      <c r="C148" s="950"/>
      <c r="D148" s="950"/>
      <c r="E148" s="950"/>
      <c r="F148" s="294" t="s">
        <v>2467</v>
      </c>
      <c r="G148" s="437">
        <f>'BS-G Old format'!F96</f>
        <v>11618</v>
      </c>
      <c r="H148" s="438">
        <f>'BS-G Old format'!G96</f>
        <v>0</v>
      </c>
    </row>
    <row r="149" spans="1:8" ht="19.5" customHeight="1" x14ac:dyDescent="0.25">
      <c r="A149" s="300" t="s">
        <v>773</v>
      </c>
      <c r="B149" s="950" t="s">
        <v>2484</v>
      </c>
      <c r="C149" s="950"/>
      <c r="D149" s="950"/>
      <c r="E149" s="950"/>
      <c r="F149" s="294" t="s">
        <v>1692</v>
      </c>
      <c r="G149" s="437">
        <f>'BS-G Old format'!F97</f>
        <v>0</v>
      </c>
      <c r="H149" s="438">
        <f>'BS-G Old format'!G97</f>
        <v>0</v>
      </c>
    </row>
    <row r="150" spans="1:8" ht="22.5" customHeight="1" x14ac:dyDescent="0.25">
      <c r="A150" s="300" t="s">
        <v>774</v>
      </c>
      <c r="B150" s="950" t="s">
        <v>978</v>
      </c>
      <c r="C150" s="950"/>
      <c r="D150" s="950"/>
      <c r="E150" s="950"/>
      <c r="F150" s="294" t="s">
        <v>2470</v>
      </c>
      <c r="G150" s="437">
        <f>'BS-G Old format'!F98</f>
        <v>0</v>
      </c>
      <c r="H150" s="438">
        <f>'BS-G Old format'!G98</f>
        <v>0</v>
      </c>
    </row>
    <row r="151" spans="1:8" s="299" customFormat="1" ht="24.75" customHeight="1" x14ac:dyDescent="0.25">
      <c r="A151" s="292" t="s">
        <v>949</v>
      </c>
      <c r="B151" s="949" t="s">
        <v>2657</v>
      </c>
      <c r="C151" s="949"/>
      <c r="D151" s="949"/>
      <c r="E151" s="949"/>
      <c r="F151" s="290" t="s">
        <v>1696</v>
      </c>
      <c r="G151" s="435">
        <f>'BS-G Old format'!F100</f>
        <v>0</v>
      </c>
      <c r="H151" s="436">
        <f>'BS-G Old format'!G100</f>
        <v>0</v>
      </c>
    </row>
    <row r="152" spans="1:8" ht="22.5" customHeight="1" x14ac:dyDescent="0.25">
      <c r="A152" s="306" t="s">
        <v>2811</v>
      </c>
      <c r="B152" s="950" t="s">
        <v>2369</v>
      </c>
      <c r="C152" s="950"/>
      <c r="D152" s="950"/>
      <c r="E152" s="950"/>
      <c r="F152" s="294" t="s">
        <v>1698</v>
      </c>
      <c r="G152" s="437">
        <f>'BS-G Old format'!F101</f>
        <v>0</v>
      </c>
      <c r="H152" s="438">
        <f>'BS-G Old format'!G101</f>
        <v>0</v>
      </c>
    </row>
    <row r="153" spans="1:8" ht="22.5" customHeight="1" x14ac:dyDescent="0.25">
      <c r="A153" s="300" t="s">
        <v>773</v>
      </c>
      <c r="B153" s="950" t="s">
        <v>979</v>
      </c>
      <c r="C153" s="950"/>
      <c r="D153" s="950"/>
      <c r="E153" s="950"/>
      <c r="F153" s="294" t="s">
        <v>1719</v>
      </c>
      <c r="G153" s="437">
        <f>'BS-G Old format'!F102</f>
        <v>0</v>
      </c>
      <c r="H153" s="438">
        <f>'BS-G Old format'!G102</f>
        <v>0</v>
      </c>
    </row>
    <row r="154" spans="1:8" ht="30.75" customHeight="1" x14ac:dyDescent="0.25">
      <c r="A154" s="300" t="s">
        <v>774</v>
      </c>
      <c r="B154" s="950" t="s">
        <v>980</v>
      </c>
      <c r="C154" s="950"/>
      <c r="D154" s="950"/>
      <c r="E154" s="950"/>
      <c r="F154" s="294" t="s">
        <v>1721</v>
      </c>
      <c r="G154" s="437">
        <f>'BS-G Old format'!F103</f>
        <v>0</v>
      </c>
      <c r="H154" s="438">
        <f>'BS-G Old format'!G103</f>
        <v>0</v>
      </c>
    </row>
    <row r="155" spans="1:8" ht="29.25" customHeight="1" x14ac:dyDescent="0.25">
      <c r="A155" s="300" t="s">
        <v>1046</v>
      </c>
      <c r="B155" s="950" t="s">
        <v>981</v>
      </c>
      <c r="C155" s="950"/>
      <c r="D155" s="950"/>
      <c r="E155" s="950"/>
      <c r="F155" s="294" t="s">
        <v>729</v>
      </c>
      <c r="G155" s="437">
        <f>'BS-G Old format'!F104</f>
        <v>0</v>
      </c>
      <c r="H155" s="438">
        <f>'BS-G Old format'!G104</f>
        <v>0</v>
      </c>
    </row>
    <row r="156" spans="1:8" ht="23.25" customHeight="1" x14ac:dyDescent="0.25">
      <c r="A156" s="300" t="s">
        <v>1048</v>
      </c>
      <c r="B156" s="950" t="s">
        <v>982</v>
      </c>
      <c r="C156" s="950"/>
      <c r="D156" s="950"/>
      <c r="E156" s="950"/>
      <c r="F156" s="294" t="s">
        <v>730</v>
      </c>
      <c r="G156" s="437">
        <f>'BS-G Old format'!F105</f>
        <v>0</v>
      </c>
      <c r="H156" s="438">
        <f>'BS-G Old format'!G105</f>
        <v>0</v>
      </c>
    </row>
    <row r="157" spans="1:8" ht="25.5" customHeight="1" x14ac:dyDescent="0.25">
      <c r="A157" s="300" t="s">
        <v>1050</v>
      </c>
      <c r="B157" s="950" t="s">
        <v>983</v>
      </c>
      <c r="C157" s="950"/>
      <c r="D157" s="950"/>
      <c r="E157" s="950"/>
      <c r="F157" s="294" t="s">
        <v>731</v>
      </c>
      <c r="G157" s="437">
        <f>'BS-G Old format'!F106</f>
        <v>0</v>
      </c>
      <c r="H157" s="438">
        <f>'BS-G Old format'!G106</f>
        <v>0</v>
      </c>
    </row>
    <row r="158" spans="1:8" s="299" customFormat="1" ht="24.75" customHeight="1" x14ac:dyDescent="0.25">
      <c r="A158" s="292" t="s">
        <v>1749</v>
      </c>
      <c r="B158" s="949" t="s">
        <v>984</v>
      </c>
      <c r="C158" s="949"/>
      <c r="D158" s="949"/>
      <c r="E158" s="949"/>
      <c r="F158" s="290" t="s">
        <v>1724</v>
      </c>
      <c r="G158" s="435">
        <f>'BS-G Old format'!F108</f>
        <v>0</v>
      </c>
      <c r="H158" s="436">
        <f>'BS-G Old format'!G108</f>
        <v>0</v>
      </c>
    </row>
    <row r="159" spans="1:8" ht="24.75" customHeight="1" x14ac:dyDescent="0.25">
      <c r="A159" s="300" t="s">
        <v>254</v>
      </c>
      <c r="B159" s="950" t="s">
        <v>2124</v>
      </c>
      <c r="C159" s="950"/>
      <c r="D159" s="950"/>
      <c r="E159" s="950"/>
      <c r="F159" s="294" t="s">
        <v>1725</v>
      </c>
      <c r="G159" s="437">
        <f>'BS-G Old format'!F109</f>
        <v>0</v>
      </c>
      <c r="H159" s="438">
        <f>'BS-G Old format'!G109</f>
        <v>0</v>
      </c>
    </row>
    <row r="160" spans="1:8" ht="24.75" customHeight="1" x14ac:dyDescent="0.25">
      <c r="A160" s="300" t="s">
        <v>773</v>
      </c>
      <c r="B160" s="950" t="s">
        <v>2125</v>
      </c>
      <c r="C160" s="950"/>
      <c r="D160" s="950"/>
      <c r="E160" s="950"/>
      <c r="F160" s="294" t="s">
        <v>732</v>
      </c>
      <c r="G160" s="437">
        <f>'BS-G Old format'!F110</f>
        <v>0</v>
      </c>
      <c r="H160" s="438">
        <f>'BS-G Old format'!G110</f>
        <v>0</v>
      </c>
    </row>
    <row r="161" spans="1:8" ht="24.75" customHeight="1" x14ac:dyDescent="0.25">
      <c r="A161" s="300" t="s">
        <v>774</v>
      </c>
      <c r="B161" s="950" t="s">
        <v>2126</v>
      </c>
      <c r="C161" s="950"/>
      <c r="D161" s="950"/>
      <c r="E161" s="950"/>
      <c r="F161" s="294" t="s">
        <v>1729</v>
      </c>
      <c r="G161" s="437">
        <f>'BS-G Old format'!F111</f>
        <v>0</v>
      </c>
      <c r="H161" s="438">
        <f>'BS-G Old format'!G111</f>
        <v>0</v>
      </c>
    </row>
    <row r="162" spans="1:8" s="299" customFormat="1" ht="24.75" customHeight="1" x14ac:dyDescent="0.25">
      <c r="A162" s="292" t="s">
        <v>1750</v>
      </c>
      <c r="B162" s="949" t="s">
        <v>1493</v>
      </c>
      <c r="C162" s="949"/>
      <c r="D162" s="949"/>
      <c r="E162" s="949"/>
      <c r="F162" s="290" t="s">
        <v>1730</v>
      </c>
      <c r="G162" s="435">
        <f>'BS-G Old format'!F113</f>
        <v>-9769.3700000000008</v>
      </c>
      <c r="H162" s="436">
        <f>'BS-G Old format'!G113</f>
        <v>0</v>
      </c>
    </row>
    <row r="163" spans="1:8" ht="22.5" customHeight="1" x14ac:dyDescent="0.25">
      <c r="A163" s="300" t="s">
        <v>2816</v>
      </c>
      <c r="B163" s="950" t="s">
        <v>985</v>
      </c>
      <c r="C163" s="950"/>
      <c r="D163" s="950"/>
      <c r="E163" s="950"/>
      <c r="F163" s="294" t="s">
        <v>1731</v>
      </c>
      <c r="G163" s="437">
        <f>'BS-G Old format'!F114</f>
        <v>0</v>
      </c>
      <c r="H163" s="438">
        <f>'BS-G Old format'!G114</f>
        <v>0</v>
      </c>
    </row>
    <row r="164" spans="1:8" ht="22.5" customHeight="1" x14ac:dyDescent="0.25">
      <c r="A164" s="300" t="s">
        <v>773</v>
      </c>
      <c r="B164" s="950" t="s">
        <v>986</v>
      </c>
      <c r="C164" s="950"/>
      <c r="D164" s="950"/>
      <c r="E164" s="950"/>
      <c r="F164" s="294" t="s">
        <v>1732</v>
      </c>
      <c r="G164" s="437">
        <f>'BS-G Old format'!F115</f>
        <v>-9769.3700000000008</v>
      </c>
      <c r="H164" s="438">
        <f>'BS-G Old format'!G115</f>
        <v>0</v>
      </c>
    </row>
    <row r="165" spans="1:8" s="299" customFormat="1" ht="31.5" customHeight="1" x14ac:dyDescent="0.25">
      <c r="A165" s="292" t="s">
        <v>1751</v>
      </c>
      <c r="B165" s="949" t="s">
        <v>987</v>
      </c>
      <c r="C165" s="949"/>
      <c r="D165" s="949"/>
      <c r="E165" s="949"/>
      <c r="F165" s="290" t="s">
        <v>1733</v>
      </c>
      <c r="G165" s="435">
        <f>'BS-G Old format'!F117</f>
        <v>-1388.659999999998</v>
      </c>
      <c r="H165" s="436" t="e">
        <f>'BS-G Old format'!G117</f>
        <v>#REF!</v>
      </c>
    </row>
    <row r="166" spans="1:8" s="299" customFormat="1" ht="25.5" customHeight="1" x14ac:dyDescent="0.25">
      <c r="A166" s="292" t="s">
        <v>933</v>
      </c>
      <c r="B166" s="949" t="s">
        <v>2129</v>
      </c>
      <c r="C166" s="949"/>
      <c r="D166" s="949"/>
      <c r="E166" s="949"/>
      <c r="F166" s="290" t="s">
        <v>1736</v>
      </c>
      <c r="G166" s="435">
        <f>'BS-G Old format'!F119</f>
        <v>8627.0399999999991</v>
      </c>
      <c r="H166" s="436">
        <f>'BS-G Old format'!G119</f>
        <v>0</v>
      </c>
    </row>
    <row r="167" spans="1:8" s="299" customFormat="1" ht="27" customHeight="1" x14ac:dyDescent="0.25">
      <c r="A167" s="292" t="s">
        <v>942</v>
      </c>
      <c r="B167" s="949" t="s">
        <v>1494</v>
      </c>
      <c r="C167" s="949"/>
      <c r="D167" s="949"/>
      <c r="E167" s="949"/>
      <c r="F167" s="290" t="s">
        <v>1926</v>
      </c>
      <c r="G167" s="435">
        <f>'BS-G Old format'!F121</f>
        <v>0</v>
      </c>
      <c r="H167" s="436">
        <f>'BS-G Old format'!G121</f>
        <v>0</v>
      </c>
    </row>
    <row r="168" spans="1:8" ht="27.75" customHeight="1" x14ac:dyDescent="0.25">
      <c r="A168" s="306" t="s">
        <v>1042</v>
      </c>
      <c r="B168" s="950" t="s">
        <v>2130</v>
      </c>
      <c r="C168" s="950"/>
      <c r="D168" s="950"/>
      <c r="E168" s="950"/>
      <c r="F168" s="294" t="s">
        <v>1738</v>
      </c>
      <c r="G168" s="437">
        <f>'BS-G Old format'!F122</f>
        <v>0</v>
      </c>
      <c r="H168" s="438">
        <f>'BS-G Old format'!G122</f>
        <v>0</v>
      </c>
    </row>
    <row r="169" spans="1:8" ht="24.75" customHeight="1" x14ac:dyDescent="0.25">
      <c r="A169" s="300" t="s">
        <v>773</v>
      </c>
      <c r="B169" s="950" t="s">
        <v>1675</v>
      </c>
      <c r="C169" s="950"/>
      <c r="D169" s="950"/>
      <c r="E169" s="950"/>
      <c r="F169" s="294" t="s">
        <v>1198</v>
      </c>
      <c r="G169" s="437">
        <f>'BS-G Old format'!F123</f>
        <v>0</v>
      </c>
      <c r="H169" s="438">
        <f>'BS-G Old format'!G123</f>
        <v>0</v>
      </c>
    </row>
    <row r="170" spans="1:8" ht="24.75" customHeight="1" x14ac:dyDescent="0.25">
      <c r="A170" s="300" t="s">
        <v>774</v>
      </c>
      <c r="B170" s="950" t="s">
        <v>1676</v>
      </c>
      <c r="C170" s="950"/>
      <c r="D170" s="950"/>
      <c r="E170" s="950"/>
      <c r="F170" s="294" t="s">
        <v>2052</v>
      </c>
      <c r="G170" s="437">
        <f>'BS-G Old format'!F124</f>
        <v>0</v>
      </c>
      <c r="H170" s="438">
        <f>'BS-G Old format'!G124</f>
        <v>0</v>
      </c>
    </row>
    <row r="171" spans="1:8" s="299" customFormat="1" ht="24.75" customHeight="1" thickBot="1" x14ac:dyDescent="0.3">
      <c r="A171" s="313" t="s">
        <v>943</v>
      </c>
      <c r="B171" s="951" t="s">
        <v>1029</v>
      </c>
      <c r="C171" s="951"/>
      <c r="D171" s="951"/>
      <c r="E171" s="951"/>
      <c r="F171" s="305" t="s">
        <v>1542</v>
      </c>
      <c r="G171" s="439">
        <f>'BS-G Old format'!F126</f>
        <v>0</v>
      </c>
      <c r="H171" s="440">
        <f>'BS-G Old format'!G126</f>
        <v>0</v>
      </c>
    </row>
    <row r="172" spans="1:8" ht="33.75" customHeight="1" x14ac:dyDescent="0.2">
      <c r="A172" s="311" t="s">
        <v>780</v>
      </c>
      <c r="B172" s="1000" t="s">
        <v>779</v>
      </c>
      <c r="C172" s="1000"/>
      <c r="D172" s="1000"/>
      <c r="E172" s="1000"/>
      <c r="F172" s="415" t="s">
        <v>781</v>
      </c>
      <c r="G172" s="414" t="s">
        <v>782</v>
      </c>
      <c r="H172" s="413" t="s">
        <v>783</v>
      </c>
    </row>
    <row r="173" spans="1:8" ht="22.5" customHeight="1" x14ac:dyDescent="0.25">
      <c r="A173" s="293" t="s">
        <v>1056</v>
      </c>
      <c r="B173" s="950" t="s">
        <v>1603</v>
      </c>
      <c r="C173" s="950"/>
      <c r="D173" s="950"/>
      <c r="E173" s="950"/>
      <c r="F173" s="294" t="s">
        <v>1300</v>
      </c>
      <c r="G173" s="437">
        <f>'BS-G Old format'!F127</f>
        <v>0</v>
      </c>
      <c r="H173" s="438">
        <f>'BS-G Old format'!G127</f>
        <v>0</v>
      </c>
    </row>
    <row r="174" spans="1:8" ht="22.5" customHeight="1" x14ac:dyDescent="0.25">
      <c r="A174" s="296" t="s">
        <v>773</v>
      </c>
      <c r="B174" s="950" t="s">
        <v>1604</v>
      </c>
      <c r="C174" s="950"/>
      <c r="D174" s="950"/>
      <c r="E174" s="950"/>
      <c r="F174" s="294" t="s">
        <v>2375</v>
      </c>
      <c r="G174" s="437">
        <f>'BS-G Old format'!F128</f>
        <v>0</v>
      </c>
      <c r="H174" s="438">
        <f>'BS-G Old format'!G128</f>
        <v>0</v>
      </c>
    </row>
    <row r="175" spans="1:8" ht="29.25" customHeight="1" x14ac:dyDescent="0.25">
      <c r="A175" s="296" t="s">
        <v>774</v>
      </c>
      <c r="B175" s="950" t="s">
        <v>1605</v>
      </c>
      <c r="C175" s="950"/>
      <c r="D175" s="950"/>
      <c r="E175" s="950"/>
      <c r="F175" s="294" t="s">
        <v>2377</v>
      </c>
      <c r="G175" s="437">
        <f>'BS-G Old format'!F129</f>
        <v>0</v>
      </c>
      <c r="H175" s="438">
        <f>'BS-G Old format'!G129</f>
        <v>0</v>
      </c>
    </row>
    <row r="176" spans="1:8" ht="27" customHeight="1" x14ac:dyDescent="0.25">
      <c r="A176" s="296" t="s">
        <v>1046</v>
      </c>
      <c r="B176" s="950" t="s">
        <v>1017</v>
      </c>
      <c r="C176" s="950"/>
      <c r="D176" s="950"/>
      <c r="E176" s="950"/>
      <c r="F176" s="294" t="s">
        <v>2379</v>
      </c>
      <c r="G176" s="437">
        <f>'BS-G Old format'!F130</f>
        <v>0</v>
      </c>
      <c r="H176" s="438">
        <f>'BS-G Old format'!G130</f>
        <v>0</v>
      </c>
    </row>
    <row r="177" spans="1:8" ht="24.75" customHeight="1" x14ac:dyDescent="0.25">
      <c r="A177" s="296" t="s">
        <v>1048</v>
      </c>
      <c r="B177" s="950" t="s">
        <v>537</v>
      </c>
      <c r="C177" s="950"/>
      <c r="D177" s="950"/>
      <c r="E177" s="950"/>
      <c r="F177" s="294" t="s">
        <v>808</v>
      </c>
      <c r="G177" s="437">
        <f>'BS-G Old format'!F131</f>
        <v>0</v>
      </c>
      <c r="H177" s="438">
        <f>'BS-G Old format'!G131</f>
        <v>0</v>
      </c>
    </row>
    <row r="178" spans="1:8" ht="24.75" customHeight="1" x14ac:dyDescent="0.25">
      <c r="A178" s="296" t="s">
        <v>1050</v>
      </c>
      <c r="B178" s="950" t="s">
        <v>1928</v>
      </c>
      <c r="C178" s="950"/>
      <c r="D178" s="950"/>
      <c r="E178" s="950"/>
      <c r="F178" s="294" t="s">
        <v>41</v>
      </c>
      <c r="G178" s="437">
        <f>'BS-G Old format'!F132</f>
        <v>0</v>
      </c>
      <c r="H178" s="438">
        <f>'BS-G Old format'!G132</f>
        <v>0</v>
      </c>
    </row>
    <row r="179" spans="1:8" ht="24.75" customHeight="1" x14ac:dyDescent="0.25">
      <c r="A179" s="296" t="s">
        <v>1052</v>
      </c>
      <c r="B179" s="950" t="s">
        <v>1927</v>
      </c>
      <c r="C179" s="950"/>
      <c r="D179" s="950"/>
      <c r="E179" s="950"/>
      <c r="F179" s="294" t="s">
        <v>1499</v>
      </c>
      <c r="G179" s="437">
        <f>'BS-G Old format'!F133</f>
        <v>0</v>
      </c>
      <c r="H179" s="438">
        <f>'BS-G Old format'!G133</f>
        <v>0</v>
      </c>
    </row>
    <row r="180" spans="1:8" ht="21.75" customHeight="1" x14ac:dyDescent="0.25">
      <c r="A180" s="296" t="s">
        <v>1054</v>
      </c>
      <c r="B180" s="950" t="s">
        <v>1435</v>
      </c>
      <c r="C180" s="950"/>
      <c r="D180" s="950"/>
      <c r="E180" s="950"/>
      <c r="F180" s="294" t="s">
        <v>274</v>
      </c>
      <c r="G180" s="437">
        <f>'BS-G Old format'!F134</f>
        <v>0</v>
      </c>
      <c r="H180" s="438">
        <f>'BS-G Old format'!G134</f>
        <v>0</v>
      </c>
    </row>
    <row r="181" spans="1:8" ht="22.5" customHeight="1" x14ac:dyDescent="0.25">
      <c r="A181" s="296" t="s">
        <v>1220</v>
      </c>
      <c r="B181" s="950" t="s">
        <v>1436</v>
      </c>
      <c r="C181" s="950"/>
      <c r="D181" s="950"/>
      <c r="E181" s="950"/>
      <c r="F181" s="294" t="s">
        <v>276</v>
      </c>
      <c r="G181" s="437">
        <f>'BS-G Old format'!F135</f>
        <v>0</v>
      </c>
      <c r="H181" s="438">
        <f>'BS-G Old format'!G135</f>
        <v>0</v>
      </c>
    </row>
    <row r="182" spans="1:8" ht="23.25" customHeight="1" x14ac:dyDescent="0.25">
      <c r="A182" s="296" t="s">
        <v>1432</v>
      </c>
      <c r="B182" s="950" t="s">
        <v>1437</v>
      </c>
      <c r="C182" s="950"/>
      <c r="D182" s="950"/>
      <c r="E182" s="950"/>
      <c r="F182" s="294" t="s">
        <v>278</v>
      </c>
      <c r="G182" s="437">
        <f>'BS-G Old format'!F136</f>
        <v>0</v>
      </c>
      <c r="H182" s="438">
        <f>'BS-G Old format'!G136</f>
        <v>0</v>
      </c>
    </row>
    <row r="183" spans="1:8" s="299" customFormat="1" ht="24.75" customHeight="1" x14ac:dyDescent="0.25">
      <c r="A183" s="292" t="s">
        <v>279</v>
      </c>
      <c r="B183" s="949" t="s">
        <v>1030</v>
      </c>
      <c r="C183" s="949"/>
      <c r="D183" s="949"/>
      <c r="E183" s="949"/>
      <c r="F183" s="290" t="s">
        <v>2411</v>
      </c>
      <c r="G183" s="435">
        <f>'BS-G Old format'!F138</f>
        <v>8627.0399999999991</v>
      </c>
      <c r="H183" s="436">
        <f>'BS-G Old format'!G138</f>
        <v>0</v>
      </c>
    </row>
    <row r="184" spans="1:8" ht="30.75" customHeight="1" x14ac:dyDescent="0.25">
      <c r="A184" s="300" t="s">
        <v>746</v>
      </c>
      <c r="B184" s="950" t="s">
        <v>1118</v>
      </c>
      <c r="C184" s="950"/>
      <c r="D184" s="950"/>
      <c r="E184" s="950"/>
      <c r="F184" s="294" t="s">
        <v>2412</v>
      </c>
      <c r="G184" s="437">
        <f>'BS-G Old format'!F139</f>
        <v>29.839999999999918</v>
      </c>
      <c r="H184" s="438">
        <f>'BS-G Old format'!G139</f>
        <v>0</v>
      </c>
    </row>
    <row r="185" spans="1:8" ht="21.75" customHeight="1" x14ac:dyDescent="0.25">
      <c r="A185" s="300" t="s">
        <v>773</v>
      </c>
      <c r="B185" s="950" t="s">
        <v>1438</v>
      </c>
      <c r="C185" s="950"/>
      <c r="D185" s="950"/>
      <c r="E185" s="950"/>
      <c r="F185" s="294" t="s">
        <v>2413</v>
      </c>
      <c r="G185" s="437">
        <f>'BS-G Old format'!F140</f>
        <v>0</v>
      </c>
      <c r="H185" s="438">
        <f>'BS-G Old format'!G140</f>
        <v>0</v>
      </c>
    </row>
    <row r="186" spans="1:8" ht="27" customHeight="1" x14ac:dyDescent="0.25">
      <c r="A186" s="300" t="s">
        <v>774</v>
      </c>
      <c r="B186" s="950" t="s">
        <v>2216</v>
      </c>
      <c r="C186" s="950"/>
      <c r="D186" s="950"/>
      <c r="E186" s="950"/>
      <c r="F186" s="294" t="s">
        <v>281</v>
      </c>
      <c r="G186" s="437">
        <f>'BS-G Old format'!F141</f>
        <v>0</v>
      </c>
      <c r="H186" s="438">
        <f>'BS-G Old format'!G141</f>
        <v>0</v>
      </c>
    </row>
    <row r="187" spans="1:8" ht="22.5" customHeight="1" x14ac:dyDescent="0.25">
      <c r="A187" s="300" t="s">
        <v>1046</v>
      </c>
      <c r="B187" s="950" t="s">
        <v>2217</v>
      </c>
      <c r="C187" s="950"/>
      <c r="D187" s="950"/>
      <c r="E187" s="950"/>
      <c r="F187" s="294" t="s">
        <v>989</v>
      </c>
      <c r="G187" s="437">
        <f>'BS-G Old format'!F142</f>
        <v>0</v>
      </c>
      <c r="H187" s="438">
        <f>'BS-G Old format'!G142</f>
        <v>0</v>
      </c>
    </row>
    <row r="188" spans="1:8" ht="22.5" customHeight="1" x14ac:dyDescent="0.25">
      <c r="A188" s="300" t="s">
        <v>1048</v>
      </c>
      <c r="B188" s="950" t="s">
        <v>1932</v>
      </c>
      <c r="C188" s="950"/>
      <c r="D188" s="950"/>
      <c r="E188" s="950"/>
      <c r="F188" s="294" t="s">
        <v>2414</v>
      </c>
      <c r="G188" s="437">
        <f>'BS-G Old format'!F143</f>
        <v>1790</v>
      </c>
      <c r="H188" s="438">
        <f>'BS-G Old format'!G143</f>
        <v>0</v>
      </c>
    </row>
    <row r="189" spans="1:8" ht="23.25" customHeight="1" x14ac:dyDescent="0.25">
      <c r="A189" s="300" t="s">
        <v>1050</v>
      </c>
      <c r="B189" s="950" t="s">
        <v>532</v>
      </c>
      <c r="C189" s="950"/>
      <c r="D189" s="950"/>
      <c r="E189" s="950"/>
      <c r="F189" s="294" t="s">
        <v>2415</v>
      </c>
      <c r="G189" s="437">
        <f>'BS-G Old format'!F144</f>
        <v>0</v>
      </c>
      <c r="H189" s="438">
        <f>'BS-G Old format'!G144</f>
        <v>0</v>
      </c>
    </row>
    <row r="190" spans="1:8" ht="22.5" customHeight="1" x14ac:dyDescent="0.25">
      <c r="A190" s="300" t="s">
        <v>1052</v>
      </c>
      <c r="B190" s="950" t="s">
        <v>2116</v>
      </c>
      <c r="C190" s="950"/>
      <c r="D190" s="950"/>
      <c r="E190" s="950"/>
      <c r="F190" s="294" t="s">
        <v>2416</v>
      </c>
      <c r="G190" s="437">
        <f>'BS-G Old format'!F145</f>
        <v>0</v>
      </c>
      <c r="H190" s="438">
        <f>'BS-G Old format'!G145</f>
        <v>0</v>
      </c>
    </row>
    <row r="191" spans="1:8" ht="23.25" customHeight="1" x14ac:dyDescent="0.25">
      <c r="A191" s="300" t="s">
        <v>1054</v>
      </c>
      <c r="B191" s="950" t="s">
        <v>2218</v>
      </c>
      <c r="C191" s="950"/>
      <c r="D191" s="950"/>
      <c r="E191" s="950"/>
      <c r="F191" s="294" t="s">
        <v>2417</v>
      </c>
      <c r="G191" s="437">
        <f>'BS-G Old format'!F146</f>
        <v>6807.2</v>
      </c>
      <c r="H191" s="438">
        <f>'BS-G Old format'!G146</f>
        <v>0</v>
      </c>
    </row>
    <row r="192" spans="1:8" ht="22.5" customHeight="1" x14ac:dyDescent="0.25">
      <c r="A192" s="300" t="s">
        <v>1220</v>
      </c>
      <c r="B192" s="950" t="s">
        <v>2219</v>
      </c>
      <c r="C192" s="950"/>
      <c r="D192" s="950"/>
      <c r="E192" s="950"/>
      <c r="F192" s="294" t="s">
        <v>993</v>
      </c>
      <c r="G192" s="437">
        <f>'BS-G Old format'!F147</f>
        <v>0</v>
      </c>
      <c r="H192" s="438">
        <f>'BS-G Old format'!G147</f>
        <v>0</v>
      </c>
    </row>
    <row r="193" spans="1:8" s="299" customFormat="1" ht="24.75" customHeight="1" x14ac:dyDescent="0.25">
      <c r="A193" s="292" t="s">
        <v>1752</v>
      </c>
      <c r="B193" s="949" t="s">
        <v>2220</v>
      </c>
      <c r="C193" s="949"/>
      <c r="D193" s="949"/>
      <c r="E193" s="949"/>
      <c r="F193" s="290" t="s">
        <v>994</v>
      </c>
      <c r="G193" s="435">
        <f>'BS-G Old format'!F149</f>
        <v>0</v>
      </c>
      <c r="H193" s="436">
        <f>'BS-G Old format'!G149</f>
        <v>0</v>
      </c>
    </row>
    <row r="194" spans="1:8" ht="24.75" customHeight="1" x14ac:dyDescent="0.25">
      <c r="A194" s="306" t="s">
        <v>1872</v>
      </c>
      <c r="B194" s="950" t="s">
        <v>2221</v>
      </c>
      <c r="C194" s="950"/>
      <c r="D194" s="950"/>
      <c r="E194" s="950"/>
      <c r="F194" s="294" t="s">
        <v>996</v>
      </c>
      <c r="G194" s="437">
        <f>'BS-G Old format'!F150</f>
        <v>0</v>
      </c>
      <c r="H194" s="438">
        <f>'BS-G Old format'!G150</f>
        <v>0</v>
      </c>
    </row>
    <row r="195" spans="1:8" ht="24.75" customHeight="1" x14ac:dyDescent="0.25">
      <c r="A195" s="300" t="s">
        <v>773</v>
      </c>
      <c r="B195" s="950" t="s">
        <v>2222</v>
      </c>
      <c r="C195" s="950"/>
      <c r="D195" s="950"/>
      <c r="E195" s="950"/>
      <c r="F195" s="294" t="s">
        <v>998</v>
      </c>
      <c r="G195" s="437">
        <f>'BS-G Old format'!F151</f>
        <v>0</v>
      </c>
      <c r="H195" s="438">
        <f>'BS-G Old format'!G151</f>
        <v>0</v>
      </c>
    </row>
    <row r="196" spans="1:8" ht="24.75" customHeight="1" x14ac:dyDescent="0.25">
      <c r="A196" s="300" t="s">
        <v>774</v>
      </c>
      <c r="B196" s="950" t="s">
        <v>2223</v>
      </c>
      <c r="C196" s="950"/>
      <c r="D196" s="950"/>
      <c r="E196" s="950"/>
      <c r="F196" s="294" t="s">
        <v>1000</v>
      </c>
      <c r="G196" s="437">
        <f>'BS-G Old format'!F152</f>
        <v>0</v>
      </c>
      <c r="H196" s="438">
        <f>'BS-G Old format'!G152</f>
        <v>0</v>
      </c>
    </row>
    <row r="197" spans="1:8" s="299" customFormat="1" ht="24.75" customHeight="1" x14ac:dyDescent="0.25">
      <c r="A197" s="292" t="s">
        <v>261</v>
      </c>
      <c r="B197" s="949" t="s">
        <v>1032</v>
      </c>
      <c r="C197" s="949"/>
      <c r="D197" s="949"/>
      <c r="E197" s="949"/>
      <c r="F197" s="290" t="s">
        <v>1001</v>
      </c>
      <c r="G197" s="435">
        <f>'BS-G Old format'!F154</f>
        <v>0</v>
      </c>
      <c r="H197" s="436">
        <f>'BS-G Old format'!G154</f>
        <v>0</v>
      </c>
    </row>
    <row r="198" spans="1:8" ht="24.75" customHeight="1" x14ac:dyDescent="0.25">
      <c r="A198" s="306" t="s">
        <v>1874</v>
      </c>
      <c r="B198" s="949" t="s">
        <v>2224</v>
      </c>
      <c r="C198" s="949"/>
      <c r="D198" s="949"/>
      <c r="E198" s="949"/>
      <c r="F198" s="294" t="s">
        <v>1002</v>
      </c>
      <c r="G198" s="437">
        <f>'BS-G Old format'!F156</f>
        <v>0</v>
      </c>
      <c r="H198" s="438">
        <f>'BS-G Old format'!G156</f>
        <v>0</v>
      </c>
    </row>
    <row r="199" spans="1:8" ht="24.75" customHeight="1" thickBot="1" x14ac:dyDescent="0.3">
      <c r="A199" s="308" t="s">
        <v>773</v>
      </c>
      <c r="B199" s="955" t="s">
        <v>584</v>
      </c>
      <c r="C199" s="955"/>
      <c r="D199" s="955"/>
      <c r="E199" s="955"/>
      <c r="F199" s="297" t="s">
        <v>1003</v>
      </c>
      <c r="G199" s="494">
        <f>'BS-G Old format'!F157</f>
        <v>0</v>
      </c>
      <c r="H199" s="495">
        <f>'BS-G Old format'!G157</f>
        <v>0</v>
      </c>
    </row>
  </sheetData>
  <mergeCells count="549">
    <mergeCell ref="B150:E150"/>
    <mergeCell ref="D132:F132"/>
    <mergeCell ref="D122:F122"/>
    <mergeCell ref="D138:F138"/>
    <mergeCell ref="D133:F133"/>
    <mergeCell ref="D134:F134"/>
    <mergeCell ref="D135:F135"/>
    <mergeCell ref="D136:F136"/>
    <mergeCell ref="D128:F128"/>
    <mergeCell ref="D124:F124"/>
    <mergeCell ref="E125:G125"/>
    <mergeCell ref="D123:F123"/>
    <mergeCell ref="D139:F139"/>
    <mergeCell ref="D137:F137"/>
    <mergeCell ref="D129:F129"/>
    <mergeCell ref="D130:F130"/>
    <mergeCell ref="D142:F142"/>
    <mergeCell ref="D143:F143"/>
    <mergeCell ref="B145:E145"/>
    <mergeCell ref="B146:E146"/>
    <mergeCell ref="B147:E147"/>
    <mergeCell ref="B148:E148"/>
    <mergeCell ref="B144:E144"/>
    <mergeCell ref="B149:E149"/>
    <mergeCell ref="B163:E163"/>
    <mergeCell ref="B164:E164"/>
    <mergeCell ref="B165:E165"/>
    <mergeCell ref="B166:E166"/>
    <mergeCell ref="B167:E167"/>
    <mergeCell ref="B168:E168"/>
    <mergeCell ref="B157:E157"/>
    <mergeCell ref="D95:D96"/>
    <mergeCell ref="D74:F74"/>
    <mergeCell ref="C140:C141"/>
    <mergeCell ref="D141:F141"/>
    <mergeCell ref="B158:E158"/>
    <mergeCell ref="B151:E151"/>
    <mergeCell ref="B152:E152"/>
    <mergeCell ref="B153:E153"/>
    <mergeCell ref="B154:E154"/>
    <mergeCell ref="B155:E155"/>
    <mergeCell ref="B156:E156"/>
    <mergeCell ref="D75:F75"/>
    <mergeCell ref="D112:F112"/>
    <mergeCell ref="D107:F107"/>
    <mergeCell ref="D108:F108"/>
    <mergeCell ref="D109:F109"/>
    <mergeCell ref="D106:F106"/>
    <mergeCell ref="B193:E193"/>
    <mergeCell ref="B194:E194"/>
    <mergeCell ref="B183:E183"/>
    <mergeCell ref="B184:E184"/>
    <mergeCell ref="B185:E185"/>
    <mergeCell ref="B186:E186"/>
    <mergeCell ref="B187:E187"/>
    <mergeCell ref="B188:E188"/>
    <mergeCell ref="B199:E199"/>
    <mergeCell ref="B195:E195"/>
    <mergeCell ref="B196:E196"/>
    <mergeCell ref="B197:E197"/>
    <mergeCell ref="B198:E198"/>
    <mergeCell ref="B189:E189"/>
    <mergeCell ref="B190:E190"/>
    <mergeCell ref="B191:E191"/>
    <mergeCell ref="B192:E192"/>
    <mergeCell ref="B181:E181"/>
    <mergeCell ref="B182:E182"/>
    <mergeCell ref="B171:E171"/>
    <mergeCell ref="B173:E173"/>
    <mergeCell ref="B174:E174"/>
    <mergeCell ref="B175:E175"/>
    <mergeCell ref="B172:E172"/>
    <mergeCell ref="C138:C139"/>
    <mergeCell ref="D16:F16"/>
    <mergeCell ref="D17:F17"/>
    <mergeCell ref="D66:F66"/>
    <mergeCell ref="D84:F84"/>
    <mergeCell ref="D100:F100"/>
    <mergeCell ref="B176:E176"/>
    <mergeCell ref="B177:E177"/>
    <mergeCell ref="B178:E178"/>
    <mergeCell ref="B179:E179"/>
    <mergeCell ref="B180:E180"/>
    <mergeCell ref="B169:E169"/>
    <mergeCell ref="B170:E170"/>
    <mergeCell ref="B159:E159"/>
    <mergeCell ref="B160:E160"/>
    <mergeCell ref="B161:E161"/>
    <mergeCell ref="B162:E162"/>
    <mergeCell ref="A35:A36"/>
    <mergeCell ref="D37:F37"/>
    <mergeCell ref="D38:F38"/>
    <mergeCell ref="A32:A34"/>
    <mergeCell ref="B32:B34"/>
    <mergeCell ref="C32:C34"/>
    <mergeCell ref="A30:A31"/>
    <mergeCell ref="A94:A96"/>
    <mergeCell ref="B94:B96"/>
    <mergeCell ref="C94:C96"/>
    <mergeCell ref="D76:F76"/>
    <mergeCell ref="D77:F77"/>
    <mergeCell ref="D78:F78"/>
    <mergeCell ref="D79:F79"/>
    <mergeCell ref="D80:F80"/>
    <mergeCell ref="D89:F89"/>
    <mergeCell ref="D90:F90"/>
    <mergeCell ref="D91:F91"/>
    <mergeCell ref="D93:F93"/>
    <mergeCell ref="E95:F95"/>
    <mergeCell ref="E96:F96"/>
    <mergeCell ref="H138:H139"/>
    <mergeCell ref="H140:H141"/>
    <mergeCell ref="G142:G143"/>
    <mergeCell ref="H142:H143"/>
    <mergeCell ref="G140:G141"/>
    <mergeCell ref="G138:G139"/>
    <mergeCell ref="D140:F140"/>
    <mergeCell ref="H136:H137"/>
    <mergeCell ref="A134:A135"/>
    <mergeCell ref="B134:B135"/>
    <mergeCell ref="C134:C135"/>
    <mergeCell ref="G134:G135"/>
    <mergeCell ref="H134:H135"/>
    <mergeCell ref="A136:A137"/>
    <mergeCell ref="B136:B137"/>
    <mergeCell ref="C136:C137"/>
    <mergeCell ref="G136:G137"/>
    <mergeCell ref="A142:A143"/>
    <mergeCell ref="B142:B143"/>
    <mergeCell ref="C142:C143"/>
    <mergeCell ref="A140:A141"/>
    <mergeCell ref="B140:B141"/>
    <mergeCell ref="A138:A139"/>
    <mergeCell ref="B138:B139"/>
    <mergeCell ref="H123:H124"/>
    <mergeCell ref="A128:A129"/>
    <mergeCell ref="B128:B129"/>
    <mergeCell ref="C128:C129"/>
    <mergeCell ref="G128:G129"/>
    <mergeCell ref="H128:H129"/>
    <mergeCell ref="H125:H126"/>
    <mergeCell ref="D126:D127"/>
    <mergeCell ref="G126:G127"/>
    <mergeCell ref="B123:B124"/>
    <mergeCell ref="C123:C124"/>
    <mergeCell ref="G123:G124"/>
    <mergeCell ref="E126:F126"/>
    <mergeCell ref="E127:F127"/>
    <mergeCell ref="A123:A124"/>
    <mergeCell ref="A125:A127"/>
    <mergeCell ref="B125:B127"/>
    <mergeCell ref="C125:C127"/>
    <mergeCell ref="H132:H133"/>
    <mergeCell ref="A130:A131"/>
    <mergeCell ref="B130:B131"/>
    <mergeCell ref="C130:C131"/>
    <mergeCell ref="G130:G131"/>
    <mergeCell ref="H130:H131"/>
    <mergeCell ref="A132:A133"/>
    <mergeCell ref="B132:B133"/>
    <mergeCell ref="C132:C133"/>
    <mergeCell ref="G132:G133"/>
    <mergeCell ref="D131:F131"/>
    <mergeCell ref="H119:H120"/>
    <mergeCell ref="A121:A122"/>
    <mergeCell ref="B121:B122"/>
    <mergeCell ref="C121:C122"/>
    <mergeCell ref="G121:G122"/>
    <mergeCell ref="H121:H122"/>
    <mergeCell ref="A119:A120"/>
    <mergeCell ref="B119:B120"/>
    <mergeCell ref="C119:C120"/>
    <mergeCell ref="D119:F119"/>
    <mergeCell ref="D120:F120"/>
    <mergeCell ref="G119:G120"/>
    <mergeCell ref="D121:F121"/>
    <mergeCell ref="H115:H116"/>
    <mergeCell ref="A117:A118"/>
    <mergeCell ref="B117:B118"/>
    <mergeCell ref="C117:C118"/>
    <mergeCell ref="G117:G118"/>
    <mergeCell ref="H117:H118"/>
    <mergeCell ref="A115:A116"/>
    <mergeCell ref="B115:B116"/>
    <mergeCell ref="C115:C116"/>
    <mergeCell ref="D118:F118"/>
    <mergeCell ref="D115:F115"/>
    <mergeCell ref="D116:F116"/>
    <mergeCell ref="D117:F117"/>
    <mergeCell ref="G115:G116"/>
    <mergeCell ref="H111:H112"/>
    <mergeCell ref="A113:A114"/>
    <mergeCell ref="B113:B114"/>
    <mergeCell ref="C113:C114"/>
    <mergeCell ref="G113:G114"/>
    <mergeCell ref="H113:H114"/>
    <mergeCell ref="A111:A112"/>
    <mergeCell ref="B111:B112"/>
    <mergeCell ref="C111:C112"/>
    <mergeCell ref="D111:F111"/>
    <mergeCell ref="D114:F114"/>
    <mergeCell ref="D113:F113"/>
    <mergeCell ref="G111:G112"/>
    <mergeCell ref="H107:H108"/>
    <mergeCell ref="A109:A110"/>
    <mergeCell ref="B109:B110"/>
    <mergeCell ref="C109:C110"/>
    <mergeCell ref="G109:G110"/>
    <mergeCell ref="H109:H110"/>
    <mergeCell ref="A107:A108"/>
    <mergeCell ref="B107:B108"/>
    <mergeCell ref="C107:C108"/>
    <mergeCell ref="G107:G108"/>
    <mergeCell ref="D110:F110"/>
    <mergeCell ref="G103:G104"/>
    <mergeCell ref="H103:H104"/>
    <mergeCell ref="A105:A106"/>
    <mergeCell ref="B105:B106"/>
    <mergeCell ref="C105:C106"/>
    <mergeCell ref="G105:G106"/>
    <mergeCell ref="H105:H106"/>
    <mergeCell ref="A103:A104"/>
    <mergeCell ref="B103:B104"/>
    <mergeCell ref="C103:C104"/>
    <mergeCell ref="D104:F104"/>
    <mergeCell ref="D105:F105"/>
    <mergeCell ref="D103:F103"/>
    <mergeCell ref="G99:G100"/>
    <mergeCell ref="H99:H100"/>
    <mergeCell ref="A101:A102"/>
    <mergeCell ref="B101:B102"/>
    <mergeCell ref="C101:C102"/>
    <mergeCell ref="G101:G102"/>
    <mergeCell ref="H101:H102"/>
    <mergeCell ref="A99:A100"/>
    <mergeCell ref="B99:B100"/>
    <mergeCell ref="C99:C100"/>
    <mergeCell ref="D99:F99"/>
    <mergeCell ref="D101:F101"/>
    <mergeCell ref="D102:F102"/>
    <mergeCell ref="H92:H93"/>
    <mergeCell ref="A97:A98"/>
    <mergeCell ref="B97:B98"/>
    <mergeCell ref="C97:C98"/>
    <mergeCell ref="G97:G98"/>
    <mergeCell ref="H97:H98"/>
    <mergeCell ref="A92:A93"/>
    <mergeCell ref="B92:B93"/>
    <mergeCell ref="C92:C93"/>
    <mergeCell ref="H94:H95"/>
    <mergeCell ref="G92:G93"/>
    <mergeCell ref="G95:G96"/>
    <mergeCell ref="D92:F92"/>
    <mergeCell ref="D98:F98"/>
    <mergeCell ref="E94:G94"/>
    <mergeCell ref="D97:F97"/>
    <mergeCell ref="H88:H89"/>
    <mergeCell ref="A90:A91"/>
    <mergeCell ref="B90:B91"/>
    <mergeCell ref="C90:C91"/>
    <mergeCell ref="G90:G91"/>
    <mergeCell ref="H90:H91"/>
    <mergeCell ref="A88:A89"/>
    <mergeCell ref="B88:B89"/>
    <mergeCell ref="C88:C89"/>
    <mergeCell ref="G88:G89"/>
    <mergeCell ref="D88:F88"/>
    <mergeCell ref="H84:H85"/>
    <mergeCell ref="A86:A87"/>
    <mergeCell ref="B86:B87"/>
    <mergeCell ref="C86:C87"/>
    <mergeCell ref="G86:G87"/>
    <mergeCell ref="H86:H87"/>
    <mergeCell ref="A84:A85"/>
    <mergeCell ref="B84:B85"/>
    <mergeCell ref="C84:C85"/>
    <mergeCell ref="G84:G85"/>
    <mergeCell ref="D85:F85"/>
    <mergeCell ref="D86:F86"/>
    <mergeCell ref="D87:F87"/>
    <mergeCell ref="H80:H81"/>
    <mergeCell ref="A82:A83"/>
    <mergeCell ref="B82:B83"/>
    <mergeCell ref="C82:C83"/>
    <mergeCell ref="G82:G83"/>
    <mergeCell ref="H82:H83"/>
    <mergeCell ref="A80:A81"/>
    <mergeCell ref="B80:B81"/>
    <mergeCell ref="C80:C81"/>
    <mergeCell ref="G80:G81"/>
    <mergeCell ref="D83:F83"/>
    <mergeCell ref="D81:F81"/>
    <mergeCell ref="D82:F82"/>
    <mergeCell ref="H76:H77"/>
    <mergeCell ref="A78:A79"/>
    <mergeCell ref="B78:B79"/>
    <mergeCell ref="C78:C79"/>
    <mergeCell ref="G78:G79"/>
    <mergeCell ref="H78:H79"/>
    <mergeCell ref="A76:A77"/>
    <mergeCell ref="B76:B77"/>
    <mergeCell ref="C76:C77"/>
    <mergeCell ref="G76:G77"/>
    <mergeCell ref="G72:G73"/>
    <mergeCell ref="H72:H73"/>
    <mergeCell ref="A74:A75"/>
    <mergeCell ref="B74:B75"/>
    <mergeCell ref="C74:C75"/>
    <mergeCell ref="G74:G75"/>
    <mergeCell ref="H74:H75"/>
    <mergeCell ref="A72:A73"/>
    <mergeCell ref="B72:B73"/>
    <mergeCell ref="C72:C73"/>
    <mergeCell ref="D72:F72"/>
    <mergeCell ref="D73:F73"/>
    <mergeCell ref="G68:G69"/>
    <mergeCell ref="H68:H69"/>
    <mergeCell ref="A70:A71"/>
    <mergeCell ref="B70:B71"/>
    <mergeCell ref="C70:C71"/>
    <mergeCell ref="G70:G71"/>
    <mergeCell ref="H70:H71"/>
    <mergeCell ref="A68:A69"/>
    <mergeCell ref="B68:B69"/>
    <mergeCell ref="C68:C69"/>
    <mergeCell ref="D71:F71"/>
    <mergeCell ref="D68:F68"/>
    <mergeCell ref="D69:F69"/>
    <mergeCell ref="D70:F70"/>
    <mergeCell ref="H61:H62"/>
    <mergeCell ref="A66:A67"/>
    <mergeCell ref="B66:B67"/>
    <mergeCell ref="C66:C67"/>
    <mergeCell ref="G66:G67"/>
    <mergeCell ref="H66:H67"/>
    <mergeCell ref="A61:A62"/>
    <mergeCell ref="B61:B62"/>
    <mergeCell ref="C61:C62"/>
    <mergeCell ref="H63:H64"/>
    <mergeCell ref="A63:A65"/>
    <mergeCell ref="B63:B65"/>
    <mergeCell ref="C63:C65"/>
    <mergeCell ref="D64:D65"/>
    <mergeCell ref="D67:F67"/>
    <mergeCell ref="D61:F61"/>
    <mergeCell ref="D62:F62"/>
    <mergeCell ref="G61:G62"/>
    <mergeCell ref="E63:G63"/>
    <mergeCell ref="E64:F64"/>
    <mergeCell ref="E65:F65"/>
    <mergeCell ref="G64:G65"/>
    <mergeCell ref="G57:G58"/>
    <mergeCell ref="H57:H58"/>
    <mergeCell ref="A59:A60"/>
    <mergeCell ref="B59:B60"/>
    <mergeCell ref="C59:C60"/>
    <mergeCell ref="G59:G60"/>
    <mergeCell ref="H59:H60"/>
    <mergeCell ref="A57:A58"/>
    <mergeCell ref="B57:B58"/>
    <mergeCell ref="C57:C58"/>
    <mergeCell ref="D57:F57"/>
    <mergeCell ref="D58:F58"/>
    <mergeCell ref="D59:F59"/>
    <mergeCell ref="D60:F60"/>
    <mergeCell ref="G53:G54"/>
    <mergeCell ref="H53:H54"/>
    <mergeCell ref="A55:A56"/>
    <mergeCell ref="B55:B56"/>
    <mergeCell ref="C55:C56"/>
    <mergeCell ref="G55:G56"/>
    <mergeCell ref="H55:H56"/>
    <mergeCell ref="A53:A54"/>
    <mergeCell ref="B53:B54"/>
    <mergeCell ref="C53:C54"/>
    <mergeCell ref="D53:F53"/>
    <mergeCell ref="D54:F54"/>
    <mergeCell ref="D55:F55"/>
    <mergeCell ref="D56:F56"/>
    <mergeCell ref="G49:G50"/>
    <mergeCell ref="H49:H50"/>
    <mergeCell ref="A51:A52"/>
    <mergeCell ref="B51:B52"/>
    <mergeCell ref="C51:C52"/>
    <mergeCell ref="G51:G52"/>
    <mergeCell ref="H51:H52"/>
    <mergeCell ref="A49:A50"/>
    <mergeCell ref="B49:B50"/>
    <mergeCell ref="C49:C50"/>
    <mergeCell ref="D49:F49"/>
    <mergeCell ref="D50:F50"/>
    <mergeCell ref="D51:F51"/>
    <mergeCell ref="D52:F52"/>
    <mergeCell ref="G45:G46"/>
    <mergeCell ref="H45:H46"/>
    <mergeCell ref="A47:A48"/>
    <mergeCell ref="B47:B48"/>
    <mergeCell ref="C47:C48"/>
    <mergeCell ref="G47:G48"/>
    <mergeCell ref="H47:H48"/>
    <mergeCell ref="A45:A46"/>
    <mergeCell ref="B45:B46"/>
    <mergeCell ref="C45:C46"/>
    <mergeCell ref="D45:F45"/>
    <mergeCell ref="D46:F46"/>
    <mergeCell ref="D47:F47"/>
    <mergeCell ref="D48:F48"/>
    <mergeCell ref="G41:G42"/>
    <mergeCell ref="H41:H42"/>
    <mergeCell ref="A43:A44"/>
    <mergeCell ref="B43:B44"/>
    <mergeCell ref="C43:C44"/>
    <mergeCell ref="G43:G44"/>
    <mergeCell ref="H43:H44"/>
    <mergeCell ref="A41:A42"/>
    <mergeCell ref="B41:B42"/>
    <mergeCell ref="C41:C42"/>
    <mergeCell ref="D44:F44"/>
    <mergeCell ref="D41:F41"/>
    <mergeCell ref="D42:F42"/>
    <mergeCell ref="D43:F43"/>
    <mergeCell ref="H39:H40"/>
    <mergeCell ref="A37:A38"/>
    <mergeCell ref="B37:B38"/>
    <mergeCell ref="C37:C38"/>
    <mergeCell ref="D39:F39"/>
    <mergeCell ref="D40:F40"/>
    <mergeCell ref="A39:A40"/>
    <mergeCell ref="B39:B40"/>
    <mergeCell ref="C39:C40"/>
    <mergeCell ref="G39:G40"/>
    <mergeCell ref="G30:G31"/>
    <mergeCell ref="H30:H31"/>
    <mergeCell ref="H35:H36"/>
    <mergeCell ref="G37:G38"/>
    <mergeCell ref="H37:H38"/>
    <mergeCell ref="D36:F36"/>
    <mergeCell ref="H32:H33"/>
    <mergeCell ref="D33:D34"/>
    <mergeCell ref="B35:B36"/>
    <mergeCell ref="C35:C36"/>
    <mergeCell ref="G35:G36"/>
    <mergeCell ref="B30:B31"/>
    <mergeCell ref="C30:C31"/>
    <mergeCell ref="G33:G34"/>
    <mergeCell ref="E33:F33"/>
    <mergeCell ref="E34:F34"/>
    <mergeCell ref="E32:G32"/>
    <mergeCell ref="D30:F30"/>
    <mergeCell ref="D31:F31"/>
    <mergeCell ref="D35:F35"/>
    <mergeCell ref="G26:G27"/>
    <mergeCell ref="H26:H27"/>
    <mergeCell ref="A28:A29"/>
    <mergeCell ref="B28:B29"/>
    <mergeCell ref="C28:C29"/>
    <mergeCell ref="G28:G29"/>
    <mergeCell ref="H28:H29"/>
    <mergeCell ref="A26:A27"/>
    <mergeCell ref="B26:B27"/>
    <mergeCell ref="C26:C27"/>
    <mergeCell ref="D28:F28"/>
    <mergeCell ref="D26:F26"/>
    <mergeCell ref="D27:F27"/>
    <mergeCell ref="D29:F29"/>
    <mergeCell ref="G22:G23"/>
    <mergeCell ref="H22:H23"/>
    <mergeCell ref="A24:A25"/>
    <mergeCell ref="B24:B25"/>
    <mergeCell ref="C24:C25"/>
    <mergeCell ref="G24:G25"/>
    <mergeCell ref="H24:H25"/>
    <mergeCell ref="A22:A23"/>
    <mergeCell ref="B22:B23"/>
    <mergeCell ref="C22:C23"/>
    <mergeCell ref="D25:F25"/>
    <mergeCell ref="D22:F22"/>
    <mergeCell ref="D23:F23"/>
    <mergeCell ref="D24:F24"/>
    <mergeCell ref="A10:A11"/>
    <mergeCell ref="B10:B11"/>
    <mergeCell ref="C10:C11"/>
    <mergeCell ref="D9:F9"/>
    <mergeCell ref="G18:G19"/>
    <mergeCell ref="H18:H19"/>
    <mergeCell ref="A20:A21"/>
    <mergeCell ref="B20:B21"/>
    <mergeCell ref="C20:C21"/>
    <mergeCell ref="G20:G21"/>
    <mergeCell ref="H20:H21"/>
    <mergeCell ref="A18:A19"/>
    <mergeCell ref="B18:B19"/>
    <mergeCell ref="C18:C19"/>
    <mergeCell ref="D18:F18"/>
    <mergeCell ref="D19:F19"/>
    <mergeCell ref="D20:F20"/>
    <mergeCell ref="D21:F21"/>
    <mergeCell ref="D10:F10"/>
    <mergeCell ref="D11:F11"/>
    <mergeCell ref="D12:F12"/>
    <mergeCell ref="D13:F13"/>
    <mergeCell ref="D4:F4"/>
    <mergeCell ref="A16:A17"/>
    <mergeCell ref="B16:B17"/>
    <mergeCell ref="C16:C17"/>
    <mergeCell ref="G16:G17"/>
    <mergeCell ref="H16:H17"/>
    <mergeCell ref="A14:A15"/>
    <mergeCell ref="B14:B15"/>
    <mergeCell ref="G14:G15"/>
    <mergeCell ref="D15:F15"/>
    <mergeCell ref="A12:A13"/>
    <mergeCell ref="B12:B13"/>
    <mergeCell ref="C12:C13"/>
    <mergeCell ref="G12:G13"/>
    <mergeCell ref="C14:C15"/>
    <mergeCell ref="D14:F14"/>
    <mergeCell ref="H10:H11"/>
    <mergeCell ref="H12:H13"/>
    <mergeCell ref="H8:H9"/>
    <mergeCell ref="H14:H15"/>
    <mergeCell ref="A8:A9"/>
    <mergeCell ref="B8:B9"/>
    <mergeCell ref="C8:C9"/>
    <mergeCell ref="G8:G9"/>
    <mergeCell ref="D5:F5"/>
    <mergeCell ref="D6:F6"/>
    <mergeCell ref="G10:G11"/>
    <mergeCell ref="D7:F7"/>
    <mergeCell ref="D8:F8"/>
    <mergeCell ref="A1:A3"/>
    <mergeCell ref="B1:B3"/>
    <mergeCell ref="G6:G7"/>
    <mergeCell ref="H6:H7"/>
    <mergeCell ref="A6:A7"/>
    <mergeCell ref="B6:B7"/>
    <mergeCell ref="C6:C7"/>
    <mergeCell ref="A4:A5"/>
    <mergeCell ref="B4:B5"/>
    <mergeCell ref="G4:G5"/>
    <mergeCell ref="C1:C3"/>
    <mergeCell ref="H1:H2"/>
    <mergeCell ref="D2:D3"/>
    <mergeCell ref="G2:G3"/>
    <mergeCell ref="H4:H5"/>
    <mergeCell ref="C4:C5"/>
    <mergeCell ref="E1:G1"/>
    <mergeCell ref="E2:F2"/>
    <mergeCell ref="E3:F3"/>
  </mergeCells>
  <phoneticPr fontId="7" type="noConversion"/>
  <pageMargins left="0.55118110236220474" right="0.55118110236220474" top="0.59055118110236227" bottom="0.47244094488188981" header="0.51181102362204722" footer="0.23622047244094491"/>
  <pageSetup orientation="portrait" r:id="rId1"/>
  <headerFooter alignWithMargins="0"/>
  <rowBreaks count="6" manualBreakCount="6">
    <brk id="31" max="16383" man="1"/>
    <brk id="62" max="16383" man="1"/>
    <brk id="93" max="16383" man="1"/>
    <brk id="124" max="16383" man="1"/>
    <brk id="143" max="16383" man="1"/>
    <brk id="1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2"/>
  <sheetViews>
    <sheetView workbookViewId="0">
      <selection activeCell="D6" sqref="D6"/>
    </sheetView>
  </sheetViews>
  <sheetFormatPr defaultColWidth="8.88671875" defaultRowHeight="12" x14ac:dyDescent="0.25"/>
  <cols>
    <col min="1" max="1" width="4.44140625" style="676" customWidth="1"/>
    <col min="2" max="2" width="82.44140625" style="676" bestFit="1" customWidth="1"/>
    <col min="3" max="3" width="2.44140625" style="676" customWidth="1"/>
    <col min="4" max="4" width="12.88671875" style="847" customWidth="1"/>
    <col min="5" max="5" width="16.109375" style="676" customWidth="1"/>
    <col min="6" max="6" width="5" style="676" bestFit="1" customWidth="1"/>
    <col min="7" max="7" width="7.5546875" style="676" bestFit="1" customWidth="1"/>
    <col min="8" max="8" width="2.33203125" style="676" bestFit="1" customWidth="1"/>
    <col min="9" max="9" width="5.5546875" style="676" bestFit="1" customWidth="1"/>
    <col min="10" max="10" width="3" style="676" bestFit="1" customWidth="1"/>
    <col min="11" max="11" width="9.6640625" style="676" bestFit="1" customWidth="1"/>
    <col min="12" max="12" width="8.88671875" style="676"/>
    <col min="13" max="14" width="10.6640625" style="676" customWidth="1"/>
    <col min="15" max="16384" width="8.88671875" style="676"/>
  </cols>
  <sheetData>
    <row r="1" spans="1:14" x14ac:dyDescent="0.25">
      <c r="B1" s="684"/>
      <c r="C1" s="684"/>
      <c r="D1" s="848"/>
      <c r="E1" s="684"/>
      <c r="F1" s="684"/>
    </row>
    <row r="2" spans="1:14" x14ac:dyDescent="0.25">
      <c r="A2" s="676" t="s">
        <v>642</v>
      </c>
      <c r="B2" s="677" t="s">
        <v>3137</v>
      </c>
      <c r="C2" s="677"/>
      <c r="D2" s="850"/>
      <c r="E2" s="677" t="s">
        <v>3101</v>
      </c>
      <c r="F2" s="677"/>
      <c r="G2" s="677"/>
      <c r="H2" s="677"/>
      <c r="I2" s="677"/>
      <c r="J2" s="677"/>
      <c r="K2" s="678"/>
      <c r="L2" s="677"/>
      <c r="M2" s="679"/>
      <c r="N2" s="679"/>
    </row>
    <row r="3" spans="1:14" x14ac:dyDescent="0.25">
      <c r="A3" s="676" t="s">
        <v>773</v>
      </c>
      <c r="B3" s="677" t="s">
        <v>3136</v>
      </c>
      <c r="C3" s="677"/>
      <c r="D3" s="847">
        <v>0</v>
      </c>
      <c r="E3" s="677" t="s">
        <v>3122</v>
      </c>
      <c r="F3" s="677"/>
      <c r="G3" s="677"/>
      <c r="H3" s="677"/>
      <c r="I3" s="677"/>
      <c r="J3" s="677"/>
      <c r="K3" s="678"/>
      <c r="L3" s="677"/>
      <c r="M3" s="679"/>
      <c r="N3" s="679"/>
    </row>
    <row r="4" spans="1:14" x14ac:dyDescent="0.25">
      <c r="A4" s="676" t="s">
        <v>3097</v>
      </c>
      <c r="B4" s="677" t="s">
        <v>3172</v>
      </c>
      <c r="C4" s="677"/>
      <c r="D4" s="847">
        <v>2032.48</v>
      </c>
      <c r="E4" s="677"/>
      <c r="F4" s="677"/>
      <c r="G4" s="677"/>
      <c r="H4" s="677"/>
      <c r="I4" s="677"/>
      <c r="J4" s="677"/>
      <c r="K4" s="678"/>
      <c r="L4" s="677"/>
      <c r="M4" s="679"/>
      <c r="N4" s="679"/>
    </row>
    <row r="5" spans="1:14" x14ac:dyDescent="0.25">
      <c r="A5" s="676" t="s">
        <v>1046</v>
      </c>
      <c r="B5" s="677" t="s">
        <v>3124</v>
      </c>
      <c r="C5" s="677"/>
      <c r="D5" s="847">
        <v>960</v>
      </c>
      <c r="E5" s="677" t="s">
        <v>3126</v>
      </c>
      <c r="F5" s="677"/>
      <c r="G5" s="677"/>
      <c r="H5" s="677"/>
      <c r="I5" s="677"/>
      <c r="J5" s="677"/>
      <c r="K5" s="678"/>
      <c r="L5" s="677"/>
      <c r="M5" s="679"/>
      <c r="N5" s="679"/>
    </row>
    <row r="6" spans="1:14" x14ac:dyDescent="0.25">
      <c r="A6" s="676" t="s">
        <v>1048</v>
      </c>
      <c r="B6" s="677" t="s">
        <v>3140</v>
      </c>
      <c r="C6" s="677"/>
      <c r="D6" s="847">
        <v>716.2</v>
      </c>
      <c r="E6" s="677" t="s">
        <v>3132</v>
      </c>
      <c r="F6" s="677"/>
      <c r="G6" s="677"/>
      <c r="H6" s="677"/>
      <c r="I6" s="677"/>
      <c r="J6" s="677"/>
      <c r="K6" s="678"/>
      <c r="L6" s="677"/>
      <c r="M6" s="679"/>
      <c r="N6" s="679"/>
    </row>
    <row r="7" spans="1:14" x14ac:dyDescent="0.25">
      <c r="B7" s="677"/>
      <c r="C7" s="677"/>
      <c r="E7" s="677"/>
      <c r="F7" s="677"/>
      <c r="G7" s="677"/>
      <c r="H7" s="677"/>
      <c r="I7" s="677"/>
      <c r="J7" s="677"/>
      <c r="K7" s="678"/>
      <c r="L7" s="677"/>
      <c r="M7" s="679"/>
      <c r="N7" s="679"/>
    </row>
    <row r="8" spans="1:14" x14ac:dyDescent="0.25">
      <c r="A8" s="843" t="s">
        <v>3096</v>
      </c>
      <c r="B8" s="844"/>
      <c r="C8" s="844"/>
      <c r="D8" s="849"/>
      <c r="E8" s="844"/>
      <c r="F8" s="677"/>
      <c r="G8" s="677"/>
      <c r="H8" s="677"/>
      <c r="I8" s="677"/>
      <c r="J8" s="677"/>
      <c r="K8" s="678"/>
      <c r="L8" s="677"/>
      <c r="M8" s="679"/>
      <c r="N8" s="679"/>
    </row>
    <row r="9" spans="1:14" x14ac:dyDescent="0.25">
      <c r="A9" s="845"/>
      <c r="B9" s="845" t="s">
        <v>3138</v>
      </c>
      <c r="C9" s="845"/>
      <c r="D9" s="849"/>
      <c r="E9" s="845" t="s">
        <v>3131</v>
      </c>
      <c r="K9" s="685"/>
    </row>
    <row r="10" spans="1:14" x14ac:dyDescent="0.25">
      <c r="A10" s="845"/>
      <c r="B10" s="845" t="s">
        <v>3123</v>
      </c>
      <c r="C10" s="845"/>
      <c r="D10" s="849">
        <v>60.73</v>
      </c>
      <c r="E10" s="845" t="s">
        <v>3130</v>
      </c>
    </row>
    <row r="11" spans="1:14" x14ac:dyDescent="0.25">
      <c r="A11" s="845"/>
      <c r="B11" s="845" t="s">
        <v>3139</v>
      </c>
      <c r="C11" s="845"/>
      <c r="D11" s="849"/>
      <c r="E11" s="845" t="s">
        <v>3133</v>
      </c>
    </row>
    <row r="13" spans="1:14" x14ac:dyDescent="0.25">
      <c r="B13" s="681"/>
      <c r="C13" s="681"/>
      <c r="E13" s="686"/>
      <c r="F13" s="680"/>
      <c r="G13" s="680"/>
      <c r="H13" s="682"/>
      <c r="I13" s="683"/>
      <c r="J13" s="681"/>
    </row>
    <row r="14" spans="1:14" x14ac:dyDescent="0.25">
      <c r="B14" s="681"/>
      <c r="C14" s="681"/>
      <c r="E14" s="686"/>
      <c r="F14" s="680"/>
      <c r="G14" s="680"/>
      <c r="H14" s="682"/>
      <c r="I14" s="683"/>
      <c r="J14" s="681"/>
    </row>
    <row r="15" spans="1:14" x14ac:dyDescent="0.25">
      <c r="B15" s="681" t="s">
        <v>3099</v>
      </c>
      <c r="C15" s="681"/>
      <c r="E15" s="686"/>
      <c r="F15" s="680"/>
      <c r="G15" s="680"/>
      <c r="H15" s="682"/>
      <c r="I15" s="683"/>
      <c r="J15" s="681"/>
    </row>
    <row r="16" spans="1:14" x14ac:dyDescent="0.25">
      <c r="B16" s="681" t="s">
        <v>3100</v>
      </c>
      <c r="C16" s="681"/>
      <c r="E16" s="686"/>
      <c r="F16" s="680"/>
      <c r="G16" s="680"/>
      <c r="H16" s="682"/>
      <c r="I16" s="683"/>
      <c r="J16" s="681"/>
    </row>
    <row r="17" spans="1:10" x14ac:dyDescent="0.25">
      <c r="B17" s="681"/>
      <c r="C17" s="681"/>
      <c r="E17" s="686"/>
      <c r="F17" s="680"/>
      <c r="G17" s="680"/>
      <c r="H17" s="682"/>
      <c r="I17" s="683"/>
      <c r="J17" s="681"/>
    </row>
    <row r="18" spans="1:10" x14ac:dyDescent="0.25">
      <c r="B18" s="681"/>
      <c r="C18" s="681"/>
      <c r="E18" s="686"/>
      <c r="F18" s="680"/>
      <c r="G18" s="680"/>
      <c r="H18" s="682"/>
      <c r="I18" s="683"/>
      <c r="J18" s="681"/>
    </row>
    <row r="19" spans="1:10" x14ac:dyDescent="0.25">
      <c r="A19" s="853" t="s">
        <v>3125</v>
      </c>
      <c r="B19" s="681"/>
      <c r="C19" s="681"/>
      <c r="E19" s="686"/>
      <c r="F19" s="680"/>
      <c r="G19" s="680"/>
      <c r="H19" s="682"/>
      <c r="I19" s="683"/>
      <c r="J19" s="681"/>
    </row>
    <row r="20" spans="1:10" x14ac:dyDescent="0.25">
      <c r="A20" s="676" t="s">
        <v>3109</v>
      </c>
      <c r="B20" s="681" t="s">
        <v>3165</v>
      </c>
      <c r="C20" s="681"/>
      <c r="E20" s="686"/>
      <c r="F20" s="680"/>
      <c r="G20" s="680"/>
      <c r="H20" s="682"/>
      <c r="I20" s="683"/>
      <c r="J20" s="681"/>
    </row>
    <row r="21" spans="1:10" x14ac:dyDescent="0.25">
      <c r="B21" s="681" t="s">
        <v>3102</v>
      </c>
      <c r="C21" s="681"/>
      <c r="D21" s="847">
        <v>0</v>
      </c>
      <c r="E21" s="854" t="s">
        <v>3105</v>
      </c>
      <c r="F21" s="680"/>
      <c r="G21" s="680"/>
      <c r="H21" s="682"/>
      <c r="I21" s="683"/>
      <c r="J21" s="681"/>
    </row>
    <row r="22" spans="1:10" x14ac:dyDescent="0.25">
      <c r="B22" s="681" t="s">
        <v>3103</v>
      </c>
      <c r="C22" s="681"/>
      <c r="D22" s="847">
        <v>0</v>
      </c>
      <c r="E22" s="854" t="s">
        <v>3106</v>
      </c>
      <c r="F22" s="680"/>
      <c r="G22" s="680"/>
      <c r="H22" s="682"/>
      <c r="I22" s="683"/>
      <c r="J22" s="681"/>
    </row>
    <row r="23" spans="1:10" x14ac:dyDescent="0.25">
      <c r="B23" s="681" t="s">
        <v>3104</v>
      </c>
      <c r="C23" s="681"/>
      <c r="D23" s="847">
        <v>0</v>
      </c>
      <c r="E23" s="854" t="s">
        <v>3134</v>
      </c>
      <c r="F23" s="680" t="s">
        <v>3135</v>
      </c>
      <c r="G23" s="680"/>
      <c r="H23" s="682"/>
      <c r="I23" s="683"/>
      <c r="J23" s="681"/>
    </row>
    <row r="24" spans="1:10" x14ac:dyDescent="0.25">
      <c r="A24" s="676" t="s">
        <v>3110</v>
      </c>
      <c r="B24" s="681" t="s">
        <v>3166</v>
      </c>
      <c r="C24" s="681"/>
      <c r="E24" s="854"/>
      <c r="F24" s="680"/>
      <c r="G24" s="680"/>
      <c r="H24" s="682"/>
      <c r="I24" s="683"/>
      <c r="J24" s="681"/>
    </row>
    <row r="25" spans="1:10" x14ac:dyDescent="0.25">
      <c r="B25" s="681" t="s">
        <v>3107</v>
      </c>
      <c r="C25" s="681"/>
      <c r="D25" s="847">
        <v>0</v>
      </c>
      <c r="E25" s="854" t="s">
        <v>3111</v>
      </c>
      <c r="F25" s="680"/>
      <c r="G25" s="855"/>
      <c r="H25" s="682"/>
      <c r="I25" s="683"/>
      <c r="J25" s="681"/>
    </row>
    <row r="26" spans="1:10" x14ac:dyDescent="0.25">
      <c r="B26" s="681" t="s">
        <v>3108</v>
      </c>
      <c r="C26" s="681"/>
      <c r="D26" s="847">
        <v>0</v>
      </c>
      <c r="E26" s="854" t="s">
        <v>3112</v>
      </c>
      <c r="F26" s="680"/>
      <c r="G26" s="680"/>
      <c r="H26" s="682"/>
      <c r="I26" s="683"/>
      <c r="J26" s="681"/>
    </row>
    <row r="27" spans="1:10" x14ac:dyDescent="0.25">
      <c r="B27" s="681" t="s">
        <v>3104</v>
      </c>
      <c r="C27" s="681"/>
      <c r="D27" s="847">
        <v>0</v>
      </c>
      <c r="E27" s="854" t="s">
        <v>3113</v>
      </c>
      <c r="F27" s="680"/>
      <c r="G27" s="680"/>
      <c r="H27" s="682"/>
      <c r="I27" s="683"/>
      <c r="J27" s="681"/>
    </row>
    <row r="28" spans="1:10" x14ac:dyDescent="0.25">
      <c r="A28" s="676" t="s">
        <v>3115</v>
      </c>
      <c r="B28" s="681" t="s">
        <v>3167</v>
      </c>
      <c r="C28" s="681"/>
      <c r="E28" s="854"/>
      <c r="F28" s="680"/>
      <c r="G28" s="680"/>
      <c r="H28" s="682"/>
      <c r="I28" s="683"/>
      <c r="J28" s="681"/>
    </row>
    <row r="29" spans="1:10" x14ac:dyDescent="0.25">
      <c r="B29" s="681" t="s">
        <v>3116</v>
      </c>
      <c r="C29" s="681"/>
      <c r="D29" s="847">
        <f>telefony!B14+telefony!C14</f>
        <v>401.84</v>
      </c>
      <c r="E29" s="854" t="s">
        <v>3119</v>
      </c>
      <c r="F29" s="680"/>
      <c r="G29" s="680"/>
      <c r="H29" s="682"/>
      <c r="I29" s="683"/>
      <c r="J29" s="681"/>
    </row>
    <row r="30" spans="1:10" x14ac:dyDescent="0.25">
      <c r="B30" s="681" t="s">
        <v>3117</v>
      </c>
      <c r="C30" s="681"/>
      <c r="D30" s="847">
        <f>telefony!D14</f>
        <v>20</v>
      </c>
      <c r="E30" s="854" t="s">
        <v>3120</v>
      </c>
      <c r="F30" s="680"/>
      <c r="G30" s="680"/>
      <c r="H30" s="682"/>
      <c r="I30" s="683"/>
      <c r="J30" s="681"/>
    </row>
    <row r="31" spans="1:10" x14ac:dyDescent="0.25">
      <c r="B31" s="681" t="s">
        <v>3118</v>
      </c>
      <c r="C31" s="681"/>
      <c r="D31" s="847">
        <f>telefony!E14</f>
        <v>6.75</v>
      </c>
      <c r="E31" s="854" t="s">
        <v>3168</v>
      </c>
      <c r="F31" s="680"/>
      <c r="G31" s="680"/>
      <c r="H31" s="682"/>
      <c r="I31" s="683"/>
      <c r="J31" s="681"/>
    </row>
    <row r="32" spans="1:10" x14ac:dyDescent="0.25">
      <c r="B32" s="681" t="s">
        <v>3169</v>
      </c>
      <c r="C32" s="681"/>
      <c r="D32" s="847">
        <f>telefony!F14</f>
        <v>69.160000000000011</v>
      </c>
      <c r="E32" s="854" t="s">
        <v>3112</v>
      </c>
      <c r="F32" s="680"/>
      <c r="G32" s="680"/>
      <c r="H32" s="682"/>
      <c r="I32" s="683"/>
      <c r="J32" s="681"/>
    </row>
    <row r="33" spans="1:10" x14ac:dyDescent="0.25">
      <c r="B33" s="681" t="s">
        <v>3142</v>
      </c>
      <c r="C33" s="681"/>
      <c r="D33" s="847">
        <v>497.75</v>
      </c>
      <c r="E33" s="854" t="s">
        <v>3141</v>
      </c>
      <c r="F33" s="680"/>
      <c r="G33" s="680"/>
      <c r="H33" s="682"/>
      <c r="I33" s="683"/>
      <c r="J33" s="681"/>
    </row>
    <row r="34" spans="1:10" x14ac:dyDescent="0.25">
      <c r="B34" s="681"/>
      <c r="C34" s="681"/>
      <c r="E34" s="686"/>
      <c r="F34" s="680"/>
      <c r="G34" s="680"/>
      <c r="H34" s="682"/>
      <c r="I34" s="683"/>
      <c r="J34" s="681"/>
    </row>
    <row r="35" spans="1:10" x14ac:dyDescent="0.25">
      <c r="B35" s="681"/>
      <c r="C35" s="681"/>
      <c r="E35" s="686"/>
      <c r="F35" s="680"/>
      <c r="G35" s="680"/>
      <c r="H35" s="682"/>
      <c r="I35" s="683"/>
      <c r="J35" s="681"/>
    </row>
    <row r="36" spans="1:10" x14ac:dyDescent="0.25">
      <c r="B36" s="681"/>
      <c r="C36" s="681"/>
      <c r="E36" s="686"/>
      <c r="F36" s="680"/>
      <c r="G36" s="680"/>
      <c r="H36" s="682"/>
      <c r="I36" s="683"/>
      <c r="J36" s="681"/>
    </row>
    <row r="37" spans="1:10" x14ac:dyDescent="0.25">
      <c r="A37" s="676" t="s">
        <v>3144</v>
      </c>
      <c r="B37" s="681"/>
      <c r="C37" s="681"/>
      <c r="E37" s="686"/>
      <c r="F37" s="680"/>
      <c r="G37" s="680"/>
      <c r="H37" s="682"/>
      <c r="I37" s="683"/>
      <c r="J37" s="681"/>
    </row>
    <row r="38" spans="1:10" x14ac:dyDescent="0.25">
      <c r="B38" s="681" t="s">
        <v>3146</v>
      </c>
      <c r="C38" s="681"/>
      <c r="E38" s="686"/>
      <c r="F38" s="680"/>
      <c r="G38" s="680"/>
      <c r="H38" s="682"/>
      <c r="I38" s="683"/>
      <c r="J38" s="681"/>
    </row>
    <row r="39" spans="1:10" x14ac:dyDescent="0.25">
      <c r="B39" s="681" t="s">
        <v>3147</v>
      </c>
      <c r="C39" s="681"/>
      <c r="E39" s="686"/>
      <c r="F39" s="680"/>
      <c r="G39" s="680"/>
      <c r="H39" s="682"/>
      <c r="I39" s="683"/>
      <c r="J39" s="681"/>
    </row>
    <row r="40" spans="1:10" x14ac:dyDescent="0.25">
      <c r="B40" s="681" t="s">
        <v>3148</v>
      </c>
      <c r="C40" s="681"/>
      <c r="E40" s="686"/>
      <c r="F40" s="680"/>
      <c r="G40" s="680"/>
      <c r="H40" s="682"/>
      <c r="I40" s="683"/>
      <c r="J40" s="681"/>
    </row>
    <row r="41" spans="1:10" x14ac:dyDescent="0.25">
      <c r="B41" s="681"/>
      <c r="C41" s="681"/>
      <c r="E41" s="686"/>
      <c r="F41" s="680"/>
      <c r="G41" s="680"/>
      <c r="H41" s="682"/>
      <c r="I41" s="683"/>
      <c r="J41" s="681"/>
    </row>
    <row r="42" spans="1:10" x14ac:dyDescent="0.25">
      <c r="B42" s="681"/>
      <c r="C42" s="681"/>
      <c r="E42" s="686"/>
      <c r="F42" s="680"/>
      <c r="G42" s="680"/>
      <c r="H42" s="682"/>
      <c r="I42" s="683"/>
      <c r="J42" s="681"/>
    </row>
    <row r="43" spans="1:10" x14ac:dyDescent="0.25">
      <c r="B43" s="681"/>
      <c r="C43" s="681"/>
      <c r="E43" s="686"/>
      <c r="F43" s="680"/>
      <c r="G43" s="680"/>
      <c r="H43" s="682"/>
      <c r="I43" s="683"/>
      <c r="J43" s="681"/>
    </row>
    <row r="44" spans="1:10" x14ac:dyDescent="0.25">
      <c r="B44" s="681"/>
      <c r="C44" s="681"/>
      <c r="E44" s="686"/>
      <c r="F44" s="680"/>
      <c r="G44" s="680"/>
      <c r="H44" s="682"/>
      <c r="I44" s="683"/>
      <c r="J44" s="681"/>
    </row>
    <row r="45" spans="1:10" x14ac:dyDescent="0.25">
      <c r="B45" s="681"/>
      <c r="C45" s="681"/>
      <c r="E45" s="686"/>
      <c r="F45" s="680"/>
      <c r="G45" s="680"/>
      <c r="H45" s="682"/>
      <c r="I45" s="683"/>
      <c r="J45" s="681"/>
    </row>
    <row r="46" spans="1:10" x14ac:dyDescent="0.25">
      <c r="B46" s="681"/>
      <c r="C46" s="681"/>
      <c r="E46" s="686"/>
      <c r="F46" s="680"/>
      <c r="G46" s="680"/>
      <c r="H46" s="682"/>
      <c r="I46" s="683"/>
      <c r="J46" s="681"/>
    </row>
    <row r="47" spans="1:10" x14ac:dyDescent="0.25">
      <c r="B47" s="681"/>
      <c r="C47" s="681"/>
      <c r="E47" s="686"/>
      <c r="F47" s="680"/>
      <c r="G47" s="680"/>
      <c r="H47" s="682"/>
      <c r="I47" s="683"/>
      <c r="J47" s="681"/>
    </row>
    <row r="48" spans="1:10" x14ac:dyDescent="0.25">
      <c r="B48" s="681"/>
      <c r="C48" s="681"/>
      <c r="E48" s="686"/>
      <c r="F48" s="680"/>
      <c r="G48" s="680"/>
      <c r="H48" s="682"/>
      <c r="I48" s="683"/>
      <c r="J48" s="681"/>
    </row>
    <row r="49" spans="2:10" x14ac:dyDescent="0.25">
      <c r="B49" s="681"/>
      <c r="C49" s="681"/>
      <c r="E49" s="686"/>
      <c r="F49" s="680"/>
      <c r="G49" s="680"/>
      <c r="H49" s="682"/>
      <c r="I49" s="683"/>
      <c r="J49" s="681"/>
    </row>
    <row r="50" spans="2:10" x14ac:dyDescent="0.25">
      <c r="B50" s="681"/>
      <c r="C50" s="681"/>
      <c r="E50" s="686"/>
      <c r="F50" s="680"/>
      <c r="G50" s="680"/>
      <c r="H50" s="682"/>
      <c r="I50" s="683"/>
      <c r="J50" s="681"/>
    </row>
    <row r="51" spans="2:10" x14ac:dyDescent="0.25">
      <c r="B51" s="681"/>
      <c r="C51" s="681"/>
      <c r="E51" s="686"/>
      <c r="F51" s="680"/>
      <c r="G51" s="680"/>
      <c r="H51" s="682"/>
      <c r="I51" s="683"/>
      <c r="J51" s="681"/>
    </row>
    <row r="52" spans="2:10" x14ac:dyDescent="0.25">
      <c r="B52" s="681"/>
      <c r="C52" s="681"/>
      <c r="E52" s="686"/>
      <c r="F52" s="680"/>
      <c r="G52" s="680"/>
      <c r="H52" s="682"/>
      <c r="I52" s="683"/>
      <c r="J52" s="681"/>
    </row>
    <row r="53" spans="2:10" x14ac:dyDescent="0.25">
      <c r="B53" s="681"/>
      <c r="C53" s="681"/>
      <c r="E53" s="686"/>
      <c r="F53" s="680"/>
      <c r="G53" s="680"/>
      <c r="H53" s="682"/>
      <c r="I53" s="683"/>
      <c r="J53" s="681"/>
    </row>
    <row r="54" spans="2:10" x14ac:dyDescent="0.25">
      <c r="B54" s="681"/>
      <c r="C54" s="681"/>
      <c r="E54" s="686"/>
      <c r="F54" s="680"/>
      <c r="G54" s="680"/>
      <c r="H54" s="682"/>
      <c r="I54" s="683"/>
      <c r="J54" s="681"/>
    </row>
    <row r="55" spans="2:10" x14ac:dyDescent="0.25">
      <c r="B55" s="681"/>
      <c r="C55" s="681"/>
      <c r="E55" s="686"/>
      <c r="F55" s="680"/>
      <c r="G55" s="680"/>
      <c r="H55" s="682"/>
      <c r="I55" s="683"/>
      <c r="J55" s="681"/>
    </row>
    <row r="56" spans="2:10" x14ac:dyDescent="0.25">
      <c r="B56" s="681"/>
      <c r="C56" s="681"/>
      <c r="E56" s="686"/>
      <c r="F56" s="680"/>
      <c r="G56" s="680"/>
      <c r="H56" s="682"/>
      <c r="I56" s="683"/>
      <c r="J56" s="681"/>
    </row>
    <row r="57" spans="2:10" x14ac:dyDescent="0.25">
      <c r="B57" s="681"/>
      <c r="C57" s="681"/>
      <c r="E57" s="686"/>
      <c r="F57" s="680"/>
      <c r="G57" s="680"/>
      <c r="H57" s="682"/>
      <c r="I57" s="683"/>
      <c r="J57" s="681"/>
    </row>
    <row r="58" spans="2:10" x14ac:dyDescent="0.25">
      <c r="B58" s="681"/>
      <c r="C58" s="681"/>
      <c r="E58" s="686"/>
      <c r="F58" s="680"/>
      <c r="G58" s="680"/>
      <c r="H58" s="682"/>
      <c r="I58" s="683"/>
      <c r="J58" s="681"/>
    </row>
    <row r="59" spans="2:10" x14ac:dyDescent="0.25">
      <c r="B59" s="681"/>
      <c r="C59" s="681"/>
      <c r="E59" s="686"/>
      <c r="F59" s="680"/>
      <c r="G59" s="680"/>
      <c r="H59" s="682"/>
      <c r="I59" s="683"/>
      <c r="J59" s="681"/>
    </row>
    <row r="60" spans="2:10" x14ac:dyDescent="0.25">
      <c r="B60" s="681"/>
      <c r="C60" s="681"/>
      <c r="E60" s="686"/>
      <c r="F60" s="680"/>
      <c r="G60" s="680"/>
      <c r="H60" s="682"/>
      <c r="I60" s="683"/>
      <c r="J60" s="681"/>
    </row>
    <row r="61" spans="2:10" x14ac:dyDescent="0.25">
      <c r="B61" s="681"/>
      <c r="C61" s="681"/>
      <c r="E61" s="686"/>
      <c r="F61" s="680"/>
      <c r="G61" s="680"/>
      <c r="H61" s="682"/>
      <c r="I61" s="683"/>
      <c r="J61" s="681"/>
    </row>
    <row r="62" spans="2:10" x14ac:dyDescent="0.25">
      <c r="B62" s="681"/>
      <c r="C62" s="681"/>
      <c r="E62" s="686"/>
      <c r="F62" s="680"/>
      <c r="G62" s="680"/>
      <c r="H62" s="682"/>
      <c r="I62" s="683"/>
      <c r="J62" s="681"/>
    </row>
    <row r="63" spans="2:10" x14ac:dyDescent="0.25">
      <c r="B63" s="681"/>
      <c r="C63" s="681"/>
      <c r="E63" s="686"/>
      <c r="F63" s="680"/>
      <c r="G63" s="680"/>
      <c r="H63" s="682"/>
      <c r="I63" s="683"/>
      <c r="J63" s="681"/>
    </row>
    <row r="64" spans="2:10" x14ac:dyDescent="0.25">
      <c r="B64" s="681"/>
      <c r="C64" s="681"/>
      <c r="E64" s="686"/>
      <c r="F64" s="680"/>
      <c r="G64" s="680"/>
      <c r="H64" s="682"/>
      <c r="I64" s="683"/>
      <c r="J64" s="681"/>
    </row>
    <row r="65" spans="2:11" x14ac:dyDescent="0.25">
      <c r="B65" s="681"/>
      <c r="C65" s="681"/>
      <c r="E65" s="686"/>
      <c r="F65" s="680"/>
      <c r="G65" s="680"/>
      <c r="H65" s="682"/>
      <c r="I65" s="683"/>
      <c r="J65" s="681"/>
    </row>
    <row r="66" spans="2:11" x14ac:dyDescent="0.25">
      <c r="B66" s="681"/>
      <c r="C66" s="681"/>
      <c r="E66" s="686"/>
      <c r="F66" s="680"/>
      <c r="G66" s="680"/>
      <c r="H66" s="682"/>
      <c r="I66" s="683"/>
      <c r="J66" s="681"/>
    </row>
    <row r="67" spans="2:11" x14ac:dyDescent="0.25">
      <c r="B67" s="681"/>
      <c r="C67" s="681"/>
      <c r="E67" s="686"/>
      <c r="F67" s="680"/>
      <c r="G67" s="680"/>
      <c r="H67" s="682"/>
      <c r="I67" s="683"/>
      <c r="J67" s="681"/>
    </row>
    <row r="68" spans="2:11" x14ac:dyDescent="0.25">
      <c r="B68" s="681"/>
      <c r="C68" s="681"/>
      <c r="E68" s="686"/>
      <c r="F68" s="680"/>
      <c r="G68" s="680"/>
      <c r="H68" s="682"/>
      <c r="I68" s="683"/>
      <c r="J68" s="681"/>
      <c r="K68" s="687"/>
    </row>
    <row r="69" spans="2:11" x14ac:dyDescent="0.25">
      <c r="B69" s="681"/>
      <c r="C69" s="681"/>
      <c r="E69" s="686"/>
      <c r="F69" s="680"/>
      <c r="G69" s="680"/>
      <c r="H69" s="682"/>
      <c r="I69" s="683"/>
      <c r="J69" s="681"/>
      <c r="K69" s="687"/>
    </row>
    <row r="70" spans="2:11" x14ac:dyDescent="0.25">
      <c r="B70" s="681"/>
      <c r="C70" s="681"/>
      <c r="E70" s="686"/>
      <c r="F70" s="680"/>
      <c r="G70" s="680"/>
      <c r="H70" s="682"/>
      <c r="I70" s="683"/>
      <c r="J70" s="681"/>
      <c r="K70" s="687"/>
    </row>
    <row r="71" spans="2:11" x14ac:dyDescent="0.25">
      <c r="B71" s="681"/>
      <c r="C71" s="681"/>
      <c r="E71" s="686"/>
      <c r="F71" s="680"/>
      <c r="G71" s="680"/>
      <c r="H71" s="682"/>
      <c r="I71" s="683"/>
      <c r="J71" s="681"/>
      <c r="K71" s="687"/>
    </row>
    <row r="72" spans="2:11" x14ac:dyDescent="0.25">
      <c r="B72" s="681"/>
      <c r="C72" s="681"/>
      <c r="E72" s="686"/>
      <c r="F72" s="680"/>
      <c r="G72" s="680"/>
      <c r="H72" s="682"/>
      <c r="I72" s="683"/>
      <c r="J72" s="681"/>
      <c r="K72" s="687"/>
    </row>
    <row r="73" spans="2:11" x14ac:dyDescent="0.25">
      <c r="B73" s="681"/>
      <c r="C73" s="681"/>
      <c r="E73" s="686"/>
      <c r="F73" s="680"/>
      <c r="G73" s="680"/>
      <c r="H73" s="682"/>
      <c r="I73" s="683"/>
      <c r="J73" s="681"/>
      <c r="K73" s="687"/>
    </row>
    <row r="74" spans="2:11" x14ac:dyDescent="0.25">
      <c r="B74" s="681"/>
      <c r="C74" s="681"/>
      <c r="E74" s="686"/>
      <c r="F74" s="680"/>
      <c r="G74" s="680"/>
      <c r="H74" s="682"/>
      <c r="I74" s="683"/>
      <c r="J74" s="681"/>
      <c r="K74" s="687"/>
    </row>
    <row r="75" spans="2:11" x14ac:dyDescent="0.25">
      <c r="B75" s="681"/>
      <c r="C75" s="681"/>
      <c r="E75" s="686"/>
      <c r="F75" s="680"/>
      <c r="G75" s="680"/>
      <c r="H75" s="682"/>
      <c r="I75" s="683"/>
      <c r="J75" s="681"/>
      <c r="K75" s="687"/>
    </row>
    <row r="76" spans="2:11" x14ac:dyDescent="0.25">
      <c r="B76" s="681"/>
      <c r="C76" s="681"/>
      <c r="E76" s="686"/>
      <c r="F76" s="680"/>
      <c r="G76" s="680"/>
      <c r="H76" s="682"/>
      <c r="I76" s="683"/>
      <c r="J76" s="681"/>
      <c r="K76" s="687"/>
    </row>
    <row r="77" spans="2:11" x14ac:dyDescent="0.25">
      <c r="B77" s="681"/>
      <c r="C77" s="681"/>
      <c r="E77" s="686"/>
      <c r="F77" s="680"/>
      <c r="G77" s="680"/>
      <c r="H77" s="682"/>
      <c r="I77" s="683"/>
      <c r="J77" s="681"/>
      <c r="K77" s="687"/>
    </row>
    <row r="78" spans="2:11" x14ac:dyDescent="0.25">
      <c r="B78" s="681"/>
      <c r="C78" s="681"/>
      <c r="E78" s="686"/>
      <c r="F78" s="680"/>
      <c r="G78" s="680"/>
      <c r="H78" s="682"/>
      <c r="I78" s="683"/>
      <c r="J78" s="681"/>
      <c r="K78" s="687"/>
    </row>
    <row r="79" spans="2:11" x14ac:dyDescent="0.25">
      <c r="B79" s="681"/>
      <c r="C79" s="681"/>
      <c r="E79" s="686"/>
      <c r="F79" s="680"/>
      <c r="G79" s="680"/>
      <c r="H79" s="682"/>
      <c r="I79" s="683"/>
      <c r="J79" s="681"/>
      <c r="K79" s="687"/>
    </row>
    <row r="80" spans="2:11" x14ac:dyDescent="0.25">
      <c r="B80" s="681"/>
      <c r="C80" s="681"/>
      <c r="E80" s="686"/>
      <c r="F80" s="680"/>
      <c r="G80" s="680"/>
      <c r="H80" s="682"/>
      <c r="I80" s="683"/>
      <c r="J80" s="681"/>
      <c r="K80" s="687"/>
    </row>
    <row r="81" spans="2:11" x14ac:dyDescent="0.25">
      <c r="B81" s="681"/>
      <c r="C81" s="681"/>
      <c r="E81" s="686"/>
      <c r="F81" s="680"/>
      <c r="G81" s="680"/>
      <c r="H81" s="682"/>
      <c r="I81" s="683"/>
      <c r="J81" s="681"/>
      <c r="K81" s="687"/>
    </row>
    <row r="82" spans="2:11" x14ac:dyDescent="0.25">
      <c r="B82" s="681"/>
      <c r="C82" s="681"/>
      <c r="E82" s="686"/>
      <c r="F82" s="680"/>
      <c r="G82" s="680"/>
      <c r="H82" s="682"/>
      <c r="I82" s="683"/>
      <c r="J82" s="681"/>
      <c r="K82" s="687"/>
    </row>
    <row r="83" spans="2:11" x14ac:dyDescent="0.25">
      <c r="B83" s="681"/>
      <c r="C83" s="681"/>
      <c r="E83" s="686"/>
      <c r="F83" s="680"/>
      <c r="G83" s="680"/>
      <c r="H83" s="682"/>
      <c r="I83" s="683"/>
      <c r="J83" s="681"/>
      <c r="K83" s="687"/>
    </row>
    <row r="84" spans="2:11" x14ac:dyDescent="0.25">
      <c r="B84" s="681"/>
      <c r="C84" s="681"/>
      <c r="E84" s="686"/>
      <c r="F84" s="680"/>
      <c r="G84" s="680"/>
      <c r="H84" s="682"/>
      <c r="I84" s="683"/>
      <c r="J84" s="681"/>
      <c r="K84" s="687"/>
    </row>
    <row r="85" spans="2:11" x14ac:dyDescent="0.25">
      <c r="B85" s="681"/>
      <c r="C85" s="681"/>
      <c r="E85" s="686"/>
      <c r="F85" s="680"/>
      <c r="G85" s="680"/>
      <c r="H85" s="682"/>
      <c r="I85" s="683"/>
      <c r="J85" s="681"/>
      <c r="K85" s="687"/>
    </row>
    <row r="86" spans="2:11" x14ac:dyDescent="0.25">
      <c r="B86" s="681"/>
      <c r="C86" s="681"/>
      <c r="E86" s="686"/>
      <c r="F86" s="680"/>
      <c r="G86" s="680"/>
      <c r="H86" s="682"/>
      <c r="I86" s="683"/>
      <c r="J86" s="681"/>
      <c r="K86" s="687"/>
    </row>
    <row r="87" spans="2:11" x14ac:dyDescent="0.25">
      <c r="B87" s="681"/>
      <c r="C87" s="681"/>
      <c r="E87" s="686"/>
      <c r="F87" s="680"/>
      <c r="G87" s="680"/>
      <c r="H87" s="682"/>
      <c r="I87" s="683"/>
      <c r="J87" s="681"/>
      <c r="K87" s="687"/>
    </row>
    <row r="88" spans="2:11" x14ac:dyDescent="0.25">
      <c r="B88" s="681"/>
      <c r="C88" s="681"/>
      <c r="E88" s="686"/>
      <c r="F88" s="680"/>
      <c r="G88" s="680"/>
      <c r="H88" s="682"/>
      <c r="I88" s="683"/>
      <c r="J88" s="681"/>
      <c r="K88" s="687"/>
    </row>
    <row r="89" spans="2:11" x14ac:dyDescent="0.25">
      <c r="B89" s="681"/>
      <c r="C89" s="681"/>
      <c r="E89" s="686"/>
      <c r="F89" s="680"/>
      <c r="G89" s="680"/>
      <c r="H89" s="682"/>
      <c r="I89" s="683"/>
      <c r="J89" s="681"/>
      <c r="K89" s="687"/>
    </row>
    <row r="90" spans="2:11" x14ac:dyDescent="0.25">
      <c r="B90" s="681"/>
      <c r="C90" s="681"/>
      <c r="E90" s="686"/>
      <c r="F90" s="680"/>
      <c r="G90" s="680"/>
      <c r="H90" s="682"/>
      <c r="I90" s="683"/>
      <c r="J90" s="681"/>
      <c r="K90" s="687"/>
    </row>
    <row r="91" spans="2:11" x14ac:dyDescent="0.25">
      <c r="B91" s="681"/>
      <c r="C91" s="681"/>
      <c r="E91" s="686"/>
      <c r="F91" s="680"/>
      <c r="G91" s="680"/>
      <c r="H91" s="682"/>
      <c r="I91" s="683"/>
      <c r="J91" s="681"/>
      <c r="K91" s="687"/>
    </row>
    <row r="92" spans="2:11" x14ac:dyDescent="0.25">
      <c r="B92" s="681"/>
      <c r="C92" s="681"/>
      <c r="E92" s="686"/>
      <c r="F92" s="680"/>
      <c r="G92" s="680"/>
      <c r="H92" s="682"/>
      <c r="I92" s="683"/>
      <c r="J92" s="681"/>
      <c r="K92" s="687"/>
    </row>
    <row r="93" spans="2:11" x14ac:dyDescent="0.25">
      <c r="B93" s="681"/>
      <c r="C93" s="681"/>
      <c r="E93" s="686"/>
      <c r="F93" s="680"/>
      <c r="G93" s="680"/>
      <c r="H93" s="682"/>
      <c r="I93" s="683"/>
      <c r="J93" s="681"/>
      <c r="K93" s="687"/>
    </row>
    <row r="94" spans="2:11" x14ac:dyDescent="0.25">
      <c r="B94" s="681"/>
      <c r="C94" s="681"/>
      <c r="E94" s="686"/>
      <c r="F94" s="680"/>
      <c r="G94" s="680"/>
      <c r="H94" s="682"/>
      <c r="I94" s="683"/>
      <c r="J94" s="681"/>
      <c r="K94" s="687"/>
    </row>
    <row r="95" spans="2:11" x14ac:dyDescent="0.25">
      <c r="B95" s="681"/>
      <c r="C95" s="681"/>
      <c r="E95" s="686"/>
      <c r="F95" s="680"/>
      <c r="G95" s="680"/>
      <c r="H95" s="682"/>
      <c r="I95" s="683"/>
      <c r="J95" s="681"/>
      <c r="K95" s="687"/>
    </row>
    <row r="96" spans="2:11" x14ac:dyDescent="0.25">
      <c r="B96" s="681"/>
      <c r="C96" s="681"/>
      <c r="E96" s="686"/>
      <c r="F96" s="680"/>
      <c r="G96" s="680"/>
      <c r="H96" s="682"/>
      <c r="I96" s="683"/>
      <c r="J96" s="681"/>
      <c r="K96" s="687"/>
    </row>
    <row r="97" spans="2:11" x14ac:dyDescent="0.25">
      <c r="B97" s="681"/>
      <c r="C97" s="681"/>
      <c r="E97" s="686"/>
      <c r="F97" s="680"/>
      <c r="G97" s="680"/>
      <c r="H97" s="682"/>
      <c r="I97" s="683"/>
      <c r="J97" s="681"/>
      <c r="K97" s="687"/>
    </row>
    <row r="98" spans="2:11" x14ac:dyDescent="0.25">
      <c r="B98" s="681"/>
      <c r="C98" s="681"/>
      <c r="E98" s="686"/>
      <c r="F98" s="680"/>
      <c r="G98" s="681"/>
      <c r="H98" s="682"/>
      <c r="I98" s="683"/>
      <c r="J98" s="681"/>
      <c r="K98" s="687"/>
    </row>
    <row r="99" spans="2:11" x14ac:dyDescent="0.25">
      <c r="B99" s="681"/>
      <c r="C99" s="681"/>
      <c r="E99" s="686"/>
      <c r="F99" s="680"/>
      <c r="G99" s="681"/>
      <c r="H99" s="682"/>
      <c r="I99" s="683"/>
      <c r="J99" s="681"/>
      <c r="K99" s="687"/>
    </row>
    <row r="100" spans="2:11" x14ac:dyDescent="0.25">
      <c r="B100" s="681"/>
      <c r="C100" s="681"/>
      <c r="E100" s="686"/>
      <c r="F100" s="680"/>
      <c r="G100" s="680"/>
      <c r="H100" s="682"/>
      <c r="I100" s="683"/>
      <c r="J100" s="681"/>
      <c r="K100" s="687"/>
    </row>
    <row r="101" spans="2:11" x14ac:dyDescent="0.25">
      <c r="B101" s="681"/>
      <c r="C101" s="681"/>
      <c r="E101" s="686"/>
      <c r="F101" s="680"/>
      <c r="G101" s="680"/>
      <c r="H101" s="682"/>
      <c r="I101" s="683"/>
      <c r="J101" s="681"/>
      <c r="K101" s="687"/>
    </row>
    <row r="102" spans="2:11" x14ac:dyDescent="0.25">
      <c r="B102" s="681"/>
      <c r="C102" s="681"/>
      <c r="E102" s="686"/>
      <c r="F102" s="680"/>
      <c r="G102" s="680"/>
      <c r="H102" s="682"/>
      <c r="I102" s="683"/>
      <c r="J102" s="681"/>
      <c r="K102" s="687"/>
    </row>
    <row r="103" spans="2:11" x14ac:dyDescent="0.25">
      <c r="B103" s="681"/>
      <c r="C103" s="681"/>
      <c r="E103" s="686"/>
      <c r="F103" s="680"/>
      <c r="G103" s="680"/>
      <c r="H103" s="682"/>
      <c r="I103" s="683"/>
      <c r="J103" s="681"/>
      <c r="K103" s="687"/>
    </row>
    <row r="104" spans="2:11" x14ac:dyDescent="0.25">
      <c r="B104" s="681"/>
      <c r="C104" s="681"/>
      <c r="E104" s="686"/>
      <c r="F104" s="680"/>
      <c r="G104" s="680"/>
      <c r="H104" s="682"/>
      <c r="I104" s="683"/>
      <c r="J104" s="681"/>
      <c r="K104" s="687"/>
    </row>
    <row r="105" spans="2:11" x14ac:dyDescent="0.25">
      <c r="B105" s="681"/>
      <c r="C105" s="681"/>
      <c r="E105" s="686"/>
      <c r="F105" s="680"/>
      <c r="G105" s="680"/>
      <c r="H105" s="682"/>
      <c r="I105" s="683"/>
      <c r="J105" s="681"/>
      <c r="K105" s="687"/>
    </row>
    <row r="106" spans="2:11" x14ac:dyDescent="0.25">
      <c r="B106" s="681"/>
      <c r="C106" s="681"/>
      <c r="E106" s="686"/>
      <c r="F106" s="680"/>
      <c r="G106" s="680"/>
      <c r="H106" s="682"/>
      <c r="I106" s="683"/>
      <c r="J106" s="681"/>
      <c r="K106" s="687"/>
    </row>
    <row r="107" spans="2:11" x14ac:dyDescent="0.25">
      <c r="B107" s="681"/>
      <c r="C107" s="681"/>
      <c r="E107" s="686"/>
      <c r="F107" s="680"/>
      <c r="G107" s="680"/>
      <c r="H107" s="682"/>
      <c r="I107" s="683"/>
      <c r="J107" s="681"/>
      <c r="K107" s="687"/>
    </row>
    <row r="108" spans="2:11" x14ac:dyDescent="0.25">
      <c r="B108" s="681"/>
      <c r="C108" s="681"/>
      <c r="E108" s="686"/>
      <c r="F108" s="680"/>
      <c r="G108" s="680"/>
      <c r="H108" s="682"/>
      <c r="I108" s="683"/>
      <c r="J108" s="681"/>
      <c r="K108" s="687"/>
    </row>
    <row r="109" spans="2:11" x14ac:dyDescent="0.25">
      <c r="B109" s="681"/>
      <c r="C109" s="681"/>
      <c r="E109" s="686"/>
      <c r="F109" s="680"/>
      <c r="G109" s="680"/>
      <c r="H109" s="682"/>
      <c r="I109" s="683"/>
      <c r="J109" s="681"/>
      <c r="K109" s="687"/>
    </row>
    <row r="110" spans="2:11" x14ac:dyDescent="0.25">
      <c r="B110" s="681"/>
      <c r="C110" s="681"/>
      <c r="E110" s="686"/>
      <c r="F110" s="680"/>
      <c r="G110" s="680"/>
      <c r="H110" s="682"/>
      <c r="I110" s="683"/>
      <c r="J110" s="681"/>
      <c r="K110" s="687"/>
    </row>
    <row r="111" spans="2:11" x14ac:dyDescent="0.25">
      <c r="B111" s="681"/>
      <c r="C111" s="681"/>
      <c r="E111" s="686"/>
      <c r="F111" s="680"/>
      <c r="G111" s="680"/>
      <c r="H111" s="682"/>
      <c r="I111" s="683"/>
      <c r="J111" s="681"/>
      <c r="K111" s="687"/>
    </row>
    <row r="112" spans="2:11" x14ac:dyDescent="0.25">
      <c r="B112" s="681"/>
      <c r="C112" s="681"/>
      <c r="E112" s="686"/>
      <c r="F112" s="680"/>
      <c r="G112" s="680"/>
      <c r="H112" s="682"/>
      <c r="I112" s="683"/>
      <c r="J112" s="681"/>
      <c r="K112" s="687"/>
    </row>
    <row r="113" spans="2:11" x14ac:dyDescent="0.25">
      <c r="B113" s="681"/>
      <c r="C113" s="681"/>
      <c r="E113" s="686"/>
      <c r="F113" s="680"/>
      <c r="G113" s="680"/>
      <c r="H113" s="682"/>
      <c r="I113" s="683"/>
      <c r="J113" s="681"/>
      <c r="K113" s="687"/>
    </row>
    <row r="114" spans="2:11" x14ac:dyDescent="0.25">
      <c r="B114" s="681"/>
      <c r="C114" s="681"/>
      <c r="E114" s="686"/>
      <c r="F114" s="680"/>
      <c r="G114" s="680"/>
      <c r="H114" s="682"/>
      <c r="I114" s="683"/>
      <c r="J114" s="681"/>
      <c r="K114" s="687"/>
    </row>
    <row r="115" spans="2:11" x14ac:dyDescent="0.25">
      <c r="B115" s="681"/>
      <c r="C115" s="681"/>
      <c r="E115" s="686"/>
      <c r="F115" s="680"/>
      <c r="G115" s="680"/>
      <c r="H115" s="682"/>
      <c r="I115" s="683"/>
      <c r="J115" s="681"/>
      <c r="K115" s="687"/>
    </row>
    <row r="116" spans="2:11" x14ac:dyDescent="0.25">
      <c r="B116" s="681"/>
      <c r="C116" s="681"/>
      <c r="E116" s="686"/>
      <c r="F116" s="680"/>
      <c r="G116" s="680"/>
      <c r="H116" s="682"/>
      <c r="I116" s="683"/>
      <c r="J116" s="681"/>
      <c r="K116" s="687"/>
    </row>
    <row r="117" spans="2:11" x14ac:dyDescent="0.25">
      <c r="B117" s="681"/>
      <c r="C117" s="681"/>
      <c r="E117" s="686"/>
      <c r="F117" s="680"/>
      <c r="G117" s="680"/>
      <c r="H117" s="682"/>
      <c r="I117" s="683"/>
      <c r="J117" s="681"/>
      <c r="K117" s="687"/>
    </row>
    <row r="118" spans="2:11" x14ac:dyDescent="0.25">
      <c r="B118" s="681"/>
      <c r="C118" s="681"/>
      <c r="E118" s="686"/>
      <c r="F118" s="680"/>
      <c r="G118" s="680"/>
      <c r="H118" s="682"/>
      <c r="I118" s="683"/>
      <c r="J118" s="681"/>
      <c r="K118" s="687"/>
    </row>
    <row r="119" spans="2:11" x14ac:dyDescent="0.25">
      <c r="B119" s="681"/>
      <c r="C119" s="681"/>
      <c r="E119" s="686"/>
      <c r="F119" s="680"/>
      <c r="G119" s="680"/>
      <c r="H119" s="682"/>
      <c r="I119" s="683"/>
      <c r="J119" s="681"/>
      <c r="K119" s="687"/>
    </row>
    <row r="120" spans="2:11" x14ac:dyDescent="0.25">
      <c r="B120" s="681"/>
      <c r="C120" s="681"/>
      <c r="E120" s="686"/>
      <c r="F120" s="680"/>
      <c r="G120" s="680"/>
      <c r="H120" s="682"/>
      <c r="I120" s="683"/>
      <c r="J120" s="681"/>
      <c r="K120" s="687"/>
    </row>
    <row r="121" spans="2:11" x14ac:dyDescent="0.25">
      <c r="B121" s="681"/>
      <c r="C121" s="681"/>
      <c r="E121" s="686"/>
      <c r="F121" s="680"/>
      <c r="G121" s="680"/>
      <c r="H121" s="682"/>
      <c r="I121" s="683"/>
      <c r="J121" s="681"/>
      <c r="K121" s="687"/>
    </row>
    <row r="122" spans="2:11" x14ac:dyDescent="0.25">
      <c r="B122" s="681"/>
      <c r="C122" s="681"/>
      <c r="E122" s="686"/>
      <c r="F122" s="680"/>
      <c r="G122" s="680"/>
      <c r="H122" s="682"/>
      <c r="I122" s="683"/>
      <c r="J122" s="681"/>
      <c r="K122" s="687"/>
    </row>
    <row r="123" spans="2:11" x14ac:dyDescent="0.25">
      <c r="B123" s="681"/>
      <c r="C123" s="681"/>
      <c r="E123" s="686"/>
      <c r="F123" s="680"/>
      <c r="G123" s="680"/>
      <c r="H123" s="682"/>
      <c r="I123" s="683"/>
      <c r="J123" s="681"/>
      <c r="K123" s="687"/>
    </row>
    <row r="124" spans="2:11" x14ac:dyDescent="0.25">
      <c r="B124" s="681"/>
      <c r="C124" s="681"/>
      <c r="E124" s="686"/>
      <c r="F124" s="680"/>
      <c r="G124" s="680"/>
      <c r="H124" s="682"/>
      <c r="I124" s="683"/>
      <c r="J124" s="681"/>
      <c r="K124" s="687"/>
    </row>
    <row r="125" spans="2:11" x14ac:dyDescent="0.25">
      <c r="B125" s="681"/>
      <c r="C125" s="681"/>
      <c r="E125" s="686"/>
      <c r="F125" s="680"/>
      <c r="G125" s="680"/>
      <c r="H125" s="682"/>
      <c r="I125" s="683"/>
      <c r="J125" s="681"/>
      <c r="K125" s="687"/>
    </row>
    <row r="126" spans="2:11" x14ac:dyDescent="0.25">
      <c r="B126" s="681"/>
      <c r="C126" s="681"/>
      <c r="E126" s="686"/>
      <c r="F126" s="680"/>
      <c r="G126" s="680"/>
      <c r="H126" s="682"/>
      <c r="I126" s="683"/>
      <c r="J126" s="681"/>
      <c r="K126" s="687"/>
    </row>
    <row r="127" spans="2:11" x14ac:dyDescent="0.25">
      <c r="B127" s="681"/>
      <c r="C127" s="681"/>
      <c r="E127" s="686"/>
      <c r="F127" s="680"/>
      <c r="G127" s="680"/>
      <c r="H127" s="682"/>
      <c r="I127" s="683"/>
      <c r="J127" s="681"/>
      <c r="K127" s="687"/>
    </row>
    <row r="128" spans="2:11" x14ac:dyDescent="0.25">
      <c r="B128" s="681"/>
      <c r="C128" s="681"/>
      <c r="E128" s="686"/>
      <c r="F128" s="680"/>
      <c r="G128" s="680"/>
      <c r="H128" s="682"/>
      <c r="I128" s="683"/>
      <c r="J128" s="681"/>
      <c r="K128" s="687"/>
    </row>
    <row r="129" spans="2:11" x14ac:dyDescent="0.25">
      <c r="B129" s="680"/>
      <c r="C129" s="681"/>
      <c r="E129" s="686"/>
      <c r="F129" s="680"/>
      <c r="G129" s="680"/>
      <c r="H129" s="682"/>
      <c r="I129" s="683"/>
      <c r="J129" s="681"/>
      <c r="K129" s="687"/>
    </row>
    <row r="130" spans="2:11" x14ac:dyDescent="0.25">
      <c r="B130" s="681"/>
      <c r="C130" s="681"/>
      <c r="E130" s="686"/>
      <c r="F130" s="680"/>
      <c r="G130" s="680"/>
      <c r="H130" s="682"/>
      <c r="I130" s="683"/>
      <c r="J130" s="681"/>
      <c r="K130" s="687"/>
    </row>
    <row r="131" spans="2:11" x14ac:dyDescent="0.25">
      <c r="B131" s="681"/>
      <c r="C131" s="681"/>
      <c r="E131" s="686"/>
      <c r="F131" s="680"/>
      <c r="G131" s="680"/>
      <c r="H131" s="682"/>
      <c r="I131" s="683"/>
      <c r="J131" s="681"/>
      <c r="K131" s="687"/>
    </row>
    <row r="132" spans="2:11" x14ac:dyDescent="0.25">
      <c r="B132" s="681"/>
      <c r="C132" s="681"/>
      <c r="E132" s="686"/>
      <c r="F132" s="680"/>
      <c r="G132" s="680"/>
      <c r="H132" s="682"/>
      <c r="I132" s="683"/>
      <c r="J132" s="681"/>
      <c r="K132" s="687"/>
    </row>
    <row r="133" spans="2:11" x14ac:dyDescent="0.25">
      <c r="B133" s="681"/>
      <c r="C133" s="681"/>
      <c r="E133" s="686"/>
      <c r="F133" s="680"/>
      <c r="G133" s="680"/>
      <c r="H133" s="682"/>
      <c r="I133" s="683"/>
      <c r="J133" s="681"/>
      <c r="K133" s="687"/>
    </row>
    <row r="134" spans="2:11" x14ac:dyDescent="0.25">
      <c r="B134" s="681"/>
      <c r="C134" s="681"/>
      <c r="E134" s="686"/>
      <c r="F134" s="680"/>
      <c r="G134" s="680"/>
      <c r="H134" s="682"/>
      <c r="I134" s="683"/>
      <c r="J134" s="681"/>
      <c r="K134" s="687"/>
    </row>
    <row r="135" spans="2:11" x14ac:dyDescent="0.25">
      <c r="B135" s="681"/>
      <c r="C135" s="681"/>
      <c r="E135" s="686"/>
      <c r="F135" s="680"/>
      <c r="G135" s="680"/>
      <c r="H135" s="682"/>
      <c r="I135" s="683"/>
      <c r="J135" s="681"/>
      <c r="K135" s="687"/>
    </row>
    <row r="136" spans="2:11" x14ac:dyDescent="0.25">
      <c r="B136" s="681"/>
      <c r="C136" s="681"/>
      <c r="E136" s="686"/>
      <c r="F136" s="680"/>
      <c r="G136" s="680"/>
      <c r="H136" s="682"/>
      <c r="I136" s="683"/>
      <c r="J136" s="681"/>
      <c r="K136" s="687"/>
    </row>
    <row r="137" spans="2:11" x14ac:dyDescent="0.25">
      <c r="B137" s="681"/>
      <c r="C137" s="681"/>
      <c r="E137" s="686"/>
      <c r="F137" s="680"/>
      <c r="G137" s="680"/>
      <c r="H137" s="682"/>
      <c r="I137" s="683"/>
      <c r="J137" s="681"/>
      <c r="K137" s="687"/>
    </row>
    <row r="138" spans="2:11" x14ac:dyDescent="0.25">
      <c r="B138" s="681"/>
      <c r="C138" s="681"/>
      <c r="E138" s="686"/>
      <c r="F138" s="680"/>
      <c r="G138" s="680"/>
      <c r="H138" s="682"/>
      <c r="I138" s="683"/>
      <c r="J138" s="681"/>
      <c r="K138" s="687"/>
    </row>
    <row r="139" spans="2:11" x14ac:dyDescent="0.25">
      <c r="B139" s="681"/>
      <c r="C139" s="681"/>
      <c r="E139" s="686"/>
      <c r="F139" s="680"/>
      <c r="G139" s="680"/>
      <c r="H139" s="682"/>
      <c r="I139" s="683"/>
      <c r="J139" s="681"/>
      <c r="K139" s="687"/>
    </row>
    <row r="140" spans="2:11" x14ac:dyDescent="0.25">
      <c r="B140" s="681"/>
      <c r="C140" s="681"/>
      <c r="E140" s="686"/>
      <c r="F140" s="680"/>
      <c r="G140" s="680"/>
      <c r="H140" s="682"/>
      <c r="I140" s="683"/>
      <c r="J140" s="681"/>
      <c r="K140" s="687"/>
    </row>
    <row r="141" spans="2:11" x14ac:dyDescent="0.25">
      <c r="B141" s="681"/>
      <c r="C141" s="681"/>
      <c r="E141" s="686"/>
      <c r="F141" s="680"/>
      <c r="G141" s="680"/>
      <c r="H141" s="682"/>
      <c r="I141" s="683"/>
      <c r="J141" s="681"/>
      <c r="K141" s="687"/>
    </row>
    <row r="142" spans="2:11" x14ac:dyDescent="0.25">
      <c r="B142" s="681"/>
      <c r="C142" s="681"/>
      <c r="E142" s="686"/>
      <c r="F142" s="680"/>
      <c r="G142" s="680"/>
      <c r="H142" s="682"/>
      <c r="I142" s="683"/>
      <c r="J142" s="681"/>
      <c r="K142" s="687"/>
    </row>
    <row r="143" spans="2:11" x14ac:dyDescent="0.25">
      <c r="B143" s="681"/>
      <c r="C143" s="681"/>
      <c r="E143" s="686"/>
      <c r="F143" s="680"/>
      <c r="G143" s="680"/>
      <c r="H143" s="682"/>
      <c r="I143" s="683"/>
      <c r="J143" s="681"/>
      <c r="K143" s="687"/>
    </row>
    <row r="144" spans="2:11" x14ac:dyDescent="0.25">
      <c r="B144" s="681"/>
      <c r="C144" s="681"/>
      <c r="E144" s="686"/>
      <c r="F144" s="680"/>
      <c r="G144" s="680"/>
      <c r="H144" s="682"/>
      <c r="I144" s="683"/>
      <c r="J144" s="681"/>
      <c r="K144" s="687"/>
    </row>
    <row r="145" spans="2:11" x14ac:dyDescent="0.25">
      <c r="B145" s="681"/>
      <c r="C145" s="681"/>
      <c r="E145" s="686"/>
      <c r="F145" s="680"/>
      <c r="G145" s="680"/>
      <c r="H145" s="682"/>
      <c r="I145" s="683"/>
      <c r="J145" s="681"/>
      <c r="K145" s="687"/>
    </row>
    <row r="146" spans="2:11" x14ac:dyDescent="0.25">
      <c r="B146" s="681"/>
      <c r="C146" s="681"/>
      <c r="E146" s="686"/>
      <c r="F146" s="680"/>
      <c r="G146" s="680"/>
      <c r="H146" s="682"/>
      <c r="I146" s="683"/>
      <c r="J146" s="681"/>
      <c r="K146" s="687"/>
    </row>
    <row r="147" spans="2:11" x14ac:dyDescent="0.25">
      <c r="B147" s="681"/>
      <c r="C147" s="681"/>
      <c r="E147" s="686"/>
      <c r="F147" s="680"/>
      <c r="G147" s="680"/>
      <c r="H147" s="682"/>
      <c r="I147" s="683"/>
      <c r="J147" s="681"/>
      <c r="K147" s="687"/>
    </row>
    <row r="148" spans="2:11" x14ac:dyDescent="0.25">
      <c r="B148" s="681"/>
      <c r="C148" s="681"/>
      <c r="E148" s="686"/>
      <c r="F148" s="680"/>
      <c r="G148" s="680"/>
      <c r="H148" s="682"/>
      <c r="I148" s="683"/>
      <c r="J148" s="681"/>
      <c r="K148" s="687"/>
    </row>
    <row r="149" spans="2:11" x14ac:dyDescent="0.25">
      <c r="B149" s="681"/>
      <c r="C149" s="681"/>
      <c r="E149" s="686"/>
      <c r="F149" s="680"/>
      <c r="G149" s="680"/>
      <c r="H149" s="682"/>
      <c r="I149" s="683"/>
      <c r="J149" s="681"/>
      <c r="K149" s="687"/>
    </row>
    <row r="150" spans="2:11" x14ac:dyDescent="0.25">
      <c r="B150" s="681"/>
      <c r="C150" s="681"/>
      <c r="E150" s="686"/>
      <c r="F150" s="680"/>
      <c r="G150" s="680"/>
      <c r="H150" s="682"/>
      <c r="I150" s="683"/>
      <c r="J150" s="681"/>
      <c r="K150" s="687"/>
    </row>
    <row r="151" spans="2:11" x14ac:dyDescent="0.25">
      <c r="B151" s="681"/>
      <c r="C151" s="681"/>
      <c r="E151" s="686"/>
      <c r="F151" s="680"/>
      <c r="G151" s="680"/>
      <c r="H151" s="682"/>
      <c r="I151" s="683"/>
      <c r="J151" s="681"/>
      <c r="K151" s="687"/>
    </row>
    <row r="152" spans="2:11" x14ac:dyDescent="0.25">
      <c r="B152" s="681"/>
      <c r="C152" s="681"/>
      <c r="E152" s="686"/>
      <c r="F152" s="680"/>
      <c r="G152" s="680"/>
      <c r="H152" s="682"/>
      <c r="I152" s="683"/>
      <c r="J152" s="681"/>
      <c r="K152" s="687"/>
    </row>
    <row r="153" spans="2:11" x14ac:dyDescent="0.25">
      <c r="B153" s="681"/>
      <c r="C153" s="681"/>
      <c r="E153" s="686"/>
      <c r="F153" s="680"/>
      <c r="G153" s="680"/>
      <c r="H153" s="682"/>
      <c r="I153" s="683"/>
      <c r="J153" s="681"/>
      <c r="K153" s="687"/>
    </row>
    <row r="154" spans="2:11" x14ac:dyDescent="0.25">
      <c r="B154" s="681"/>
      <c r="C154" s="681"/>
      <c r="E154" s="686"/>
      <c r="F154" s="680"/>
      <c r="G154" s="680"/>
      <c r="H154" s="682"/>
      <c r="I154" s="683"/>
      <c r="J154" s="681"/>
      <c r="K154" s="687"/>
    </row>
    <row r="155" spans="2:11" x14ac:dyDescent="0.25">
      <c r="B155" s="681"/>
      <c r="C155" s="681"/>
      <c r="E155" s="686"/>
      <c r="F155" s="680"/>
      <c r="G155" s="680"/>
      <c r="H155" s="682"/>
      <c r="I155" s="683"/>
      <c r="J155" s="681"/>
      <c r="K155" s="687"/>
    </row>
    <row r="156" spans="2:11" x14ac:dyDescent="0.25">
      <c r="B156" s="681"/>
      <c r="C156" s="681"/>
      <c r="E156" s="686"/>
      <c r="F156" s="680"/>
      <c r="G156" s="680"/>
      <c r="H156" s="682"/>
      <c r="I156" s="683"/>
      <c r="J156" s="681"/>
      <c r="K156" s="687"/>
    </row>
    <row r="157" spans="2:11" x14ac:dyDescent="0.25">
      <c r="B157" s="681"/>
      <c r="C157" s="681"/>
      <c r="E157" s="686"/>
      <c r="F157" s="680"/>
      <c r="G157" s="680"/>
      <c r="H157" s="682"/>
      <c r="I157" s="683"/>
      <c r="J157" s="681"/>
      <c r="K157" s="687"/>
    </row>
    <row r="158" spans="2:11" x14ac:dyDescent="0.25">
      <c r="B158" s="681"/>
      <c r="C158" s="681"/>
      <c r="E158" s="686"/>
      <c r="F158" s="680"/>
      <c r="G158" s="680"/>
      <c r="H158" s="682"/>
      <c r="I158" s="683"/>
      <c r="J158" s="681"/>
      <c r="K158" s="687"/>
    </row>
    <row r="159" spans="2:11" x14ac:dyDescent="0.25">
      <c r="B159" s="681"/>
      <c r="C159" s="681"/>
      <c r="E159" s="686"/>
      <c r="F159" s="680"/>
      <c r="G159" s="680"/>
      <c r="H159" s="682"/>
      <c r="I159" s="683"/>
      <c r="J159" s="681"/>
      <c r="K159" s="687"/>
    </row>
    <row r="160" spans="2:11" x14ac:dyDescent="0.25">
      <c r="B160" s="681"/>
      <c r="C160" s="681"/>
      <c r="E160" s="686"/>
      <c r="F160" s="680"/>
      <c r="G160" s="680"/>
      <c r="H160" s="682"/>
      <c r="I160" s="683"/>
      <c r="J160" s="681"/>
      <c r="K160" s="687"/>
    </row>
    <row r="161" spans="2:11" x14ac:dyDescent="0.25">
      <c r="B161" s="681"/>
      <c r="C161" s="681"/>
      <c r="E161" s="686"/>
      <c r="F161" s="680"/>
      <c r="G161" s="680"/>
      <c r="H161" s="682"/>
      <c r="I161" s="683"/>
      <c r="J161" s="681"/>
      <c r="K161" s="687"/>
    </row>
    <row r="162" spans="2:11" x14ac:dyDescent="0.25">
      <c r="B162" s="681"/>
      <c r="C162" s="681"/>
      <c r="E162" s="686"/>
      <c r="F162" s="680"/>
      <c r="G162" s="680"/>
      <c r="H162" s="682"/>
      <c r="I162" s="683"/>
      <c r="J162" s="681"/>
      <c r="K162" s="687"/>
    </row>
  </sheetData>
  <conditionalFormatting sqref="E16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indexed="13"/>
    <outlinePr summaryBelow="0" summaryRight="0"/>
  </sheetPr>
  <dimension ref="A1:E63"/>
  <sheetViews>
    <sheetView workbookViewId="0"/>
  </sheetViews>
  <sheetFormatPr defaultColWidth="9.109375" defaultRowHeight="10.199999999999999" x14ac:dyDescent="0.25"/>
  <cols>
    <col min="1" max="1" width="4.88671875" style="318" customWidth="1"/>
    <col min="2" max="2" width="36.88671875" style="318" customWidth="1"/>
    <col min="3" max="3" width="4.88671875" style="318" customWidth="1"/>
    <col min="4" max="4" width="22" style="318" customWidth="1"/>
    <col min="5" max="5" width="24.109375" style="318" customWidth="1"/>
    <col min="6" max="16384" width="9.109375" style="318"/>
  </cols>
  <sheetData>
    <row r="1" spans="1:5" s="315" customFormat="1" ht="11.25" customHeight="1" x14ac:dyDescent="0.25">
      <c r="A1" s="314"/>
      <c r="B1" s="281"/>
      <c r="C1" s="281"/>
      <c r="D1" s="946" t="s">
        <v>2280</v>
      </c>
      <c r="E1" s="976"/>
    </row>
    <row r="2" spans="1:5" s="315" customFormat="1" ht="33.75" customHeight="1" x14ac:dyDescent="0.2">
      <c r="A2" s="283" t="s">
        <v>780</v>
      </c>
      <c r="B2" s="284" t="s">
        <v>1876</v>
      </c>
      <c r="C2" s="285" t="s">
        <v>781</v>
      </c>
      <c r="D2" s="286" t="s">
        <v>794</v>
      </c>
      <c r="E2" s="287" t="s">
        <v>795</v>
      </c>
    </row>
    <row r="3" spans="1:5" s="315" customFormat="1" ht="24.75" customHeight="1" x14ac:dyDescent="0.25">
      <c r="A3" s="306" t="s">
        <v>1879</v>
      </c>
      <c r="B3" s="303" t="s">
        <v>2307</v>
      </c>
      <c r="C3" s="301" t="s">
        <v>2211</v>
      </c>
      <c r="D3" s="443">
        <f>'IS-G Old format'!G7</f>
        <v>0</v>
      </c>
      <c r="E3" s="444">
        <f>'IS-G Old format'!H7</f>
        <v>0</v>
      </c>
    </row>
    <row r="4" spans="1:5" s="315" customFormat="1" ht="24.75" customHeight="1" x14ac:dyDescent="0.25">
      <c r="A4" s="306" t="s">
        <v>1880</v>
      </c>
      <c r="B4" s="303" t="s">
        <v>2308</v>
      </c>
      <c r="C4" s="301" t="s">
        <v>2212</v>
      </c>
      <c r="D4" s="443">
        <f>'IS-G Old format'!G8</f>
        <v>0</v>
      </c>
      <c r="E4" s="444">
        <f>'IS-G Old format'!H8</f>
        <v>0</v>
      </c>
    </row>
    <row r="5" spans="1:5" s="316" customFormat="1" ht="24.75" customHeight="1" x14ac:dyDescent="0.25">
      <c r="A5" s="292" t="s">
        <v>1757</v>
      </c>
      <c r="B5" s="289" t="s">
        <v>2309</v>
      </c>
      <c r="C5" s="290" t="s">
        <v>2213</v>
      </c>
      <c r="D5" s="447">
        <f>'IS-G Old format'!G10</f>
        <v>0</v>
      </c>
      <c r="E5" s="448">
        <f>'IS-G Old format'!H10</f>
        <v>0</v>
      </c>
    </row>
    <row r="6" spans="1:5" s="316" customFormat="1" ht="24.75" customHeight="1" x14ac:dyDescent="0.25">
      <c r="A6" s="292" t="s">
        <v>1882</v>
      </c>
      <c r="B6" s="289" t="s">
        <v>2225</v>
      </c>
      <c r="C6" s="290" t="s">
        <v>2214</v>
      </c>
      <c r="D6" s="447">
        <f>'IS-G Old format'!G12</f>
        <v>0</v>
      </c>
      <c r="E6" s="448">
        <f>'IS-G Old format'!H12</f>
        <v>0</v>
      </c>
    </row>
    <row r="7" spans="1:5" s="315" customFormat="1" ht="24.75" customHeight="1" x14ac:dyDescent="0.25">
      <c r="A7" s="300" t="s">
        <v>1884</v>
      </c>
      <c r="B7" s="303" t="s">
        <v>1517</v>
      </c>
      <c r="C7" s="301" t="s">
        <v>442</v>
      </c>
      <c r="D7" s="443">
        <f>'IS-G Old format'!G13</f>
        <v>0</v>
      </c>
      <c r="E7" s="444">
        <f>'IS-G Old format'!H13</f>
        <v>0</v>
      </c>
    </row>
    <row r="8" spans="1:5" s="315" customFormat="1" ht="24.75" customHeight="1" x14ac:dyDescent="0.25">
      <c r="A8" s="300" t="s">
        <v>773</v>
      </c>
      <c r="B8" s="303" t="s">
        <v>467</v>
      </c>
      <c r="C8" s="301" t="s">
        <v>443</v>
      </c>
      <c r="D8" s="443">
        <f>'IS-G Old format'!G14</f>
        <v>0</v>
      </c>
      <c r="E8" s="444">
        <f>'IS-G Old format'!H14</f>
        <v>0</v>
      </c>
    </row>
    <row r="9" spans="1:5" s="315" customFormat="1" ht="24.75" customHeight="1" x14ac:dyDescent="0.25">
      <c r="A9" s="300" t="s">
        <v>774</v>
      </c>
      <c r="B9" s="303" t="s">
        <v>868</v>
      </c>
      <c r="C9" s="301" t="s">
        <v>444</v>
      </c>
      <c r="D9" s="443">
        <f>'IS-G Old format'!G15</f>
        <v>0</v>
      </c>
      <c r="E9" s="444">
        <f>'IS-G Old format'!H15</f>
        <v>0</v>
      </c>
    </row>
    <row r="10" spans="1:5" s="316" customFormat="1" ht="24.75" customHeight="1" x14ac:dyDescent="0.25">
      <c r="A10" s="292" t="s">
        <v>933</v>
      </c>
      <c r="B10" s="289" t="s">
        <v>869</v>
      </c>
      <c r="C10" s="290" t="s">
        <v>445</v>
      </c>
      <c r="D10" s="447">
        <f>'IS-G Old format'!G17</f>
        <v>408.59</v>
      </c>
      <c r="E10" s="448">
        <f>'IS-G Old format'!H17</f>
        <v>0</v>
      </c>
    </row>
    <row r="11" spans="1:5" s="315" customFormat="1" ht="24.75" customHeight="1" x14ac:dyDescent="0.25">
      <c r="A11" s="306" t="s">
        <v>2661</v>
      </c>
      <c r="B11" s="303" t="s">
        <v>847</v>
      </c>
      <c r="C11" s="301" t="s">
        <v>258</v>
      </c>
      <c r="D11" s="443">
        <f>'IS-G Old format'!G18</f>
        <v>6.75</v>
      </c>
      <c r="E11" s="444">
        <f>'IS-G Old format'!H18</f>
        <v>0</v>
      </c>
    </row>
    <row r="12" spans="1:5" s="315" customFormat="1" ht="24.75" customHeight="1" x14ac:dyDescent="0.25">
      <c r="A12" s="306" t="s">
        <v>1918</v>
      </c>
      <c r="B12" s="303" t="s">
        <v>2559</v>
      </c>
      <c r="C12" s="301" t="s">
        <v>259</v>
      </c>
      <c r="D12" s="443">
        <f>'IS-G Old format'!G19</f>
        <v>401.84</v>
      </c>
      <c r="E12" s="444">
        <f>'IS-G Old format'!H19</f>
        <v>0</v>
      </c>
    </row>
    <row r="13" spans="1:5" s="316" customFormat="1" ht="24.75" customHeight="1" x14ac:dyDescent="0.25">
      <c r="A13" s="292" t="s">
        <v>1757</v>
      </c>
      <c r="B13" s="289" t="s">
        <v>2347</v>
      </c>
      <c r="C13" s="290" t="s">
        <v>260</v>
      </c>
      <c r="D13" s="447">
        <f>'IS-G Old format'!G21</f>
        <v>-408.59</v>
      </c>
      <c r="E13" s="448">
        <f>'IS-G Old format'!H21</f>
        <v>0</v>
      </c>
    </row>
    <row r="14" spans="1:5" s="315" customFormat="1" ht="24.75" customHeight="1" x14ac:dyDescent="0.25">
      <c r="A14" s="306" t="s">
        <v>261</v>
      </c>
      <c r="B14" s="303" t="s">
        <v>870</v>
      </c>
      <c r="C14" s="301" t="s">
        <v>1739</v>
      </c>
      <c r="D14" s="443">
        <f>'IS-G Old format'!G23</f>
        <v>0</v>
      </c>
      <c r="E14" s="444">
        <f>'IS-G Old format'!H23</f>
        <v>0</v>
      </c>
    </row>
    <row r="15" spans="1:5" s="315" customFormat="1" ht="24.75" customHeight="1" x14ac:dyDescent="0.25">
      <c r="A15" s="306" t="s">
        <v>1874</v>
      </c>
      <c r="B15" s="303" t="s">
        <v>761</v>
      </c>
      <c r="C15" s="301" t="s">
        <v>1740</v>
      </c>
      <c r="D15" s="443">
        <f>'IS-G Old format'!G24</f>
        <v>0</v>
      </c>
      <c r="E15" s="444">
        <f>'IS-G Old format'!H24</f>
        <v>0</v>
      </c>
    </row>
    <row r="16" spans="1:5" s="315" customFormat="1" ht="24.75" customHeight="1" x14ac:dyDescent="0.25">
      <c r="A16" s="306" t="s">
        <v>1918</v>
      </c>
      <c r="B16" s="303" t="s">
        <v>2349</v>
      </c>
      <c r="C16" s="301" t="s">
        <v>1741</v>
      </c>
      <c r="D16" s="443">
        <f>'IS-G Old format'!G25</f>
        <v>0</v>
      </c>
      <c r="E16" s="444">
        <f>'IS-G Old format'!H25</f>
        <v>0</v>
      </c>
    </row>
    <row r="17" spans="1:5" s="315" customFormat="1" ht="24.75" customHeight="1" x14ac:dyDescent="0.25">
      <c r="A17" s="306" t="s">
        <v>1924</v>
      </c>
      <c r="B17" s="303" t="s">
        <v>762</v>
      </c>
      <c r="C17" s="301" t="s">
        <v>1742</v>
      </c>
      <c r="D17" s="443">
        <f>'IS-G Old format'!G26</f>
        <v>0</v>
      </c>
      <c r="E17" s="444">
        <f>'IS-G Old format'!H26</f>
        <v>0</v>
      </c>
    </row>
    <row r="18" spans="1:5" s="315" customFormat="1" ht="24.75" customHeight="1" x14ac:dyDescent="0.25">
      <c r="A18" s="306" t="s">
        <v>284</v>
      </c>
      <c r="B18" s="303" t="s">
        <v>763</v>
      </c>
      <c r="C18" s="301" t="s">
        <v>171</v>
      </c>
      <c r="D18" s="443">
        <f>'IS-G Old format'!G27</f>
        <v>0</v>
      </c>
      <c r="E18" s="444">
        <f>'IS-G Old format'!H27</f>
        <v>0</v>
      </c>
    </row>
    <row r="19" spans="1:5" s="315" customFormat="1" ht="24.75" customHeight="1" x14ac:dyDescent="0.25">
      <c r="A19" s="306" t="s">
        <v>934</v>
      </c>
      <c r="B19" s="303" t="s">
        <v>764</v>
      </c>
      <c r="C19" s="301" t="s">
        <v>172</v>
      </c>
      <c r="D19" s="443">
        <f>'IS-G Old format'!G28</f>
        <v>0</v>
      </c>
      <c r="E19" s="444">
        <f>'IS-G Old format'!H28</f>
        <v>0</v>
      </c>
    </row>
    <row r="20" spans="1:5" s="315" customFormat="1" ht="24.75" customHeight="1" x14ac:dyDescent="0.25">
      <c r="A20" s="306" t="s">
        <v>611</v>
      </c>
      <c r="B20" s="303" t="s">
        <v>848</v>
      </c>
      <c r="C20" s="301" t="s">
        <v>173</v>
      </c>
      <c r="D20" s="443">
        <f>'IS-G Old format'!G29</f>
        <v>0</v>
      </c>
      <c r="E20" s="444">
        <f>'IS-G Old format'!H29</f>
        <v>0</v>
      </c>
    </row>
    <row r="21" spans="1:5" s="315" customFormat="1" ht="24.75" customHeight="1" x14ac:dyDescent="0.25">
      <c r="A21" s="306" t="s">
        <v>288</v>
      </c>
      <c r="B21" s="303" t="s">
        <v>765</v>
      </c>
      <c r="C21" s="301" t="s">
        <v>1106</v>
      </c>
      <c r="D21" s="443">
        <f>'IS-G Old format'!G30</f>
        <v>0</v>
      </c>
      <c r="E21" s="444">
        <f>'IS-G Old format'!H30</f>
        <v>0</v>
      </c>
    </row>
    <row r="22" spans="1:5" s="315" customFormat="1" ht="24.75" customHeight="1" x14ac:dyDescent="0.25">
      <c r="A22" s="306" t="s">
        <v>616</v>
      </c>
      <c r="B22" s="303" t="s">
        <v>766</v>
      </c>
      <c r="C22" s="301" t="s">
        <v>1107</v>
      </c>
      <c r="D22" s="443">
        <f>'IS-G Old format'!G31</f>
        <v>0</v>
      </c>
      <c r="E22" s="444">
        <f>'IS-G Old format'!H31</f>
        <v>0</v>
      </c>
    </row>
    <row r="23" spans="1:5" s="315" customFormat="1" ht="24.75" customHeight="1" x14ac:dyDescent="0.25">
      <c r="A23" s="306" t="s">
        <v>291</v>
      </c>
      <c r="B23" s="303" t="s">
        <v>849</v>
      </c>
      <c r="C23" s="301" t="s">
        <v>1108</v>
      </c>
      <c r="D23" s="443">
        <f>'IS-G Old format'!G32</f>
        <v>0</v>
      </c>
      <c r="E23" s="444">
        <f>'IS-G Old format'!H32</f>
        <v>0</v>
      </c>
    </row>
    <row r="24" spans="1:5" s="315" customFormat="1" ht="24.75" customHeight="1" x14ac:dyDescent="0.25">
      <c r="A24" s="306" t="s">
        <v>617</v>
      </c>
      <c r="B24" s="303" t="s">
        <v>850</v>
      </c>
      <c r="C24" s="301" t="s">
        <v>339</v>
      </c>
      <c r="D24" s="443">
        <f>'IS-G Old format'!G33</f>
        <v>20</v>
      </c>
      <c r="E24" s="444">
        <f>'IS-G Old format'!H33</f>
        <v>0</v>
      </c>
    </row>
    <row r="25" spans="1:5" s="315" customFormat="1" ht="24.75" customHeight="1" x14ac:dyDescent="0.25">
      <c r="A25" s="306" t="s">
        <v>2011</v>
      </c>
      <c r="B25" s="303" t="s">
        <v>559</v>
      </c>
      <c r="C25" s="301" t="s">
        <v>340</v>
      </c>
      <c r="D25" s="443">
        <f>'IS-G Old format'!G34</f>
        <v>0</v>
      </c>
      <c r="E25" s="444">
        <f>'IS-G Old format'!H34</f>
        <v>0</v>
      </c>
    </row>
    <row r="26" spans="1:5" s="315" customFormat="1" ht="24.75" customHeight="1" x14ac:dyDescent="0.25">
      <c r="A26" s="306" t="s">
        <v>1891</v>
      </c>
      <c r="B26" s="303" t="s">
        <v>560</v>
      </c>
      <c r="C26" s="301" t="s">
        <v>341</v>
      </c>
      <c r="D26" s="443">
        <f>'IS-G Old format'!G35</f>
        <v>0</v>
      </c>
      <c r="E26" s="444">
        <f>'IS-G Old format'!H35</f>
        <v>0</v>
      </c>
    </row>
    <row r="27" spans="1:5" s="316" customFormat="1" ht="30" customHeight="1" x14ac:dyDescent="0.25">
      <c r="A27" s="292" t="s">
        <v>901</v>
      </c>
      <c r="B27" s="289" t="s">
        <v>2546</v>
      </c>
      <c r="C27" s="290" t="s">
        <v>342</v>
      </c>
      <c r="D27" s="447">
        <f>'IS-G Old format'!G37</f>
        <v>-428.59</v>
      </c>
      <c r="E27" s="448">
        <f>'IS-G Old format'!H37</f>
        <v>0</v>
      </c>
    </row>
    <row r="28" spans="1:5" s="315" customFormat="1" ht="24.75" customHeight="1" x14ac:dyDescent="0.25">
      <c r="A28" s="306" t="s">
        <v>2059</v>
      </c>
      <c r="B28" s="303" t="s">
        <v>1189</v>
      </c>
      <c r="C28" s="301" t="s">
        <v>343</v>
      </c>
      <c r="D28" s="443">
        <f>'IS-G Old format'!G39</f>
        <v>0</v>
      </c>
      <c r="E28" s="444">
        <f>'IS-G Old format'!H39</f>
        <v>0</v>
      </c>
    </row>
    <row r="29" spans="1:5" s="315" customFormat="1" ht="24.75" customHeight="1" thickBot="1" x14ac:dyDescent="0.3">
      <c r="A29" s="317" t="s">
        <v>2061</v>
      </c>
      <c r="B29" s="303" t="s">
        <v>1233</v>
      </c>
      <c r="C29" s="310" t="s">
        <v>344</v>
      </c>
      <c r="D29" s="445">
        <f>'IS-G Old format'!G40</f>
        <v>0</v>
      </c>
      <c r="E29" s="446">
        <f>'IS-G Old format'!H40</f>
        <v>0</v>
      </c>
    </row>
    <row r="30" spans="1:5" s="315" customFormat="1" ht="11.25" customHeight="1" x14ac:dyDescent="0.25">
      <c r="A30" s="314"/>
      <c r="B30" s="281"/>
      <c r="C30" s="281"/>
      <c r="D30" s="946" t="s">
        <v>2280</v>
      </c>
      <c r="E30" s="976"/>
    </row>
    <row r="31" spans="1:5" s="315" customFormat="1" ht="33.75" customHeight="1" x14ac:dyDescent="0.2">
      <c r="A31" s="283" t="s">
        <v>780</v>
      </c>
      <c r="B31" s="284" t="s">
        <v>1876</v>
      </c>
      <c r="C31" s="285" t="s">
        <v>781</v>
      </c>
      <c r="D31" s="286" t="s">
        <v>794</v>
      </c>
      <c r="E31" s="287" t="s">
        <v>795</v>
      </c>
    </row>
    <row r="32" spans="1:5" ht="24.75" customHeight="1" x14ac:dyDescent="0.25">
      <c r="A32" s="306" t="s">
        <v>2063</v>
      </c>
      <c r="B32" s="303" t="s">
        <v>1949</v>
      </c>
      <c r="C32" s="301" t="s">
        <v>345</v>
      </c>
      <c r="D32" s="443">
        <f>'IS-G Old format'!G42</f>
        <v>0</v>
      </c>
      <c r="E32" s="444">
        <f>'IS-G Old format'!H42</f>
        <v>0</v>
      </c>
    </row>
    <row r="33" spans="1:5" ht="24.75" customHeight="1" x14ac:dyDescent="0.25">
      <c r="A33" s="306" t="s">
        <v>2064</v>
      </c>
      <c r="B33" s="303" t="s">
        <v>1234</v>
      </c>
      <c r="C33" s="301" t="s">
        <v>346</v>
      </c>
      <c r="D33" s="443">
        <f>'IS-G Old format'!G43</f>
        <v>0</v>
      </c>
      <c r="E33" s="444">
        <f>'IS-G Old format'!H43</f>
        <v>0</v>
      </c>
    </row>
    <row r="34" spans="1:5" ht="24.75" customHeight="1" x14ac:dyDescent="0.25">
      <c r="A34" s="306" t="s">
        <v>2066</v>
      </c>
      <c r="B34" s="303" t="s">
        <v>2383</v>
      </c>
      <c r="C34" s="301" t="s">
        <v>2068</v>
      </c>
      <c r="D34" s="443">
        <f>'IS-G Old format'!G44</f>
        <v>0</v>
      </c>
      <c r="E34" s="444">
        <f>'IS-G Old format'!H44</f>
        <v>0</v>
      </c>
    </row>
    <row r="35" spans="1:5" ht="24.75" customHeight="1" x14ac:dyDescent="0.25">
      <c r="A35" s="306" t="s">
        <v>2069</v>
      </c>
      <c r="B35" s="303" t="s">
        <v>2384</v>
      </c>
      <c r="C35" s="301" t="s">
        <v>2071</v>
      </c>
      <c r="D35" s="443">
        <f>'IS-G Old format'!G45</f>
        <v>0</v>
      </c>
      <c r="E35" s="444">
        <f>'IS-G Old format'!H45</f>
        <v>0</v>
      </c>
    </row>
    <row r="36" spans="1:5" ht="24.75" customHeight="1" x14ac:dyDescent="0.25">
      <c r="A36" s="306" t="s">
        <v>2072</v>
      </c>
      <c r="B36" s="303" t="s">
        <v>2385</v>
      </c>
      <c r="C36" s="301" t="s">
        <v>2074</v>
      </c>
      <c r="D36" s="443">
        <f>'IS-G Old format'!G46</f>
        <v>0</v>
      </c>
      <c r="E36" s="444">
        <f>'IS-G Old format'!H46</f>
        <v>0</v>
      </c>
    </row>
    <row r="37" spans="1:5" ht="24.75" customHeight="1" x14ac:dyDescent="0.25">
      <c r="A37" s="306" t="s">
        <v>2075</v>
      </c>
      <c r="B37" s="303" t="s">
        <v>2386</v>
      </c>
      <c r="C37" s="301" t="s">
        <v>2077</v>
      </c>
      <c r="D37" s="443">
        <f>'IS-G Old format'!G47</f>
        <v>0</v>
      </c>
      <c r="E37" s="444">
        <f>'IS-G Old format'!H47</f>
        <v>0</v>
      </c>
    </row>
    <row r="38" spans="1:5" ht="24.75" customHeight="1" x14ac:dyDescent="0.25">
      <c r="A38" s="306" t="s">
        <v>2078</v>
      </c>
      <c r="B38" s="303" t="s">
        <v>2387</v>
      </c>
      <c r="C38" s="301" t="s">
        <v>126</v>
      </c>
      <c r="D38" s="443">
        <f>'IS-G Old format'!G48</f>
        <v>0</v>
      </c>
      <c r="E38" s="444">
        <f>'IS-G Old format'!H48</f>
        <v>0</v>
      </c>
    </row>
    <row r="39" spans="1:5" ht="24.75" customHeight="1" x14ac:dyDescent="0.25">
      <c r="A39" s="306" t="s">
        <v>907</v>
      </c>
      <c r="B39" s="303" t="s">
        <v>602</v>
      </c>
      <c r="C39" s="301" t="s">
        <v>128</v>
      </c>
      <c r="D39" s="443">
        <f>'IS-G Old format'!G49</f>
        <v>0</v>
      </c>
      <c r="E39" s="444">
        <f>'IS-G Old format'!H49</f>
        <v>0</v>
      </c>
    </row>
    <row r="40" spans="1:5" ht="24.75" customHeight="1" x14ac:dyDescent="0.25">
      <c r="A40" s="306" t="s">
        <v>908</v>
      </c>
      <c r="B40" s="303" t="s">
        <v>1270</v>
      </c>
      <c r="C40" s="301" t="s">
        <v>130</v>
      </c>
      <c r="D40" s="443">
        <f>'IS-G Old format'!G50</f>
        <v>0</v>
      </c>
      <c r="E40" s="444">
        <f>'IS-G Old format'!H50</f>
        <v>0</v>
      </c>
    </row>
    <row r="41" spans="1:5" ht="24.75" customHeight="1" x14ac:dyDescent="0.25">
      <c r="A41" s="306" t="s">
        <v>131</v>
      </c>
      <c r="B41" s="303" t="s">
        <v>73</v>
      </c>
      <c r="C41" s="301" t="s">
        <v>132</v>
      </c>
      <c r="D41" s="443">
        <f>'IS-G Old format'!G51</f>
        <v>0</v>
      </c>
      <c r="E41" s="444">
        <f>'IS-G Old format'!H51</f>
        <v>0</v>
      </c>
    </row>
    <row r="42" spans="1:5" ht="24.75" customHeight="1" x14ac:dyDescent="0.25">
      <c r="A42" s="306" t="s">
        <v>1618</v>
      </c>
      <c r="B42" s="303" t="s">
        <v>2433</v>
      </c>
      <c r="C42" s="301" t="s">
        <v>134</v>
      </c>
      <c r="D42" s="443">
        <f>'IS-G Old format'!G52</f>
        <v>0</v>
      </c>
      <c r="E42" s="444">
        <f>'IS-G Old format'!H52</f>
        <v>0</v>
      </c>
    </row>
    <row r="43" spans="1:5" ht="24.75" customHeight="1" x14ac:dyDescent="0.25">
      <c r="A43" s="306" t="s">
        <v>135</v>
      </c>
      <c r="B43" s="303" t="s">
        <v>2434</v>
      </c>
      <c r="C43" s="301" t="s">
        <v>136</v>
      </c>
      <c r="D43" s="443">
        <f>'IS-G Old format'!G53</f>
        <v>0</v>
      </c>
      <c r="E43" s="444">
        <f>'IS-G Old format'!H53</f>
        <v>0</v>
      </c>
    </row>
    <row r="44" spans="1:5" ht="24.75" customHeight="1" x14ac:dyDescent="0.25">
      <c r="A44" s="306" t="s">
        <v>914</v>
      </c>
      <c r="B44" s="303" t="s">
        <v>1549</v>
      </c>
      <c r="C44" s="301" t="s">
        <v>137</v>
      </c>
      <c r="D44" s="443">
        <f>'IS-G Old format'!G54</f>
        <v>0</v>
      </c>
      <c r="E44" s="444">
        <f>'IS-G Old format'!H54</f>
        <v>0</v>
      </c>
    </row>
    <row r="45" spans="1:5" ht="24.75" customHeight="1" x14ac:dyDescent="0.25">
      <c r="A45" s="306" t="s">
        <v>138</v>
      </c>
      <c r="B45" s="303" t="s">
        <v>1116</v>
      </c>
      <c r="C45" s="301" t="s">
        <v>140</v>
      </c>
      <c r="D45" s="443">
        <f>'IS-G Old format'!G55</f>
        <v>0</v>
      </c>
      <c r="E45" s="444">
        <f>'IS-G Old format'!H55</f>
        <v>0</v>
      </c>
    </row>
    <row r="46" spans="1:5" ht="24.75" customHeight="1" x14ac:dyDescent="0.25">
      <c r="A46" s="306" t="s">
        <v>1149</v>
      </c>
      <c r="B46" s="303" t="s">
        <v>2435</v>
      </c>
      <c r="C46" s="301" t="s">
        <v>142</v>
      </c>
      <c r="D46" s="443">
        <f>'IS-G Old format'!G56</f>
        <v>0</v>
      </c>
      <c r="E46" s="444">
        <f>'IS-G Old format'!H56</f>
        <v>0</v>
      </c>
    </row>
    <row r="47" spans="1:5" ht="24.75" customHeight="1" x14ac:dyDescent="0.25">
      <c r="A47" s="306" t="s">
        <v>143</v>
      </c>
      <c r="B47" s="303" t="s">
        <v>76</v>
      </c>
      <c r="C47" s="301" t="s">
        <v>145</v>
      </c>
      <c r="D47" s="443">
        <f>'IS-G Old format'!G57</f>
        <v>0</v>
      </c>
      <c r="E47" s="444">
        <f>'IS-G Old format'!H57</f>
        <v>0</v>
      </c>
    </row>
    <row r="48" spans="1:5" ht="24.75" customHeight="1" x14ac:dyDescent="0.25">
      <c r="A48" s="306" t="s">
        <v>917</v>
      </c>
      <c r="B48" s="303" t="s">
        <v>75</v>
      </c>
      <c r="C48" s="301" t="s">
        <v>147</v>
      </c>
      <c r="D48" s="443">
        <f>'IS-G Old format'!G58</f>
        <v>0</v>
      </c>
      <c r="E48" s="444">
        <f>'IS-G Old format'!H58</f>
        <v>0</v>
      </c>
    </row>
    <row r="49" spans="1:5" s="319" customFormat="1" ht="29.25" customHeight="1" x14ac:dyDescent="0.25">
      <c r="A49" s="441" t="s">
        <v>901</v>
      </c>
      <c r="B49" s="289" t="s">
        <v>851</v>
      </c>
      <c r="C49" s="442" t="s">
        <v>148</v>
      </c>
      <c r="D49" s="490">
        <f>'IS-G Old format'!G59</f>
        <v>0</v>
      </c>
      <c r="E49" s="491">
        <f>'IS-G Old format'!H59</f>
        <v>0</v>
      </c>
    </row>
    <row r="50" spans="1:5" ht="24.75" customHeight="1" x14ac:dyDescent="0.25">
      <c r="A50" s="306" t="s">
        <v>1623</v>
      </c>
      <c r="B50" s="303" t="s">
        <v>852</v>
      </c>
      <c r="C50" s="301" t="s">
        <v>149</v>
      </c>
      <c r="D50" s="443">
        <f>'IS-G Old format'!G61</f>
        <v>960</v>
      </c>
      <c r="E50" s="444">
        <f>'IS-G Old format'!H61</f>
        <v>0</v>
      </c>
    </row>
    <row r="51" spans="1:5" ht="24.75" customHeight="1" x14ac:dyDescent="0.25">
      <c r="A51" s="306" t="s">
        <v>150</v>
      </c>
      <c r="B51" s="303" t="s">
        <v>1553</v>
      </c>
      <c r="C51" s="301" t="s">
        <v>152</v>
      </c>
      <c r="D51" s="443">
        <f>'IS-G Old format'!G62</f>
        <v>960</v>
      </c>
      <c r="E51" s="444">
        <f>'IS-G Old format'!H62</f>
        <v>0</v>
      </c>
    </row>
    <row r="52" spans="1:5" ht="24.75" customHeight="1" x14ac:dyDescent="0.25">
      <c r="A52" s="306" t="s">
        <v>1918</v>
      </c>
      <c r="B52" s="303" t="s">
        <v>1554</v>
      </c>
      <c r="C52" s="301" t="s">
        <v>154</v>
      </c>
      <c r="D52" s="443">
        <f>'IS-G Old format'!G63</f>
        <v>0</v>
      </c>
      <c r="E52" s="444">
        <f>'IS-G Old format'!H63</f>
        <v>0</v>
      </c>
    </row>
    <row r="53" spans="1:5" s="319" customFormat="1" ht="24.75" customHeight="1" x14ac:dyDescent="0.25">
      <c r="A53" s="441" t="s">
        <v>918</v>
      </c>
      <c r="B53" s="289" t="s">
        <v>853</v>
      </c>
      <c r="C53" s="442" t="s">
        <v>352</v>
      </c>
      <c r="D53" s="490">
        <f>'IS-G Old format'!G65</f>
        <v>-1388.59</v>
      </c>
      <c r="E53" s="491">
        <f>'IS-G Old format'!H65</f>
        <v>0</v>
      </c>
    </row>
    <row r="54" spans="1:5" ht="24.75" customHeight="1" x14ac:dyDescent="0.25">
      <c r="A54" s="306" t="s">
        <v>155</v>
      </c>
      <c r="B54" s="303" t="s">
        <v>77</v>
      </c>
      <c r="C54" s="301" t="s">
        <v>353</v>
      </c>
      <c r="D54" s="443">
        <f>'IS-G Old format'!G67</f>
        <v>0</v>
      </c>
      <c r="E54" s="444">
        <f>'IS-G Old format'!H67</f>
        <v>0</v>
      </c>
    </row>
    <row r="55" spans="1:5" ht="24.75" customHeight="1" x14ac:dyDescent="0.25">
      <c r="A55" s="306" t="s">
        <v>355</v>
      </c>
      <c r="B55" s="303" t="s">
        <v>78</v>
      </c>
      <c r="C55" s="301" t="s">
        <v>158</v>
      </c>
      <c r="D55" s="443">
        <f>'IS-G Old format'!G68</f>
        <v>0</v>
      </c>
      <c r="E55" s="444">
        <f>'IS-G Old format'!H68</f>
        <v>0</v>
      </c>
    </row>
    <row r="56" spans="1:5" ht="24.75" customHeight="1" x14ac:dyDescent="0.25">
      <c r="A56" s="306" t="s">
        <v>356</v>
      </c>
      <c r="B56" s="303" t="s">
        <v>854</v>
      </c>
      <c r="C56" s="301" t="s">
        <v>1625</v>
      </c>
      <c r="D56" s="443">
        <f>'IS-G Old format'!G70</f>
        <v>0</v>
      </c>
      <c r="E56" s="444">
        <f>'IS-G Old format'!H70</f>
        <v>0</v>
      </c>
    </row>
    <row r="57" spans="1:5" ht="24.75" customHeight="1" x14ac:dyDescent="0.25">
      <c r="A57" s="306" t="s">
        <v>159</v>
      </c>
      <c r="B57" s="303" t="s">
        <v>1522</v>
      </c>
      <c r="C57" s="301" t="s">
        <v>1626</v>
      </c>
      <c r="D57" s="443">
        <f>'IS-G Old format'!G71</f>
        <v>0</v>
      </c>
      <c r="E57" s="444">
        <f>'IS-G Old format'!H71</f>
        <v>0</v>
      </c>
    </row>
    <row r="58" spans="1:5" ht="24.75" customHeight="1" thickBot="1" x14ac:dyDescent="0.3">
      <c r="A58" s="317" t="s">
        <v>1918</v>
      </c>
      <c r="B58" s="303" t="s">
        <v>1523</v>
      </c>
      <c r="C58" s="310" t="s">
        <v>162</v>
      </c>
      <c r="D58" s="445">
        <f>'IS-G Old format'!G72</f>
        <v>0</v>
      </c>
      <c r="E58" s="446">
        <f>'IS-G Old format'!H72</f>
        <v>0</v>
      </c>
    </row>
    <row r="59" spans="1:5" s="315" customFormat="1" ht="11.25" customHeight="1" x14ac:dyDescent="0.25">
      <c r="A59" s="314"/>
      <c r="B59" s="281"/>
      <c r="C59" s="281"/>
      <c r="D59" s="946" t="s">
        <v>2280</v>
      </c>
      <c r="E59" s="976"/>
    </row>
    <row r="60" spans="1:5" s="315" customFormat="1" ht="33.75" customHeight="1" x14ac:dyDescent="0.2">
      <c r="A60" s="283" t="s">
        <v>780</v>
      </c>
      <c r="B60" s="284" t="s">
        <v>1876</v>
      </c>
      <c r="C60" s="285" t="s">
        <v>781</v>
      </c>
      <c r="D60" s="286" t="s">
        <v>794</v>
      </c>
      <c r="E60" s="287" t="s">
        <v>795</v>
      </c>
    </row>
    <row r="61" spans="1:5" s="319" customFormat="1" ht="24.75" customHeight="1" x14ac:dyDescent="0.25">
      <c r="A61" s="292" t="s">
        <v>901</v>
      </c>
      <c r="B61" s="289" t="s">
        <v>855</v>
      </c>
      <c r="C61" s="290" t="s">
        <v>1627</v>
      </c>
      <c r="D61" s="447">
        <f>'IS-G Old format'!G74</f>
        <v>0</v>
      </c>
      <c r="E61" s="448">
        <f>'IS-G Old format'!H74</f>
        <v>0</v>
      </c>
    </row>
    <row r="62" spans="1:5" ht="24.75" customHeight="1" x14ac:dyDescent="0.25">
      <c r="A62" s="306" t="s">
        <v>358</v>
      </c>
      <c r="B62" s="532" t="s">
        <v>79</v>
      </c>
      <c r="C62" s="301" t="s">
        <v>1628</v>
      </c>
      <c r="D62" s="443">
        <f>'IS-G Old format'!G76</f>
        <v>0</v>
      </c>
      <c r="E62" s="444">
        <f>'IS-G Old format'!H76</f>
        <v>0</v>
      </c>
    </row>
    <row r="63" spans="1:5" s="319" customFormat="1" ht="24.75" customHeight="1" thickBot="1" x14ac:dyDescent="0.3">
      <c r="A63" s="313" t="s">
        <v>1758</v>
      </c>
      <c r="B63" s="304" t="s">
        <v>856</v>
      </c>
      <c r="C63" s="305" t="s">
        <v>359</v>
      </c>
      <c r="D63" s="492">
        <f>'IS-G Old format'!G78</f>
        <v>-1388.59</v>
      </c>
      <c r="E63" s="493">
        <f>'IS-G Old format'!H78</f>
        <v>0</v>
      </c>
    </row>
  </sheetData>
  <mergeCells count="3">
    <mergeCell ref="D1:E1"/>
    <mergeCell ref="D30:E30"/>
    <mergeCell ref="D59:E59"/>
  </mergeCells>
  <phoneticPr fontId="7" type="noConversion"/>
  <pageMargins left="0.55118110236220474" right="0.55118110236220474" top="0.59055118110236227" bottom="0.47244094488188981" header="0.23622047244094491" footer="0.23622047244094491"/>
  <pageSetup orientation="portrait" r:id="rId1"/>
  <headerFooter alignWithMargins="0"/>
  <rowBreaks count="2" manualBreakCount="2">
    <brk id="29" max="16383" man="1"/>
    <brk id="58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22"/>
  <sheetViews>
    <sheetView workbookViewId="0"/>
  </sheetViews>
  <sheetFormatPr defaultRowHeight="13.2" x14ac:dyDescent="0.25"/>
  <cols>
    <col min="1" max="1" width="10.5546875" customWidth="1"/>
    <col min="2" max="7" width="13.6640625" customWidth="1"/>
  </cols>
  <sheetData>
    <row r="1" spans="1:8" ht="17.399999999999999" x14ac:dyDescent="0.3">
      <c r="A1" s="2" t="s">
        <v>2714</v>
      </c>
    </row>
    <row r="2" spans="1:8" ht="15.6" x14ac:dyDescent="0.3">
      <c r="A2" s="63" t="s">
        <v>2842</v>
      </c>
      <c r="B2" s="65" t="e">
        <f>#REF!</f>
        <v>#REF!</v>
      </c>
    </row>
    <row r="3" spans="1:8" x14ac:dyDescent="0.25">
      <c r="A3" s="55" t="s">
        <v>1755</v>
      </c>
      <c r="B3" s="62" t="e">
        <f>#REF!</f>
        <v>#REF!</v>
      </c>
    </row>
    <row r="4" spans="1:8" ht="17.399999999999999" x14ac:dyDescent="0.3">
      <c r="A4" s="2"/>
    </row>
    <row r="5" spans="1:8" ht="20.399999999999999" x14ac:dyDescent="0.25">
      <c r="A5" s="1001" t="s">
        <v>2843</v>
      </c>
      <c r="B5" s="66" t="s">
        <v>1449</v>
      </c>
      <c r="C5" s="84" t="s">
        <v>298</v>
      </c>
      <c r="D5" s="66" t="s">
        <v>1450</v>
      </c>
      <c r="E5" s="68" t="s">
        <v>1449</v>
      </c>
      <c r="F5" s="82" t="s">
        <v>298</v>
      </c>
      <c r="G5" s="66" t="s">
        <v>1450</v>
      </c>
    </row>
    <row r="6" spans="1:8" x14ac:dyDescent="0.25">
      <c r="A6" s="1002"/>
      <c r="B6" s="67" t="e">
        <f>#REF!</f>
        <v>#REF!</v>
      </c>
      <c r="C6" s="85" t="e">
        <f>#REF!</f>
        <v>#REF!</v>
      </c>
      <c r="D6" s="67" t="e">
        <f>#REF!</f>
        <v>#REF!</v>
      </c>
      <c r="E6" s="69" t="e">
        <f>#REF!</f>
        <v>#REF!</v>
      </c>
      <c r="F6" s="83" t="e">
        <f>#REF!</f>
        <v>#REF!</v>
      </c>
      <c r="G6" s="67" t="e">
        <f>#REF!</f>
        <v>#REF!</v>
      </c>
    </row>
    <row r="7" spans="1:8" x14ac:dyDescent="0.25">
      <c r="A7" s="70" t="s">
        <v>2844</v>
      </c>
      <c r="B7" s="11">
        <f>SUM('kontrola LD'!E12:E101)</f>
        <v>0</v>
      </c>
      <c r="C7" s="79">
        <f>SUM('kontrola LD'!F12:F101)</f>
        <v>0</v>
      </c>
      <c r="D7" s="11">
        <f>SUM('kontrola LD'!G12:G101)</f>
        <v>0</v>
      </c>
      <c r="E7" s="47"/>
      <c r="F7" s="81" t="e">
        <f>SUM(#REF!)</f>
        <v>#REF!</v>
      </c>
      <c r="G7" s="47" t="e">
        <f>SUM(#REF!)</f>
        <v>#REF!</v>
      </c>
    </row>
    <row r="8" spans="1:8" x14ac:dyDescent="0.25">
      <c r="A8" s="71" t="s">
        <v>935</v>
      </c>
      <c r="B8" s="11">
        <f>SUM('kontrola LD'!E105:E136)</f>
        <v>0</v>
      </c>
      <c r="C8" s="80">
        <f>SUM('kontrola LD'!F105:F136)</f>
        <v>0</v>
      </c>
      <c r="D8" s="11">
        <f>SUM('kontrola LD'!G105:G136)</f>
        <v>0</v>
      </c>
      <c r="E8" s="72"/>
      <c r="F8" s="81" t="e">
        <f>SUM(#REF!)</f>
        <v>#REF!</v>
      </c>
      <c r="G8" s="72" t="e">
        <f>SUM(#REF!)</f>
        <v>#REF!</v>
      </c>
    </row>
    <row r="9" spans="1:8" x14ac:dyDescent="0.25">
      <c r="A9" s="71" t="s">
        <v>937</v>
      </c>
      <c r="B9" s="11">
        <f>SUM('kontrola LD'!E141:E176)</f>
        <v>16.509999999999991</v>
      </c>
      <c r="C9" s="80">
        <f>SUM('kontrola LD'!F141:F176)</f>
        <v>0</v>
      </c>
      <c r="D9" s="11">
        <f>SUM('kontrola LD'!G141:G176)</f>
        <v>16.509999999999991</v>
      </c>
      <c r="E9" s="72"/>
      <c r="F9" s="81" t="e">
        <f>SUM(#REF!)</f>
        <v>#REF!</v>
      </c>
      <c r="G9" s="72" t="e">
        <f>SUM(#REF!)</f>
        <v>#REF!</v>
      </c>
    </row>
    <row r="10" spans="1:8" x14ac:dyDescent="0.25">
      <c r="A10" s="71" t="s">
        <v>938</v>
      </c>
      <c r="B10" s="11">
        <f>SUM('kontrola LD'!E182:E340)</f>
        <v>-7653.9400000000005</v>
      </c>
      <c r="C10" s="80">
        <f>SUM('kontrola LD'!F182:F340)</f>
        <v>0</v>
      </c>
      <c r="D10" s="11">
        <f>SUM('kontrola LD'!G182:G340)</f>
        <v>-7653.9400000000005</v>
      </c>
      <c r="E10" s="72"/>
      <c r="F10" s="81" t="e">
        <f>SUM(#REF!)</f>
        <v>#REF!</v>
      </c>
      <c r="G10" s="72" t="e">
        <f>SUM(#REF!)</f>
        <v>#REF!</v>
      </c>
    </row>
    <row r="11" spans="1:8" x14ac:dyDescent="0.25">
      <c r="A11" s="71" t="s">
        <v>432</v>
      </c>
      <c r="B11" s="11">
        <f>SUM('kontrola LD'!E345:E407)</f>
        <v>7920.7400000000016</v>
      </c>
      <c r="C11" s="80">
        <f>SUM('kontrola LD'!F345:F407)</f>
        <v>0</v>
      </c>
      <c r="D11" s="11">
        <f>SUM('kontrola LD'!G345:G407)</f>
        <v>7920.7400000000016</v>
      </c>
      <c r="E11" s="72"/>
      <c r="F11" s="81" t="e">
        <f>SUM(#REF!)</f>
        <v>#REF!</v>
      </c>
      <c r="G11" s="72" t="e">
        <f>SUM(#REF!)</f>
        <v>#REF!</v>
      </c>
    </row>
    <row r="12" spans="1:8" x14ac:dyDescent="0.25">
      <c r="A12" s="71" t="s">
        <v>1089</v>
      </c>
      <c r="B12" s="11">
        <f>SUM('kontrola LD'!E415:E485)</f>
        <v>2770.43</v>
      </c>
      <c r="C12" s="80">
        <f>SUM('kontrola LD'!F415:F485)</f>
        <v>0</v>
      </c>
      <c r="D12" s="11">
        <f>SUM('kontrola LD'!G415:G485)</f>
        <v>2770.43</v>
      </c>
      <c r="E12" s="72"/>
      <c r="F12" s="81" t="e">
        <f>SUM(#REF!)</f>
        <v>#REF!</v>
      </c>
      <c r="G12" s="72" t="e">
        <f>SUM(#REF!)</f>
        <v>#REF!</v>
      </c>
    </row>
    <row r="13" spans="1:8" x14ac:dyDescent="0.25">
      <c r="A13" s="71" t="s">
        <v>939</v>
      </c>
      <c r="B13" s="11">
        <f>SUM('kontrola LD'!E490:E539)</f>
        <v>0</v>
      </c>
      <c r="C13" s="80">
        <f>SUM('kontrola LD'!F490:F539)</f>
        <v>0</v>
      </c>
      <c r="D13" s="11">
        <f>SUM('kontrola LD'!G490:G539)</f>
        <v>0</v>
      </c>
      <c r="E13" s="48"/>
      <c r="F13" s="81" t="e">
        <f>SUM(#REF!)</f>
        <v>#REF!</v>
      </c>
      <c r="G13" s="72" t="e">
        <f>SUM(#REF!)</f>
        <v>#REF!</v>
      </c>
    </row>
    <row r="14" spans="1:8" x14ac:dyDescent="0.25">
      <c r="A14" s="61" t="s">
        <v>2715</v>
      </c>
      <c r="B14" s="6">
        <f t="shared" ref="B14:G14" si="0">SUM(B7:B13)</f>
        <v>3053.7400000000011</v>
      </c>
      <c r="C14" s="73">
        <f t="shared" si="0"/>
        <v>0</v>
      </c>
      <c r="D14" s="6">
        <f t="shared" si="0"/>
        <v>3053.7400000000011</v>
      </c>
      <c r="E14" s="73">
        <f t="shared" si="0"/>
        <v>0</v>
      </c>
      <c r="F14" s="6" t="e">
        <f t="shared" si="0"/>
        <v>#REF!</v>
      </c>
      <c r="G14" s="73" t="e">
        <f t="shared" si="0"/>
        <v>#REF!</v>
      </c>
      <c r="H14" s="56" t="s">
        <v>1561</v>
      </c>
    </row>
    <row r="17" spans="1:4" ht="17.399999999999999" x14ac:dyDescent="0.3">
      <c r="A17" s="2" t="s">
        <v>2716</v>
      </c>
    </row>
    <row r="19" spans="1:4" x14ac:dyDescent="0.25">
      <c r="A19" s="74" t="s">
        <v>2715</v>
      </c>
      <c r="B19" s="74" t="e">
        <f>#REF!</f>
        <v>#REF!</v>
      </c>
      <c r="C19" s="74" t="e">
        <f>#REF!</f>
        <v>#REF!</v>
      </c>
    </row>
    <row r="20" spans="1:4" x14ac:dyDescent="0.25">
      <c r="A20" s="46" t="s">
        <v>296</v>
      </c>
      <c r="B20" s="11">
        <f>'BS-SK format'!H8</f>
        <v>9087.01</v>
      </c>
      <c r="C20" s="47">
        <f>'BS-SK format'!I8</f>
        <v>8541</v>
      </c>
    </row>
    <row r="21" spans="1:4" x14ac:dyDescent="0.25">
      <c r="A21" s="75" t="s">
        <v>297</v>
      </c>
      <c r="B21" s="11">
        <f>'BS-SK format'!F93</f>
        <v>9087.01</v>
      </c>
      <c r="C21" s="72">
        <f>'BS-SK format'!G93</f>
        <v>9617</v>
      </c>
    </row>
    <row r="22" spans="1:4" x14ac:dyDescent="0.25">
      <c r="A22" s="76" t="s">
        <v>2717</v>
      </c>
      <c r="B22" s="6">
        <f>B20-B21</f>
        <v>0</v>
      </c>
      <c r="C22" s="73">
        <f>C20-C21</f>
        <v>-1076</v>
      </c>
      <c r="D22" s="56" t="s">
        <v>1561</v>
      </c>
    </row>
  </sheetData>
  <customSheetViews>
    <customSheetView guid="{305BD771-46DB-4130-A6E1-9C92E07EE410}" showRuler="0">
      <pageMargins left="0.75" right="0.75" top="1" bottom="1" header="0.5" footer="0.5"/>
      <headerFooter alignWithMargins="0"/>
    </customSheetView>
  </customSheetViews>
  <mergeCells count="1">
    <mergeCell ref="A5:A6"/>
  </mergeCells>
  <phoneticPr fontId="7" type="noConversion"/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5">
    <outlinePr summaryRight="0"/>
  </sheetPr>
  <dimension ref="A1:BU130"/>
  <sheetViews>
    <sheetView workbookViewId="0">
      <selection sqref="A1:B2"/>
    </sheetView>
  </sheetViews>
  <sheetFormatPr defaultColWidth="10.6640625" defaultRowHeight="10.199999999999999" outlineLevelRow="1" x14ac:dyDescent="0.2"/>
  <cols>
    <col min="1" max="1" width="8.44140625" style="95" customWidth="1"/>
    <col min="2" max="2" width="77.5546875" style="97" bestFit="1" customWidth="1"/>
    <col min="3" max="3" width="14.109375" style="93" customWidth="1"/>
    <col min="4" max="5" width="10.33203125" style="93" customWidth="1"/>
    <col min="6" max="7" width="12.44140625" style="93" customWidth="1"/>
    <col min="8" max="9" width="9.44140625" style="93" customWidth="1"/>
    <col min="10" max="10" width="15.5546875" style="93" customWidth="1"/>
    <col min="11" max="11" width="11.33203125" style="93" bestFit="1" customWidth="1"/>
    <col min="12" max="13" width="12" style="93" customWidth="1"/>
    <col min="14" max="14" width="12" style="93" bestFit="1" customWidth="1"/>
    <col min="15" max="15" width="12.5546875" style="93" customWidth="1"/>
    <col min="16" max="16" width="12" style="93" bestFit="1" customWidth="1"/>
    <col min="17" max="17" width="12" style="93" customWidth="1"/>
    <col min="18" max="18" width="12" style="93" bestFit="1" customWidth="1"/>
    <col min="19" max="19" width="10.33203125" style="93" bestFit="1" customWidth="1"/>
    <col min="20" max="20" width="10.33203125" style="93" customWidth="1"/>
    <col min="21" max="21" width="12" style="93" bestFit="1" customWidth="1"/>
    <col min="22" max="22" width="10.88671875" style="93" customWidth="1"/>
    <col min="23" max="23" width="12" style="93" bestFit="1" customWidth="1"/>
    <col min="24" max="25" width="12" style="93" customWidth="1"/>
    <col min="26" max="27" width="12" style="93" bestFit="1" customWidth="1"/>
    <col min="28" max="28" width="12" style="93" customWidth="1"/>
    <col min="29" max="29" width="13.109375" style="93" bestFit="1" customWidth="1"/>
    <col min="30" max="30" width="13.109375" style="93" customWidth="1"/>
    <col min="31" max="31" width="12" style="93" customWidth="1"/>
    <col min="32" max="32" width="12.5546875" style="93" customWidth="1"/>
    <col min="33" max="16384" width="10.6640625" style="96"/>
  </cols>
  <sheetData>
    <row r="1" spans="1:32" s="94" customFormat="1" ht="20.25" customHeight="1" x14ac:dyDescent="0.2">
      <c r="A1" s="1019" t="s">
        <v>1912</v>
      </c>
      <c r="B1" s="1020"/>
      <c r="C1" s="1005" t="s">
        <v>950</v>
      </c>
      <c r="D1" s="1007" t="s">
        <v>951</v>
      </c>
      <c r="E1" s="1003" t="s">
        <v>1902</v>
      </c>
      <c r="F1" s="1003" t="s">
        <v>952</v>
      </c>
      <c r="G1" s="1009" t="s">
        <v>1903</v>
      </c>
      <c r="H1" s="1003" t="s">
        <v>304</v>
      </c>
      <c r="I1" s="1009" t="s">
        <v>1904</v>
      </c>
      <c r="J1" s="1003" t="s">
        <v>1304</v>
      </c>
      <c r="K1" s="1003" t="s">
        <v>1893</v>
      </c>
      <c r="L1" s="1003" t="s">
        <v>1894</v>
      </c>
      <c r="M1" s="1015" t="s">
        <v>1908</v>
      </c>
      <c r="N1" s="1023" t="s">
        <v>1895</v>
      </c>
      <c r="O1" s="1017" t="s">
        <v>205</v>
      </c>
      <c r="P1" s="1003" t="s">
        <v>1906</v>
      </c>
      <c r="Q1" s="1011" t="s">
        <v>1905</v>
      </c>
      <c r="R1" s="1007" t="s">
        <v>2555</v>
      </c>
      <c r="S1" s="1003" t="s">
        <v>1896</v>
      </c>
      <c r="T1" s="1003" t="s">
        <v>1897</v>
      </c>
      <c r="U1" s="1003" t="s">
        <v>1898</v>
      </c>
      <c r="V1" s="1003" t="s">
        <v>1899</v>
      </c>
      <c r="W1" s="1003" t="s">
        <v>2792</v>
      </c>
      <c r="X1" s="1003" t="s">
        <v>2793</v>
      </c>
      <c r="Y1" s="1003" t="s">
        <v>1671</v>
      </c>
      <c r="Z1" s="1003" t="s">
        <v>1504</v>
      </c>
      <c r="AA1" s="1003" t="s">
        <v>1900</v>
      </c>
      <c r="AB1" s="1003" t="s">
        <v>1907</v>
      </c>
      <c r="AC1" s="1003" t="s">
        <v>1901</v>
      </c>
      <c r="AD1" s="1003" t="s">
        <v>1906</v>
      </c>
      <c r="AE1" s="1003" t="s">
        <v>1905</v>
      </c>
      <c r="AF1" s="1011" t="s">
        <v>1909</v>
      </c>
    </row>
    <row r="2" spans="1:32" ht="21.75" customHeight="1" thickBot="1" x14ac:dyDescent="0.25">
      <c r="A2" s="1021"/>
      <c r="B2" s="1022"/>
      <c r="C2" s="1006"/>
      <c r="D2" s="1008"/>
      <c r="E2" s="1004"/>
      <c r="F2" s="1004"/>
      <c r="G2" s="1010"/>
      <c r="H2" s="1004"/>
      <c r="I2" s="1010"/>
      <c r="J2" s="1004"/>
      <c r="K2" s="1004"/>
      <c r="L2" s="1004"/>
      <c r="M2" s="1016" t="s">
        <v>961</v>
      </c>
      <c r="N2" s="1024" t="s">
        <v>2643</v>
      </c>
      <c r="O2" s="1018"/>
      <c r="P2" s="1004" t="s">
        <v>953</v>
      </c>
      <c r="Q2" s="1012"/>
      <c r="R2" s="1008" t="s">
        <v>954</v>
      </c>
      <c r="S2" s="1004" t="s">
        <v>955</v>
      </c>
      <c r="T2" s="1004" t="s">
        <v>956</v>
      </c>
      <c r="U2" s="1004" t="s">
        <v>957</v>
      </c>
      <c r="V2" s="1004" t="s">
        <v>957</v>
      </c>
      <c r="W2" s="1004" t="s">
        <v>2394</v>
      </c>
      <c r="X2" s="1004" t="s">
        <v>2394</v>
      </c>
      <c r="Y2" s="1004" t="s">
        <v>2394</v>
      </c>
      <c r="Z2" s="1004" t="s">
        <v>958</v>
      </c>
      <c r="AA2" s="1004" t="s">
        <v>958</v>
      </c>
      <c r="AB2" s="1004" t="s">
        <v>961</v>
      </c>
      <c r="AC2" s="1004" t="s">
        <v>959</v>
      </c>
      <c r="AD2" s="1004" t="s">
        <v>960</v>
      </c>
      <c r="AE2" s="1004"/>
      <c r="AF2" s="1012" t="s">
        <v>962</v>
      </c>
    </row>
    <row r="3" spans="1:32" x14ac:dyDescent="0.2">
      <c r="A3" s="139" t="s">
        <v>1706</v>
      </c>
      <c r="B3" s="140"/>
      <c r="C3" s="266">
        <f>SUM(D3:AE3)</f>
        <v>-1076</v>
      </c>
      <c r="D3" s="118">
        <f>'BS-SK format'!I13-E3</f>
        <v>0</v>
      </c>
      <c r="E3" s="119">
        <f>'BS-SK format'!I20+'BS-SK format'!I21</f>
        <v>0</v>
      </c>
      <c r="F3" s="119">
        <f>'BS-SK format'!I23-G3</f>
        <v>0</v>
      </c>
      <c r="G3" s="119">
        <f>'BS-SK format'!I30+'BS-SK format'!I31</f>
        <v>0</v>
      </c>
      <c r="H3" s="119">
        <f>'BS-SK format'!I34-I3</f>
        <v>0</v>
      </c>
      <c r="I3" s="119">
        <f>'BS-SK format'!I41+'BS-SK format'!I42</f>
        <v>0</v>
      </c>
      <c r="J3" s="119">
        <f>'BS-SK format'!I46</f>
        <v>0</v>
      </c>
      <c r="K3" s="119">
        <f>'BS-SK format'!I54</f>
        <v>0</v>
      </c>
      <c r="L3" s="119">
        <f>'BS-SK format'!I63-M3</f>
        <v>8541</v>
      </c>
      <c r="M3" s="255"/>
      <c r="N3" s="126">
        <f>'BS-SK format'!I74+'BS-SK format'!I75</f>
        <v>0</v>
      </c>
      <c r="O3" s="118">
        <f>'BS-SK format'!I76+'BS-SK format'!I77+'BS-SK format'!I78</f>
        <v>0</v>
      </c>
      <c r="P3" s="119">
        <f>'BS-SK format'!I80-Q3</f>
        <v>0</v>
      </c>
      <c r="Q3" s="257"/>
      <c r="R3" s="122">
        <f>-'BS-SK format'!G97</f>
        <v>-11618</v>
      </c>
      <c r="S3" s="119">
        <f>-'BS-SK format'!G103</f>
        <v>0</v>
      </c>
      <c r="T3" s="119">
        <f>-'BS-SK format'!G111</f>
        <v>0</v>
      </c>
      <c r="U3" s="123">
        <f>-'BS-SK format'!G116</f>
        <v>0</v>
      </c>
      <c r="V3" s="123">
        <f>-'BS-SK format'!G120</f>
        <v>2001</v>
      </c>
      <c r="W3" s="123">
        <f>-'BS-SK format'!G125</f>
        <v>0</v>
      </c>
      <c r="X3" s="123">
        <f>-'BS-SK format'!G127</f>
        <v>0</v>
      </c>
      <c r="Y3" s="123">
        <f>-'BS-SK format'!G128</f>
        <v>0</v>
      </c>
      <c r="Z3" s="119">
        <f>-'BS-SK format'!G130</f>
        <v>0</v>
      </c>
      <c r="AA3" s="119">
        <f>-'BS-SK format'!G143-AB3</f>
        <v>0</v>
      </c>
      <c r="AB3" s="119"/>
      <c r="AC3" s="119">
        <f>-'BS-SK format'!G157</f>
        <v>0</v>
      </c>
      <c r="AD3" s="119">
        <f>-'BS-SK format'!G161-AE3</f>
        <v>0</v>
      </c>
      <c r="AE3" s="257"/>
      <c r="AF3" s="113"/>
    </row>
    <row r="4" spans="1:32" ht="10.8" thickBot="1" x14ac:dyDescent="0.25">
      <c r="A4" s="141" t="s">
        <v>1707</v>
      </c>
      <c r="B4" s="142"/>
      <c r="C4" s="267">
        <f>SUM(D4:AE4)</f>
        <v>0</v>
      </c>
      <c r="D4" s="120">
        <f>'BS-SK format'!H13-E4</f>
        <v>0</v>
      </c>
      <c r="E4" s="121">
        <f>'BS-SK format'!H20+'BS-SK format'!H21</f>
        <v>0</v>
      </c>
      <c r="F4" s="121">
        <f>'BS-SK format'!H23-G4</f>
        <v>0</v>
      </c>
      <c r="G4" s="121">
        <f>'BS-SK format'!H30+'BS-SK format'!H31</f>
        <v>0</v>
      </c>
      <c r="H4" s="121">
        <f>'BS-SK format'!H34-I4</f>
        <v>0</v>
      </c>
      <c r="I4" s="121">
        <f>'BS-SK format'!H41+'BS-SK format'!H42</f>
        <v>0</v>
      </c>
      <c r="J4" s="121">
        <f>'BS-SK format'!H46</f>
        <v>0</v>
      </c>
      <c r="K4" s="121">
        <f>'BS-SK format'!H54</f>
        <v>0</v>
      </c>
      <c r="L4" s="121">
        <f>'BS-SK format'!H63-M4</f>
        <v>9070.5</v>
      </c>
      <c r="M4" s="256"/>
      <c r="N4" s="127">
        <f>'BS-SK format'!H74+'BS-SK format'!H75</f>
        <v>16.509999999999991</v>
      </c>
      <c r="O4" s="120">
        <f>'BS-SK format'!H76+'BS-SK format'!H77+'BS-SK format'!H78</f>
        <v>0</v>
      </c>
      <c r="P4" s="121">
        <f>'BS-SK format'!H80-Q4</f>
        <v>0</v>
      </c>
      <c r="Q4" s="258"/>
      <c r="R4" s="124">
        <f>-'BS-SK format'!F97</f>
        <v>-11618</v>
      </c>
      <c r="S4" s="121">
        <f>-'BS-SK format'!F103</f>
        <v>0</v>
      </c>
      <c r="T4" s="121">
        <f>-'BS-SK format'!F111</f>
        <v>0</v>
      </c>
      <c r="U4" s="121">
        <f>-'BS-SK format'!F116</f>
        <v>9769.3700000000008</v>
      </c>
      <c r="V4" s="121">
        <f>-'BS-SK format'!F120</f>
        <v>1388.659999999998</v>
      </c>
      <c r="W4" s="121">
        <f>-'BS-SK format'!F125</f>
        <v>0</v>
      </c>
      <c r="X4" s="121">
        <f>-'BS-SK format'!F127</f>
        <v>0</v>
      </c>
      <c r="Y4" s="121">
        <f>-'BS-SK format'!F128</f>
        <v>0</v>
      </c>
      <c r="Z4" s="121">
        <f>-'BS-SK format'!F130</f>
        <v>0</v>
      </c>
      <c r="AA4" s="121">
        <f>-'BS-SK format'!F143-AB4</f>
        <v>-8627.0399999999991</v>
      </c>
      <c r="AB4" s="121"/>
      <c r="AC4" s="121">
        <f>-'BS-SK format'!F157</f>
        <v>0</v>
      </c>
      <c r="AD4" s="121">
        <f>-'BS-SK format'!F161-AE4</f>
        <v>0</v>
      </c>
      <c r="AE4" s="258"/>
      <c r="AF4" s="113"/>
    </row>
    <row r="5" spans="1:32" ht="10.8" thickBot="1" x14ac:dyDescent="0.25">
      <c r="C5" s="112"/>
    </row>
    <row r="6" spans="1:32" ht="13.5" customHeight="1" thickBot="1" x14ac:dyDescent="0.25">
      <c r="A6" s="1013" t="s">
        <v>1708</v>
      </c>
      <c r="B6" s="1014"/>
      <c r="C6" s="114">
        <f>SUM(D6:AE6)</f>
        <v>1076</v>
      </c>
      <c r="D6" s="115">
        <f t="shared" ref="D6:AE6" si="0">(D4-D3)</f>
        <v>0</v>
      </c>
      <c r="E6" s="116">
        <f t="shared" si="0"/>
        <v>0</v>
      </c>
      <c r="F6" s="116">
        <f t="shared" si="0"/>
        <v>0</v>
      </c>
      <c r="G6" s="116">
        <f t="shared" si="0"/>
        <v>0</v>
      </c>
      <c r="H6" s="116">
        <f t="shared" si="0"/>
        <v>0</v>
      </c>
      <c r="I6" s="116">
        <f t="shared" si="0"/>
        <v>0</v>
      </c>
      <c r="J6" s="116">
        <f t="shared" si="0"/>
        <v>0</v>
      </c>
      <c r="K6" s="116">
        <f t="shared" si="0"/>
        <v>0</v>
      </c>
      <c r="L6" s="116">
        <f t="shared" si="0"/>
        <v>529.5</v>
      </c>
      <c r="M6" s="116">
        <f t="shared" si="0"/>
        <v>0</v>
      </c>
      <c r="N6" s="132">
        <f t="shared" si="0"/>
        <v>16.509999999999991</v>
      </c>
      <c r="O6" s="115">
        <f t="shared" si="0"/>
        <v>0</v>
      </c>
      <c r="P6" s="116">
        <f t="shared" si="0"/>
        <v>0</v>
      </c>
      <c r="Q6" s="117">
        <f t="shared" si="0"/>
        <v>0</v>
      </c>
      <c r="R6" s="115">
        <f t="shared" si="0"/>
        <v>0</v>
      </c>
      <c r="S6" s="116">
        <f t="shared" si="0"/>
        <v>0</v>
      </c>
      <c r="T6" s="116">
        <f t="shared" si="0"/>
        <v>0</v>
      </c>
      <c r="U6" s="116">
        <f t="shared" si="0"/>
        <v>9769.3700000000008</v>
      </c>
      <c r="V6" s="116">
        <f t="shared" si="0"/>
        <v>-612.34000000000196</v>
      </c>
      <c r="W6" s="116">
        <f>(W4-W3)</f>
        <v>0</v>
      </c>
      <c r="X6" s="116">
        <f>(X4-X3)</f>
        <v>0</v>
      </c>
      <c r="Y6" s="116">
        <f>(Y4-Y3)</f>
        <v>0</v>
      </c>
      <c r="Z6" s="116">
        <f t="shared" si="0"/>
        <v>0</v>
      </c>
      <c r="AA6" s="116">
        <f t="shared" si="0"/>
        <v>-8627.0399999999991</v>
      </c>
      <c r="AB6" s="116">
        <f t="shared" si="0"/>
        <v>0</v>
      </c>
      <c r="AC6" s="116">
        <f t="shared" si="0"/>
        <v>0</v>
      </c>
      <c r="AD6" s="116">
        <f t="shared" si="0"/>
        <v>0</v>
      </c>
      <c r="AE6" s="116">
        <f t="shared" si="0"/>
        <v>0</v>
      </c>
      <c r="AF6" s="113"/>
    </row>
    <row r="7" spans="1:32" ht="10.8" thickBot="1" x14ac:dyDescent="0.25">
      <c r="A7" s="99"/>
      <c r="B7" s="111"/>
      <c r="C7" s="113"/>
    </row>
    <row r="8" spans="1:32" ht="10.8" thickBot="1" x14ac:dyDescent="0.25">
      <c r="A8" s="99"/>
      <c r="C8" s="131" t="s">
        <v>1911</v>
      </c>
      <c r="D8" s="129" t="e">
        <f>IF(D123&lt;&gt;0,"WRONG","OK")</f>
        <v>#REF!</v>
      </c>
      <c r="E8" s="125" t="e">
        <f>IF(E123&lt;&gt;0,"WRONG","OK")</f>
        <v>#REF!</v>
      </c>
      <c r="F8" s="125" t="e">
        <f>IF(F123&lt;&gt;0,"WRONG","OK")</f>
        <v>#REF!</v>
      </c>
      <c r="G8" s="125" t="e">
        <f t="shared" ref="G8:AE8" si="1">IF(G123&lt;&gt;0,"WRONG","OK")</f>
        <v>#REF!</v>
      </c>
      <c r="H8" s="125" t="e">
        <f t="shared" si="1"/>
        <v>#REF!</v>
      </c>
      <c r="I8" s="125" t="str">
        <f t="shared" si="1"/>
        <v>OK</v>
      </c>
      <c r="J8" s="125" t="str">
        <f t="shared" si="1"/>
        <v>OK</v>
      </c>
      <c r="K8" s="125" t="str">
        <f t="shared" si="1"/>
        <v>OK</v>
      </c>
      <c r="L8" s="125" t="str">
        <f t="shared" si="1"/>
        <v>OK</v>
      </c>
      <c r="M8" s="128" t="str">
        <f t="shared" si="1"/>
        <v>OK</v>
      </c>
      <c r="N8" s="130" t="str">
        <f t="shared" si="1"/>
        <v>OK</v>
      </c>
      <c r="O8" s="129" t="str">
        <f t="shared" si="1"/>
        <v>OK</v>
      </c>
      <c r="P8" s="125" t="str">
        <f t="shared" si="1"/>
        <v>OK</v>
      </c>
      <c r="Q8" s="125" t="str">
        <f t="shared" si="1"/>
        <v>OK</v>
      </c>
      <c r="R8" s="125" t="str">
        <f t="shared" si="1"/>
        <v>OK</v>
      </c>
      <c r="S8" s="125" t="str">
        <f t="shared" si="1"/>
        <v>OK</v>
      </c>
      <c r="T8" s="125" t="str">
        <f t="shared" si="1"/>
        <v>OK</v>
      </c>
      <c r="U8" s="125" t="str">
        <f t="shared" si="1"/>
        <v>OK</v>
      </c>
      <c r="V8" s="125" t="str">
        <f t="shared" si="1"/>
        <v>OK</v>
      </c>
      <c r="W8" s="125" t="str">
        <f>IF(W123&lt;&gt;0,"WRONG","OK")</f>
        <v>OK</v>
      </c>
      <c r="X8" s="125" t="e">
        <f>IF(X123&lt;&gt;0,"WRONG","OK")</f>
        <v>#REF!</v>
      </c>
      <c r="Y8" s="125" t="str">
        <f>IF(Y123&lt;&gt;0,"WRONG","OK")</f>
        <v>OK</v>
      </c>
      <c r="Z8" s="125" t="str">
        <f t="shared" si="1"/>
        <v>OK</v>
      </c>
      <c r="AA8" s="125" t="str">
        <f t="shared" si="1"/>
        <v>OK</v>
      </c>
      <c r="AB8" s="125" t="str">
        <f t="shared" si="1"/>
        <v>OK</v>
      </c>
      <c r="AC8" s="125" t="str">
        <f t="shared" si="1"/>
        <v>OK</v>
      </c>
      <c r="AD8" s="125" t="str">
        <f t="shared" si="1"/>
        <v>OK</v>
      </c>
      <c r="AE8" s="125" t="str">
        <f t="shared" si="1"/>
        <v>OK</v>
      </c>
    </row>
    <row r="9" spans="1:32" ht="10.8" thickBot="1" x14ac:dyDescent="0.25">
      <c r="A9" s="98"/>
      <c r="B9" s="111"/>
      <c r="C9" s="113"/>
    </row>
    <row r="10" spans="1:32" x14ac:dyDescent="0.2">
      <c r="A10" s="190" t="s">
        <v>1709</v>
      </c>
      <c r="B10" s="191" t="s">
        <v>1910</v>
      </c>
      <c r="C10" s="192">
        <f>SUM(D10:AE10)+AF10</f>
        <v>0</v>
      </c>
      <c r="D10" s="193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5"/>
    </row>
    <row r="11" spans="1:32" s="100" customFormat="1" ht="13.5" customHeight="1" thickBot="1" x14ac:dyDescent="0.25">
      <c r="A11" s="196" t="s">
        <v>1710</v>
      </c>
      <c r="B11" s="197" t="s">
        <v>1711</v>
      </c>
      <c r="C11" s="198">
        <f>SUM(D11:AE11)+AF11</f>
        <v>-9157.0299999999988</v>
      </c>
      <c r="D11" s="199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>
        <f>-T6</f>
        <v>0</v>
      </c>
      <c r="U11" s="200">
        <f>-U6</f>
        <v>-9769.3700000000008</v>
      </c>
      <c r="V11" s="200">
        <f>-V6</f>
        <v>612.34000000000196</v>
      </c>
      <c r="W11" s="200"/>
      <c r="X11" s="200"/>
      <c r="Y11" s="200"/>
      <c r="Z11" s="200"/>
      <c r="AA11" s="200"/>
      <c r="AB11" s="200"/>
      <c r="AC11" s="200"/>
      <c r="AD11" s="200"/>
      <c r="AE11" s="200"/>
      <c r="AF11" s="201">
        <f>-'IS-SK format'!G78</f>
        <v>0</v>
      </c>
    </row>
    <row r="12" spans="1:32" hidden="1" outlineLevel="1" x14ac:dyDescent="0.2">
      <c r="A12" s="143" t="s">
        <v>2227</v>
      </c>
      <c r="B12" s="175" t="s">
        <v>2228</v>
      </c>
      <c r="C12" s="148">
        <f t="shared" ref="C12:C24" si="2">SUM(D12:AE12)</f>
        <v>0</v>
      </c>
      <c r="D12" s="149"/>
      <c r="E12" s="188"/>
      <c r="F12" s="150">
        <f>'kontrola LD'!G457-D12</f>
        <v>0</v>
      </c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263"/>
    </row>
    <row r="13" spans="1:32" hidden="1" outlineLevel="1" x14ac:dyDescent="0.2">
      <c r="A13" s="143" t="s">
        <v>2229</v>
      </c>
      <c r="B13" s="175" t="s">
        <v>2584</v>
      </c>
      <c r="C13" s="148">
        <f t="shared" si="2"/>
        <v>0</v>
      </c>
      <c r="D13" s="150">
        <f>'ADJ of CF'!D9</f>
        <v>0</v>
      </c>
      <c r="E13" s="188"/>
      <c r="F13" s="150">
        <f>'ADJ of CF'!E10</f>
        <v>0</v>
      </c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263"/>
    </row>
    <row r="14" spans="1:32" s="100" customFormat="1" hidden="1" outlineLevel="1" x14ac:dyDescent="0.2">
      <c r="A14" s="143" t="s">
        <v>2230</v>
      </c>
      <c r="B14" s="175" t="s">
        <v>2786</v>
      </c>
      <c r="C14" s="148">
        <f t="shared" si="2"/>
        <v>0</v>
      </c>
      <c r="D14" s="188"/>
      <c r="E14" s="188"/>
      <c r="F14" s="150">
        <f>'ADJ of CF'!C18</f>
        <v>0</v>
      </c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263"/>
    </row>
    <row r="15" spans="1:32" hidden="1" outlineLevel="1" x14ac:dyDescent="0.2">
      <c r="A15" s="143" t="s">
        <v>2231</v>
      </c>
      <c r="B15" s="175" t="s">
        <v>2789</v>
      </c>
      <c r="C15" s="148">
        <f t="shared" si="2"/>
        <v>0</v>
      </c>
      <c r="D15" s="188"/>
      <c r="E15" s="188"/>
      <c r="F15" s="188"/>
      <c r="G15" s="188"/>
      <c r="H15" s="188"/>
      <c r="I15" s="188"/>
      <c r="J15" s="188"/>
      <c r="K15" s="149"/>
      <c r="L15" s="150">
        <f>'kontrola LD'!G451-K15</f>
        <v>0</v>
      </c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263"/>
    </row>
    <row r="16" spans="1:32" hidden="1" outlineLevel="1" x14ac:dyDescent="0.2">
      <c r="A16" s="143" t="s">
        <v>2232</v>
      </c>
      <c r="B16" s="176" t="s">
        <v>2233</v>
      </c>
      <c r="C16" s="148" t="e">
        <f t="shared" si="2"/>
        <v>#REF!</v>
      </c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50">
        <f>-W6</f>
        <v>0</v>
      </c>
      <c r="X16" s="150" t="e">
        <f>'ADJ of CF'!D28</f>
        <v>#REF!</v>
      </c>
      <c r="Y16" s="150">
        <f>-Y6</f>
        <v>0</v>
      </c>
      <c r="Z16" s="188"/>
      <c r="AA16" s="188"/>
      <c r="AB16" s="188"/>
      <c r="AC16" s="188"/>
      <c r="AD16" s="188"/>
      <c r="AE16" s="188"/>
      <c r="AF16" s="264" t="e">
        <f>'ADJ of CF'!D26-'ADJ of CF'!D27</f>
        <v>#REF!</v>
      </c>
    </row>
    <row r="17" spans="1:73" ht="30.6" hidden="1" outlineLevel="1" x14ac:dyDescent="0.2">
      <c r="A17" s="143" t="s">
        <v>2234</v>
      </c>
      <c r="B17" s="176" t="s">
        <v>2795</v>
      </c>
      <c r="C17" s="148">
        <f t="shared" si="2"/>
        <v>0</v>
      </c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9">
        <f>-P6</f>
        <v>0</v>
      </c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263"/>
    </row>
    <row r="18" spans="1:73" hidden="1" outlineLevel="1" x14ac:dyDescent="0.2">
      <c r="A18" s="143" t="s">
        <v>2235</v>
      </c>
      <c r="B18" s="176" t="s">
        <v>292</v>
      </c>
      <c r="C18" s="148">
        <f t="shared" si="2"/>
        <v>0</v>
      </c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263"/>
    </row>
    <row r="19" spans="1:73" ht="30.6" hidden="1" outlineLevel="1" x14ac:dyDescent="0.2">
      <c r="A19" s="143" t="s">
        <v>2236</v>
      </c>
      <c r="B19" s="176" t="s">
        <v>1672</v>
      </c>
      <c r="C19" s="148">
        <f t="shared" si="2"/>
        <v>0</v>
      </c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50">
        <f>-AD6</f>
        <v>0</v>
      </c>
      <c r="AE19" s="188"/>
      <c r="AF19" s="263"/>
    </row>
    <row r="20" spans="1:73" hidden="1" outlineLevel="1" x14ac:dyDescent="0.2">
      <c r="A20" s="143" t="s">
        <v>2237</v>
      </c>
      <c r="B20" s="176" t="s">
        <v>1673</v>
      </c>
      <c r="C20" s="148">
        <f t="shared" si="2"/>
        <v>0</v>
      </c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263"/>
    </row>
    <row r="21" spans="1:73" hidden="1" outlineLevel="1" x14ac:dyDescent="0.2">
      <c r="A21" s="143" t="s">
        <v>2238</v>
      </c>
      <c r="B21" s="176" t="s">
        <v>2239</v>
      </c>
      <c r="C21" s="148" t="e">
        <f t="shared" si="2"/>
        <v>#REF!</v>
      </c>
      <c r="D21" s="150" t="e">
        <f>-SUM('kontrola LD'!G70:G75)+SUM(#REF!)</f>
        <v>#REF!</v>
      </c>
      <c r="E21" s="150" t="e">
        <f>-SUM('kontrola LD'!G83,'kontrola LD'!G86)+SUM(#REF!,#REF!)</f>
        <v>#REF!</v>
      </c>
      <c r="F21" s="150" t="e">
        <f>-SUM('kontrola LD'!G77:G82)+SUM(#REF!)</f>
        <v>#REF!</v>
      </c>
      <c r="G21" s="150" t="e">
        <f>-SUM('kontrola LD'!G84,'kontrola LD'!G87)+SUM(#REF!,#REF!)</f>
        <v>#REF!</v>
      </c>
      <c r="H21" s="150" t="e">
        <f>-SUM('kontrola LD'!G90:G98)+SUM(#REF!)</f>
        <v>#REF!</v>
      </c>
      <c r="I21" s="150">
        <f>-'kontrola LD'!G99</f>
        <v>0</v>
      </c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263"/>
    </row>
    <row r="22" spans="1:73" hidden="1" outlineLevel="1" x14ac:dyDescent="0.2">
      <c r="A22" s="143" t="s">
        <v>2240</v>
      </c>
      <c r="B22" s="176" t="s">
        <v>2241</v>
      </c>
      <c r="C22" s="148">
        <f t="shared" si="2"/>
        <v>0</v>
      </c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50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263"/>
    </row>
    <row r="23" spans="1:73" hidden="1" outlineLevel="1" x14ac:dyDescent="0.2">
      <c r="A23" s="143" t="s">
        <v>2242</v>
      </c>
      <c r="B23" s="176" t="s">
        <v>2243</v>
      </c>
      <c r="C23" s="148">
        <f t="shared" si="2"/>
        <v>0</v>
      </c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263"/>
    </row>
    <row r="24" spans="1:73" ht="20.399999999999999" hidden="1" outlineLevel="1" x14ac:dyDescent="0.2">
      <c r="A24" s="143" t="s">
        <v>2244</v>
      </c>
      <c r="B24" s="176" t="s">
        <v>67</v>
      </c>
      <c r="C24" s="148">
        <f t="shared" si="2"/>
        <v>0</v>
      </c>
      <c r="D24" s="247">
        <f>-E24</f>
        <v>0</v>
      </c>
      <c r="E24" s="247">
        <f>-E6-E65</f>
        <v>0</v>
      </c>
      <c r="F24" s="247">
        <f>-G24</f>
        <v>0</v>
      </c>
      <c r="G24" s="247">
        <f>-G6-G64</f>
        <v>0</v>
      </c>
      <c r="H24" s="188"/>
      <c r="I24" s="188"/>
      <c r="J24" s="149"/>
      <c r="K24" s="188"/>
      <c r="L24" s="149"/>
      <c r="M24" s="188"/>
      <c r="N24" s="149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50">
        <f>-AC6-AC91-AC90</f>
        <v>0</v>
      </c>
      <c r="AD24" s="188"/>
      <c r="AE24" s="188"/>
      <c r="AF24" s="263"/>
    </row>
    <row r="25" spans="1:73" ht="20.399999999999999" collapsed="1" x14ac:dyDescent="0.2">
      <c r="A25" s="136" t="s">
        <v>1712</v>
      </c>
      <c r="B25" s="177" t="s">
        <v>2226</v>
      </c>
      <c r="C25" s="133" t="e">
        <f t="shared" ref="C25:AF25" si="3">SUM(C12:C24)</f>
        <v>#REF!</v>
      </c>
      <c r="D25" s="134" t="e">
        <f t="shared" si="3"/>
        <v>#REF!</v>
      </c>
      <c r="E25" s="135" t="e">
        <f t="shared" si="3"/>
        <v>#REF!</v>
      </c>
      <c r="F25" s="135" t="e">
        <f t="shared" si="3"/>
        <v>#REF!</v>
      </c>
      <c r="G25" s="135" t="e">
        <f t="shared" si="3"/>
        <v>#REF!</v>
      </c>
      <c r="H25" s="135" t="e">
        <f t="shared" si="3"/>
        <v>#REF!</v>
      </c>
      <c r="I25" s="135">
        <f t="shared" si="3"/>
        <v>0</v>
      </c>
      <c r="J25" s="135">
        <f t="shared" si="3"/>
        <v>0</v>
      </c>
      <c r="K25" s="135">
        <f t="shared" si="3"/>
        <v>0</v>
      </c>
      <c r="L25" s="135">
        <f t="shared" si="3"/>
        <v>0</v>
      </c>
      <c r="M25" s="135">
        <f t="shared" si="3"/>
        <v>0</v>
      </c>
      <c r="N25" s="135">
        <f t="shared" si="3"/>
        <v>0</v>
      </c>
      <c r="O25" s="135">
        <f t="shared" si="3"/>
        <v>0</v>
      </c>
      <c r="P25" s="135">
        <f t="shared" si="3"/>
        <v>0</v>
      </c>
      <c r="Q25" s="135">
        <f t="shared" si="3"/>
        <v>0</v>
      </c>
      <c r="R25" s="135">
        <f t="shared" si="3"/>
        <v>0</v>
      </c>
      <c r="S25" s="135">
        <f t="shared" si="3"/>
        <v>0</v>
      </c>
      <c r="T25" s="135">
        <f t="shared" si="3"/>
        <v>0</v>
      </c>
      <c r="U25" s="135">
        <f t="shared" si="3"/>
        <v>0</v>
      </c>
      <c r="V25" s="135">
        <f t="shared" si="3"/>
        <v>0</v>
      </c>
      <c r="W25" s="135">
        <f t="shared" si="3"/>
        <v>0</v>
      </c>
      <c r="X25" s="135" t="e">
        <f t="shared" si="3"/>
        <v>#REF!</v>
      </c>
      <c r="Y25" s="135">
        <f t="shared" si="3"/>
        <v>0</v>
      </c>
      <c r="Z25" s="135">
        <f t="shared" si="3"/>
        <v>0</v>
      </c>
      <c r="AA25" s="135">
        <f t="shared" si="3"/>
        <v>0</v>
      </c>
      <c r="AB25" s="135">
        <f t="shared" si="3"/>
        <v>0</v>
      </c>
      <c r="AC25" s="135">
        <f t="shared" si="3"/>
        <v>0</v>
      </c>
      <c r="AD25" s="135">
        <f t="shared" si="3"/>
        <v>0</v>
      </c>
      <c r="AE25" s="135">
        <f t="shared" si="3"/>
        <v>0</v>
      </c>
      <c r="AF25" s="152" t="e">
        <f t="shared" si="3"/>
        <v>#REF!</v>
      </c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</row>
    <row r="26" spans="1:73" hidden="1" outlineLevel="1" x14ac:dyDescent="0.2">
      <c r="A26" s="183" t="s">
        <v>2247</v>
      </c>
      <c r="B26" s="7" t="s">
        <v>2248</v>
      </c>
      <c r="C26" s="148">
        <f t="shared" ref="C26:C32" si="4">SUM(D26:AE26)</f>
        <v>-529.5</v>
      </c>
      <c r="D26" s="188"/>
      <c r="E26" s="188"/>
      <c r="F26" s="188"/>
      <c r="G26" s="188"/>
      <c r="H26" s="188"/>
      <c r="I26" s="188"/>
      <c r="J26" s="188"/>
      <c r="K26" s="150">
        <f>-K24-K27-K6</f>
        <v>0</v>
      </c>
      <c r="L26" s="150">
        <f>-L24-L27-L6</f>
        <v>-529.5</v>
      </c>
      <c r="M26" s="247">
        <f>-M6</f>
        <v>0</v>
      </c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263"/>
    </row>
    <row r="27" spans="1:73" hidden="1" outlineLevel="1" x14ac:dyDescent="0.2">
      <c r="A27" s="183" t="s">
        <v>2249</v>
      </c>
      <c r="B27" s="7" t="s">
        <v>69</v>
      </c>
      <c r="C27" s="148">
        <f t="shared" si="4"/>
        <v>0</v>
      </c>
      <c r="D27" s="188"/>
      <c r="E27" s="188"/>
      <c r="F27" s="188"/>
      <c r="G27" s="188"/>
      <c r="H27" s="188"/>
      <c r="I27" s="188"/>
      <c r="J27" s="188"/>
      <c r="K27" s="149"/>
      <c r="L27" s="149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263"/>
    </row>
    <row r="28" spans="1:73" hidden="1" outlineLevel="1" x14ac:dyDescent="0.2">
      <c r="A28" s="183" t="s">
        <v>2250</v>
      </c>
      <c r="B28" s="7" t="s">
        <v>2251</v>
      </c>
      <c r="C28" s="148">
        <f t="shared" si="4"/>
        <v>8627.0399999999991</v>
      </c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13">
        <f>-Z29-Z64-Z65-Z6</f>
        <v>0</v>
      </c>
      <c r="AA28" s="113">
        <f>-AA29-AA64-AA65-AA6</f>
        <v>8627.0399999999991</v>
      </c>
      <c r="AB28" s="113">
        <f>-AB41-AB6</f>
        <v>0</v>
      </c>
      <c r="AC28" s="188"/>
      <c r="AD28" s="188"/>
      <c r="AE28" s="188"/>
      <c r="AF28" s="263"/>
    </row>
    <row r="29" spans="1:73" hidden="1" outlineLevel="1" x14ac:dyDescent="0.2">
      <c r="A29" s="183" t="s">
        <v>2252</v>
      </c>
      <c r="B29" s="7" t="s">
        <v>68</v>
      </c>
      <c r="C29" s="148">
        <f t="shared" si="4"/>
        <v>0</v>
      </c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49"/>
      <c r="AA29" s="149"/>
      <c r="AB29" s="188"/>
      <c r="AC29" s="188"/>
      <c r="AD29" s="188"/>
      <c r="AE29" s="188"/>
      <c r="AF29" s="263"/>
    </row>
    <row r="30" spans="1:73" ht="12.75" hidden="1" customHeight="1" outlineLevel="1" x14ac:dyDescent="0.2">
      <c r="A30" s="183" t="s">
        <v>2253</v>
      </c>
      <c r="B30" s="7" t="s">
        <v>2254</v>
      </c>
      <c r="C30" s="148">
        <f t="shared" si="4"/>
        <v>0</v>
      </c>
      <c r="D30" s="188"/>
      <c r="E30" s="188"/>
      <c r="F30" s="188"/>
      <c r="G30" s="188"/>
      <c r="H30" s="188"/>
      <c r="I30" s="188"/>
      <c r="J30" s="150">
        <f>-(J6+J24)</f>
        <v>0</v>
      </c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263"/>
    </row>
    <row r="31" spans="1:73" ht="12.75" hidden="1" customHeight="1" outlineLevel="1" x14ac:dyDescent="0.2">
      <c r="A31" s="183" t="s">
        <v>515</v>
      </c>
      <c r="B31" s="7" t="s">
        <v>70</v>
      </c>
      <c r="C31" s="148">
        <f t="shared" si="4"/>
        <v>0</v>
      </c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50">
        <f>-O6-O32</f>
        <v>0</v>
      </c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263"/>
    </row>
    <row r="32" spans="1:73" ht="12.75" hidden="1" customHeight="1" outlineLevel="1" x14ac:dyDescent="0.2">
      <c r="A32" s="183" t="s">
        <v>516</v>
      </c>
      <c r="B32" s="7" t="s">
        <v>71</v>
      </c>
      <c r="C32" s="148">
        <f t="shared" si="4"/>
        <v>0</v>
      </c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49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263"/>
    </row>
    <row r="33" spans="1:41" collapsed="1" x14ac:dyDescent="0.2">
      <c r="A33" s="136" t="s">
        <v>2245</v>
      </c>
      <c r="B33" s="177" t="s">
        <v>2246</v>
      </c>
      <c r="C33" s="133">
        <f>SUM(C26:C31)</f>
        <v>8097.5399999999991</v>
      </c>
      <c r="D33" s="134">
        <f>SUM(D26:D32)</f>
        <v>0</v>
      </c>
      <c r="E33" s="134">
        <f t="shared" ref="E33:AF33" si="5">SUM(E26:E32)</f>
        <v>0</v>
      </c>
      <c r="F33" s="134">
        <f t="shared" si="5"/>
        <v>0</v>
      </c>
      <c r="G33" s="134">
        <f t="shared" si="5"/>
        <v>0</v>
      </c>
      <c r="H33" s="134">
        <f t="shared" si="5"/>
        <v>0</v>
      </c>
      <c r="I33" s="134">
        <f t="shared" si="5"/>
        <v>0</v>
      </c>
      <c r="J33" s="134">
        <f t="shared" si="5"/>
        <v>0</v>
      </c>
      <c r="K33" s="134">
        <f t="shared" si="5"/>
        <v>0</v>
      </c>
      <c r="L33" s="134">
        <f t="shared" si="5"/>
        <v>-529.5</v>
      </c>
      <c r="M33" s="134">
        <f t="shared" si="5"/>
        <v>0</v>
      </c>
      <c r="N33" s="134">
        <f t="shared" si="5"/>
        <v>0</v>
      </c>
      <c r="O33" s="134">
        <f t="shared" si="5"/>
        <v>0</v>
      </c>
      <c r="P33" s="134">
        <f t="shared" si="5"/>
        <v>0</v>
      </c>
      <c r="Q33" s="134">
        <f t="shared" si="5"/>
        <v>0</v>
      </c>
      <c r="R33" s="134">
        <f t="shared" si="5"/>
        <v>0</v>
      </c>
      <c r="S33" s="134">
        <f t="shared" si="5"/>
        <v>0</v>
      </c>
      <c r="T33" s="134">
        <f t="shared" si="5"/>
        <v>0</v>
      </c>
      <c r="U33" s="134">
        <f t="shared" si="5"/>
        <v>0</v>
      </c>
      <c r="V33" s="134">
        <f t="shared" si="5"/>
        <v>0</v>
      </c>
      <c r="W33" s="134">
        <f t="shared" si="5"/>
        <v>0</v>
      </c>
      <c r="X33" s="134">
        <f t="shared" si="5"/>
        <v>0</v>
      </c>
      <c r="Y33" s="134">
        <f t="shared" si="5"/>
        <v>0</v>
      </c>
      <c r="Z33" s="134">
        <f t="shared" si="5"/>
        <v>0</v>
      </c>
      <c r="AA33" s="134">
        <f t="shared" si="5"/>
        <v>8627.0399999999991</v>
      </c>
      <c r="AB33" s="134">
        <f t="shared" si="5"/>
        <v>0</v>
      </c>
      <c r="AC33" s="134">
        <f t="shared" si="5"/>
        <v>0</v>
      </c>
      <c r="AD33" s="134">
        <f t="shared" si="5"/>
        <v>0</v>
      </c>
      <c r="AE33" s="134">
        <f t="shared" si="5"/>
        <v>0</v>
      </c>
      <c r="AF33" s="265">
        <f t="shared" si="5"/>
        <v>0</v>
      </c>
    </row>
    <row r="34" spans="1:41" x14ac:dyDescent="0.2">
      <c r="A34" s="136" t="s">
        <v>517</v>
      </c>
      <c r="B34" s="177" t="s">
        <v>518</v>
      </c>
      <c r="C34" s="133">
        <f>SUM(D34:AE34)</f>
        <v>0</v>
      </c>
      <c r="D34" s="134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52"/>
    </row>
    <row r="35" spans="1:41" x14ac:dyDescent="0.2">
      <c r="A35" s="136" t="s">
        <v>519</v>
      </c>
      <c r="B35" s="177" t="s">
        <v>2269</v>
      </c>
      <c r="C35" s="133">
        <f>SUM(D35:AE35)</f>
        <v>0</v>
      </c>
      <c r="D35" s="134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52"/>
    </row>
    <row r="36" spans="1:41" ht="20.399999999999999" x14ac:dyDescent="0.2">
      <c r="A36" s="137" t="s">
        <v>2270</v>
      </c>
      <c r="B36" s="178" t="s">
        <v>1434</v>
      </c>
      <c r="C36" s="153" t="e">
        <f t="shared" ref="C36:AF36" si="6">C35+C34+C33+C25+C11+C10</f>
        <v>#REF!</v>
      </c>
      <c r="D36" s="154" t="e">
        <f t="shared" si="6"/>
        <v>#REF!</v>
      </c>
      <c r="E36" s="155" t="e">
        <f t="shared" si="6"/>
        <v>#REF!</v>
      </c>
      <c r="F36" s="155" t="e">
        <f t="shared" si="6"/>
        <v>#REF!</v>
      </c>
      <c r="G36" s="155" t="e">
        <f t="shared" si="6"/>
        <v>#REF!</v>
      </c>
      <c r="H36" s="155" t="e">
        <f t="shared" si="6"/>
        <v>#REF!</v>
      </c>
      <c r="I36" s="155">
        <f t="shared" si="6"/>
        <v>0</v>
      </c>
      <c r="J36" s="155">
        <f t="shared" si="6"/>
        <v>0</v>
      </c>
      <c r="K36" s="155">
        <f t="shared" si="6"/>
        <v>0</v>
      </c>
      <c r="L36" s="155">
        <f t="shared" si="6"/>
        <v>-529.5</v>
      </c>
      <c r="M36" s="155">
        <f t="shared" si="6"/>
        <v>0</v>
      </c>
      <c r="N36" s="155">
        <f t="shared" si="6"/>
        <v>0</v>
      </c>
      <c r="O36" s="155">
        <f t="shared" si="6"/>
        <v>0</v>
      </c>
      <c r="P36" s="155">
        <f t="shared" si="6"/>
        <v>0</v>
      </c>
      <c r="Q36" s="155">
        <f t="shared" si="6"/>
        <v>0</v>
      </c>
      <c r="R36" s="155">
        <f t="shared" si="6"/>
        <v>0</v>
      </c>
      <c r="S36" s="155">
        <f t="shared" si="6"/>
        <v>0</v>
      </c>
      <c r="T36" s="155">
        <f t="shared" si="6"/>
        <v>0</v>
      </c>
      <c r="U36" s="155">
        <f t="shared" si="6"/>
        <v>-9769.3700000000008</v>
      </c>
      <c r="V36" s="155">
        <f t="shared" si="6"/>
        <v>612.34000000000196</v>
      </c>
      <c r="W36" s="155">
        <f t="shared" si="6"/>
        <v>0</v>
      </c>
      <c r="X36" s="155" t="e">
        <f t="shared" si="6"/>
        <v>#REF!</v>
      </c>
      <c r="Y36" s="155">
        <f t="shared" si="6"/>
        <v>0</v>
      </c>
      <c r="Z36" s="155">
        <f t="shared" si="6"/>
        <v>0</v>
      </c>
      <c r="AA36" s="155">
        <f t="shared" si="6"/>
        <v>8627.0399999999991</v>
      </c>
      <c r="AB36" s="155">
        <f t="shared" si="6"/>
        <v>0</v>
      </c>
      <c r="AC36" s="155">
        <f t="shared" si="6"/>
        <v>0</v>
      </c>
      <c r="AD36" s="155">
        <f t="shared" si="6"/>
        <v>0</v>
      </c>
      <c r="AE36" s="155">
        <f t="shared" si="6"/>
        <v>0</v>
      </c>
      <c r="AF36" s="156" t="e">
        <f t="shared" si="6"/>
        <v>#REF!</v>
      </c>
    </row>
    <row r="37" spans="1:41" hidden="1" outlineLevel="1" x14ac:dyDescent="0.2">
      <c r="A37" s="183" t="s">
        <v>2273</v>
      </c>
      <c r="B37" s="7" t="s">
        <v>2274</v>
      </c>
      <c r="C37" s="148">
        <f>SUM(D37:AE37)</f>
        <v>0</v>
      </c>
      <c r="D37" s="254"/>
      <c r="E37" s="188"/>
      <c r="F37" s="150">
        <f>-'kontrola LD'!G509-'kontrola LD'!G446-D37</f>
        <v>0</v>
      </c>
      <c r="G37" s="188"/>
      <c r="H37" s="260">
        <f>-'kontrola LD'!G521-'kontrola LD'!G463</f>
        <v>0</v>
      </c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263"/>
    </row>
    <row r="38" spans="1:41" hidden="1" outlineLevel="1" x14ac:dyDescent="0.2">
      <c r="A38" s="183" t="s">
        <v>2275</v>
      </c>
      <c r="B38" s="7" t="s">
        <v>1393</v>
      </c>
      <c r="C38" s="148">
        <f>SUM(D38:AE38)</f>
        <v>0</v>
      </c>
      <c r="D38" s="254"/>
      <c r="E38" s="188"/>
      <c r="F38" s="150">
        <f>-D38</f>
        <v>0</v>
      </c>
      <c r="G38" s="188"/>
      <c r="H38" s="254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263"/>
    </row>
    <row r="39" spans="1:41" hidden="1" outlineLevel="1" x14ac:dyDescent="0.2">
      <c r="A39" s="183" t="s">
        <v>2276</v>
      </c>
      <c r="B39" s="7" t="s">
        <v>2277</v>
      </c>
      <c r="C39" s="148">
        <f>SUM(D39:AE39)</f>
        <v>0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7"/>
      <c r="Q39" s="151"/>
      <c r="R39" s="151"/>
      <c r="S39" s="151"/>
      <c r="T39" s="151"/>
      <c r="U39" s="151"/>
      <c r="V39" s="151"/>
      <c r="W39" s="151"/>
      <c r="X39" s="151"/>
      <c r="Y39" s="151"/>
      <c r="Z39" s="247"/>
      <c r="AA39" s="247"/>
      <c r="AB39" s="261"/>
      <c r="AC39" s="247"/>
      <c r="AD39" s="261"/>
      <c r="AE39" s="261"/>
      <c r="AF39" s="262"/>
    </row>
    <row r="40" spans="1:41" ht="20.399999999999999" collapsed="1" x14ac:dyDescent="0.2">
      <c r="A40" s="136" t="s">
        <v>2271</v>
      </c>
      <c r="B40" s="177" t="s">
        <v>2272</v>
      </c>
      <c r="C40" s="133">
        <f t="shared" ref="C40:AF40" si="7">SUM(C37:C39)</f>
        <v>0</v>
      </c>
      <c r="D40" s="134">
        <f t="shared" si="7"/>
        <v>0</v>
      </c>
      <c r="E40" s="135">
        <f t="shared" si="7"/>
        <v>0</v>
      </c>
      <c r="F40" s="135">
        <f t="shared" si="7"/>
        <v>0</v>
      </c>
      <c r="G40" s="135">
        <f t="shared" si="7"/>
        <v>0</v>
      </c>
      <c r="H40" s="135">
        <f t="shared" si="7"/>
        <v>0</v>
      </c>
      <c r="I40" s="135">
        <f t="shared" si="7"/>
        <v>0</v>
      </c>
      <c r="J40" s="135">
        <f t="shared" si="7"/>
        <v>0</v>
      </c>
      <c r="K40" s="135">
        <f t="shared" si="7"/>
        <v>0</v>
      </c>
      <c r="L40" s="135">
        <f t="shared" si="7"/>
        <v>0</v>
      </c>
      <c r="M40" s="135">
        <f t="shared" si="7"/>
        <v>0</v>
      </c>
      <c r="N40" s="135">
        <f t="shared" si="7"/>
        <v>0</v>
      </c>
      <c r="O40" s="135">
        <f t="shared" si="7"/>
        <v>0</v>
      </c>
      <c r="P40" s="135">
        <f t="shared" si="7"/>
        <v>0</v>
      </c>
      <c r="Q40" s="135">
        <f t="shared" si="7"/>
        <v>0</v>
      </c>
      <c r="R40" s="135">
        <f t="shared" si="7"/>
        <v>0</v>
      </c>
      <c r="S40" s="135">
        <f t="shared" si="7"/>
        <v>0</v>
      </c>
      <c r="T40" s="135">
        <f t="shared" si="7"/>
        <v>0</v>
      </c>
      <c r="U40" s="135">
        <f t="shared" si="7"/>
        <v>0</v>
      </c>
      <c r="V40" s="135">
        <f t="shared" si="7"/>
        <v>0</v>
      </c>
      <c r="W40" s="135">
        <f t="shared" si="7"/>
        <v>0</v>
      </c>
      <c r="X40" s="135">
        <f t="shared" si="7"/>
        <v>0</v>
      </c>
      <c r="Y40" s="135">
        <f t="shared" si="7"/>
        <v>0</v>
      </c>
      <c r="Z40" s="135">
        <f t="shared" si="7"/>
        <v>0</v>
      </c>
      <c r="AA40" s="135">
        <f t="shared" si="7"/>
        <v>0</v>
      </c>
      <c r="AB40" s="135">
        <f t="shared" si="7"/>
        <v>0</v>
      </c>
      <c r="AC40" s="135">
        <f t="shared" si="7"/>
        <v>0</v>
      </c>
      <c r="AD40" s="135">
        <f t="shared" si="7"/>
        <v>0</v>
      </c>
      <c r="AE40" s="135">
        <f t="shared" si="7"/>
        <v>0</v>
      </c>
      <c r="AF40" s="152">
        <f t="shared" si="7"/>
        <v>0</v>
      </c>
      <c r="AG40" s="101"/>
      <c r="AH40" s="101"/>
      <c r="AI40" s="101"/>
      <c r="AJ40" s="101"/>
      <c r="AK40" s="101"/>
      <c r="AL40" s="101"/>
      <c r="AM40" s="101"/>
      <c r="AN40" s="101"/>
      <c r="AO40" s="101"/>
    </row>
    <row r="41" spans="1:41" ht="20.399999999999999" hidden="1" outlineLevel="1" x14ac:dyDescent="0.2">
      <c r="A41" s="184" t="s">
        <v>721</v>
      </c>
      <c r="B41" s="103" t="s">
        <v>722</v>
      </c>
      <c r="C41" s="148">
        <f>SUM(D41:AE41)</f>
        <v>0</v>
      </c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49"/>
      <c r="AC41" s="188"/>
      <c r="AD41" s="188"/>
      <c r="AE41" s="188"/>
      <c r="AF41" s="263"/>
    </row>
    <row r="42" spans="1:41" ht="20.399999999999999" hidden="1" outlineLevel="1" x14ac:dyDescent="0.2">
      <c r="A42" s="184" t="s">
        <v>723</v>
      </c>
      <c r="B42" s="103" t="s">
        <v>724</v>
      </c>
      <c r="C42" s="148">
        <f>SUM(D42:AE42)</f>
        <v>0</v>
      </c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247"/>
      <c r="AC42" s="188"/>
      <c r="AD42" s="188"/>
      <c r="AE42" s="188"/>
      <c r="AF42" s="263"/>
    </row>
    <row r="43" spans="1:41" hidden="1" outlineLevel="1" x14ac:dyDescent="0.2">
      <c r="A43" s="183" t="s">
        <v>725</v>
      </c>
      <c r="B43" s="7" t="s">
        <v>726</v>
      </c>
      <c r="C43" s="148">
        <f>SUM(D43:AF43)</f>
        <v>0</v>
      </c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64"/>
    </row>
    <row r="44" spans="1:41" hidden="1" outlineLevel="1" x14ac:dyDescent="0.2">
      <c r="A44" s="183" t="s">
        <v>727</v>
      </c>
      <c r="B44" s="7" t="s">
        <v>1426</v>
      </c>
      <c r="C44" s="148">
        <f t="shared" ref="C44:C52" si="8">SUM(D44:AE44)</f>
        <v>0</v>
      </c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64"/>
    </row>
    <row r="45" spans="1:41" hidden="1" outlineLevel="1" x14ac:dyDescent="0.2">
      <c r="A45" s="183" t="s">
        <v>1427</v>
      </c>
      <c r="B45" s="7" t="s">
        <v>1428</v>
      </c>
      <c r="C45" s="148">
        <f t="shared" si="8"/>
        <v>0</v>
      </c>
      <c r="D45" s="247"/>
      <c r="E45" s="188"/>
      <c r="F45" s="247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263"/>
    </row>
    <row r="46" spans="1:41" hidden="1" outlineLevel="1" x14ac:dyDescent="0.2">
      <c r="A46" s="183" t="s">
        <v>1429</v>
      </c>
      <c r="B46" s="7" t="s">
        <v>2736</v>
      </c>
      <c r="C46" s="148">
        <f t="shared" si="8"/>
        <v>0</v>
      </c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263"/>
    </row>
    <row r="47" spans="1:41" ht="20.399999999999999" hidden="1" outlineLevel="1" x14ac:dyDescent="0.2">
      <c r="A47" s="184" t="s">
        <v>2737</v>
      </c>
      <c r="B47" s="103" t="s">
        <v>2681</v>
      </c>
      <c r="C47" s="148">
        <f t="shared" si="8"/>
        <v>0</v>
      </c>
      <c r="D47" s="188"/>
      <c r="E47" s="188"/>
      <c r="F47" s="188"/>
      <c r="G47" s="188"/>
      <c r="H47" s="247"/>
      <c r="I47" s="247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263"/>
    </row>
    <row r="48" spans="1:41" hidden="1" outlineLevel="1" x14ac:dyDescent="0.2">
      <c r="A48" s="185" t="s">
        <v>2682</v>
      </c>
      <c r="B48" s="103" t="s">
        <v>166</v>
      </c>
      <c r="C48" s="148">
        <f t="shared" si="8"/>
        <v>0</v>
      </c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247"/>
      <c r="AD48" s="188"/>
      <c r="AE48" s="188"/>
      <c r="AF48" s="263"/>
    </row>
    <row r="49" spans="1:47" hidden="1" outlineLevel="1" x14ac:dyDescent="0.2">
      <c r="A49" s="185" t="s">
        <v>167</v>
      </c>
      <c r="B49" s="103" t="s">
        <v>1394</v>
      </c>
      <c r="C49" s="148">
        <f t="shared" si="8"/>
        <v>0</v>
      </c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247"/>
      <c r="AD49" s="188"/>
      <c r="AE49" s="188"/>
      <c r="AF49" s="263"/>
    </row>
    <row r="50" spans="1:47" hidden="1" outlineLevel="1" x14ac:dyDescent="0.2">
      <c r="A50" s="186" t="s">
        <v>168</v>
      </c>
      <c r="B50" s="7" t="s">
        <v>1265</v>
      </c>
      <c r="C50" s="148">
        <f t="shared" si="8"/>
        <v>0</v>
      </c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247"/>
      <c r="AD50" s="188"/>
      <c r="AE50" s="188"/>
      <c r="AF50" s="263"/>
    </row>
    <row r="51" spans="1:47" hidden="1" outlineLevel="1" x14ac:dyDescent="0.2">
      <c r="A51" s="186" t="s">
        <v>1266</v>
      </c>
      <c r="B51" s="7" t="s">
        <v>1394</v>
      </c>
      <c r="C51" s="148">
        <f t="shared" si="8"/>
        <v>0</v>
      </c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247"/>
      <c r="AD51" s="188"/>
      <c r="AE51" s="188"/>
      <c r="AF51" s="263"/>
    </row>
    <row r="52" spans="1:47" hidden="1" outlineLevel="1" x14ac:dyDescent="0.2">
      <c r="A52" s="183" t="s">
        <v>1267</v>
      </c>
      <c r="B52" s="7" t="s">
        <v>2723</v>
      </c>
      <c r="C52" s="148">
        <f t="shared" si="8"/>
        <v>0</v>
      </c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64"/>
    </row>
    <row r="53" spans="1:47" collapsed="1" x14ac:dyDescent="0.2">
      <c r="A53" s="136" t="s">
        <v>2278</v>
      </c>
      <c r="B53" s="177" t="s">
        <v>2279</v>
      </c>
      <c r="C53" s="133">
        <f t="shared" ref="C53:AF53" si="9">SUM(C41:C52)</f>
        <v>0</v>
      </c>
      <c r="D53" s="134">
        <f t="shared" si="9"/>
        <v>0</v>
      </c>
      <c r="E53" s="135">
        <f t="shared" si="9"/>
        <v>0</v>
      </c>
      <c r="F53" s="135">
        <f t="shared" si="9"/>
        <v>0</v>
      </c>
      <c r="G53" s="135">
        <f t="shared" si="9"/>
        <v>0</v>
      </c>
      <c r="H53" s="135">
        <f t="shared" si="9"/>
        <v>0</v>
      </c>
      <c r="I53" s="135">
        <f t="shared" si="9"/>
        <v>0</v>
      </c>
      <c r="J53" s="135">
        <f t="shared" si="9"/>
        <v>0</v>
      </c>
      <c r="K53" s="135">
        <f t="shared" si="9"/>
        <v>0</v>
      </c>
      <c r="L53" s="135">
        <f t="shared" si="9"/>
        <v>0</v>
      </c>
      <c r="M53" s="135">
        <f t="shared" si="9"/>
        <v>0</v>
      </c>
      <c r="N53" s="135">
        <f t="shared" si="9"/>
        <v>0</v>
      </c>
      <c r="O53" s="135">
        <f t="shared" si="9"/>
        <v>0</v>
      </c>
      <c r="P53" s="135">
        <f t="shared" si="9"/>
        <v>0</v>
      </c>
      <c r="Q53" s="135">
        <f t="shared" si="9"/>
        <v>0</v>
      </c>
      <c r="R53" s="135">
        <f t="shared" si="9"/>
        <v>0</v>
      </c>
      <c r="S53" s="135">
        <f t="shared" si="9"/>
        <v>0</v>
      </c>
      <c r="T53" s="135">
        <f t="shared" si="9"/>
        <v>0</v>
      </c>
      <c r="U53" s="135">
        <f t="shared" si="9"/>
        <v>0</v>
      </c>
      <c r="V53" s="135">
        <f t="shared" si="9"/>
        <v>0</v>
      </c>
      <c r="W53" s="135">
        <f t="shared" si="9"/>
        <v>0</v>
      </c>
      <c r="X53" s="135">
        <f t="shared" si="9"/>
        <v>0</v>
      </c>
      <c r="Y53" s="135">
        <f t="shared" si="9"/>
        <v>0</v>
      </c>
      <c r="Z53" s="135">
        <f t="shared" si="9"/>
        <v>0</v>
      </c>
      <c r="AA53" s="135">
        <f t="shared" si="9"/>
        <v>0</v>
      </c>
      <c r="AB53" s="135">
        <f t="shared" si="9"/>
        <v>0</v>
      </c>
      <c r="AC53" s="135">
        <f t="shared" si="9"/>
        <v>0</v>
      </c>
      <c r="AD53" s="135">
        <f t="shared" si="9"/>
        <v>0</v>
      </c>
      <c r="AE53" s="135">
        <f t="shared" si="9"/>
        <v>0</v>
      </c>
      <c r="AF53" s="152">
        <f t="shared" si="9"/>
        <v>0</v>
      </c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</row>
    <row r="54" spans="1:47" ht="20.399999999999999" x14ac:dyDescent="0.2">
      <c r="A54" s="137" t="s">
        <v>2724</v>
      </c>
      <c r="B54" s="178" t="s">
        <v>2725</v>
      </c>
      <c r="C54" s="153" t="e">
        <f t="shared" ref="C54:AF54" si="10">C40+C36+C53</f>
        <v>#REF!</v>
      </c>
      <c r="D54" s="154" t="e">
        <f t="shared" si="10"/>
        <v>#REF!</v>
      </c>
      <c r="E54" s="155" t="e">
        <f t="shared" si="10"/>
        <v>#REF!</v>
      </c>
      <c r="F54" s="155" t="e">
        <f t="shared" si="10"/>
        <v>#REF!</v>
      </c>
      <c r="G54" s="155" t="e">
        <f t="shared" si="10"/>
        <v>#REF!</v>
      </c>
      <c r="H54" s="155" t="e">
        <f t="shared" si="10"/>
        <v>#REF!</v>
      </c>
      <c r="I54" s="155">
        <f t="shared" si="10"/>
        <v>0</v>
      </c>
      <c r="J54" s="155">
        <f t="shared" si="10"/>
        <v>0</v>
      </c>
      <c r="K54" s="155">
        <f t="shared" si="10"/>
        <v>0</v>
      </c>
      <c r="L54" s="155">
        <f t="shared" si="10"/>
        <v>-529.5</v>
      </c>
      <c r="M54" s="155">
        <f t="shared" si="10"/>
        <v>0</v>
      </c>
      <c r="N54" s="155">
        <f t="shared" si="10"/>
        <v>0</v>
      </c>
      <c r="O54" s="155">
        <f t="shared" si="10"/>
        <v>0</v>
      </c>
      <c r="P54" s="155">
        <f t="shared" si="10"/>
        <v>0</v>
      </c>
      <c r="Q54" s="155">
        <f t="shared" si="10"/>
        <v>0</v>
      </c>
      <c r="R54" s="155">
        <f t="shared" si="10"/>
        <v>0</v>
      </c>
      <c r="S54" s="155">
        <f t="shared" si="10"/>
        <v>0</v>
      </c>
      <c r="T54" s="155">
        <f t="shared" si="10"/>
        <v>0</v>
      </c>
      <c r="U54" s="155">
        <f t="shared" si="10"/>
        <v>-9769.3700000000008</v>
      </c>
      <c r="V54" s="155">
        <f t="shared" si="10"/>
        <v>612.34000000000196</v>
      </c>
      <c r="W54" s="155">
        <f t="shared" si="10"/>
        <v>0</v>
      </c>
      <c r="X54" s="155" t="e">
        <f t="shared" si="10"/>
        <v>#REF!</v>
      </c>
      <c r="Y54" s="155">
        <f t="shared" si="10"/>
        <v>0</v>
      </c>
      <c r="Z54" s="155">
        <f t="shared" si="10"/>
        <v>0</v>
      </c>
      <c r="AA54" s="155">
        <f t="shared" si="10"/>
        <v>8627.0399999999991</v>
      </c>
      <c r="AB54" s="155">
        <f t="shared" si="10"/>
        <v>0</v>
      </c>
      <c r="AC54" s="155">
        <f t="shared" si="10"/>
        <v>0</v>
      </c>
      <c r="AD54" s="155">
        <f t="shared" si="10"/>
        <v>0</v>
      </c>
      <c r="AE54" s="155">
        <f t="shared" si="10"/>
        <v>0</v>
      </c>
      <c r="AF54" s="156" t="e">
        <f t="shared" si="10"/>
        <v>#REF!</v>
      </c>
    </row>
    <row r="55" spans="1:47" hidden="1" outlineLevel="1" x14ac:dyDescent="0.2">
      <c r="A55" s="183" t="s">
        <v>2728</v>
      </c>
      <c r="B55" s="7" t="s">
        <v>2729</v>
      </c>
      <c r="C55" s="148">
        <f>SUM(D55:AE55)</f>
        <v>0</v>
      </c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50">
        <f>-Q6-Q35</f>
        <v>0</v>
      </c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263"/>
    </row>
    <row r="56" spans="1:47" hidden="1" outlineLevel="1" x14ac:dyDescent="0.2">
      <c r="A56" s="183" t="s">
        <v>2730</v>
      </c>
      <c r="B56" s="7" t="s">
        <v>2731</v>
      </c>
      <c r="C56" s="148">
        <f>SUM(D56:AE56)</f>
        <v>0</v>
      </c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50">
        <f>-AE6-AE54</f>
        <v>0</v>
      </c>
      <c r="AF56" s="263"/>
    </row>
    <row r="57" spans="1:47" hidden="1" outlineLevel="1" x14ac:dyDescent="0.2">
      <c r="A57" s="183" t="s">
        <v>2732</v>
      </c>
      <c r="B57" s="7" t="s">
        <v>201</v>
      </c>
      <c r="C57" s="148">
        <f>SUM(D57:AE57)</f>
        <v>0</v>
      </c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263"/>
    </row>
    <row r="58" spans="1:47" hidden="1" outlineLevel="1" x14ac:dyDescent="0.2">
      <c r="A58" s="183" t="s">
        <v>2733</v>
      </c>
      <c r="B58" s="7" t="s">
        <v>2734</v>
      </c>
      <c r="C58" s="148">
        <f>SUM(D58:AE58)</f>
        <v>0</v>
      </c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263"/>
    </row>
    <row r="59" spans="1:47" collapsed="1" x14ac:dyDescent="0.2">
      <c r="A59" s="136" t="s">
        <v>2726</v>
      </c>
      <c r="B59" s="177" t="s">
        <v>2727</v>
      </c>
      <c r="C59" s="133">
        <f t="shared" ref="C59:AF59" si="11">SUM(C55:C58)</f>
        <v>0</v>
      </c>
      <c r="D59" s="134">
        <f t="shared" si="11"/>
        <v>0</v>
      </c>
      <c r="E59" s="135">
        <f t="shared" si="11"/>
        <v>0</v>
      </c>
      <c r="F59" s="135">
        <f t="shared" si="11"/>
        <v>0</v>
      </c>
      <c r="G59" s="135">
        <f t="shared" si="11"/>
        <v>0</v>
      </c>
      <c r="H59" s="135">
        <f t="shared" si="11"/>
        <v>0</v>
      </c>
      <c r="I59" s="135">
        <f t="shared" si="11"/>
        <v>0</v>
      </c>
      <c r="J59" s="135">
        <f t="shared" si="11"/>
        <v>0</v>
      </c>
      <c r="K59" s="135">
        <f t="shared" si="11"/>
        <v>0</v>
      </c>
      <c r="L59" s="135">
        <f t="shared" si="11"/>
        <v>0</v>
      </c>
      <c r="M59" s="135">
        <f t="shared" si="11"/>
        <v>0</v>
      </c>
      <c r="N59" s="135">
        <f t="shared" si="11"/>
        <v>0</v>
      </c>
      <c r="O59" s="135">
        <f t="shared" si="11"/>
        <v>0</v>
      </c>
      <c r="P59" s="135">
        <f t="shared" si="11"/>
        <v>0</v>
      </c>
      <c r="Q59" s="135">
        <f t="shared" si="11"/>
        <v>0</v>
      </c>
      <c r="R59" s="135">
        <f t="shared" si="11"/>
        <v>0</v>
      </c>
      <c r="S59" s="135">
        <f t="shared" si="11"/>
        <v>0</v>
      </c>
      <c r="T59" s="135">
        <f t="shared" si="11"/>
        <v>0</v>
      </c>
      <c r="U59" s="135">
        <f t="shared" si="11"/>
        <v>0</v>
      </c>
      <c r="V59" s="135">
        <f t="shared" si="11"/>
        <v>0</v>
      </c>
      <c r="W59" s="135">
        <f t="shared" si="11"/>
        <v>0</v>
      </c>
      <c r="X59" s="135">
        <f t="shared" si="11"/>
        <v>0</v>
      </c>
      <c r="Y59" s="135">
        <f t="shared" si="11"/>
        <v>0</v>
      </c>
      <c r="Z59" s="135">
        <f t="shared" si="11"/>
        <v>0</v>
      </c>
      <c r="AA59" s="135">
        <f t="shared" si="11"/>
        <v>0</v>
      </c>
      <c r="AB59" s="135">
        <f t="shared" si="11"/>
        <v>0</v>
      </c>
      <c r="AC59" s="135">
        <f t="shared" si="11"/>
        <v>0</v>
      </c>
      <c r="AD59" s="135">
        <f t="shared" si="11"/>
        <v>0</v>
      </c>
      <c r="AE59" s="135">
        <f t="shared" si="11"/>
        <v>0</v>
      </c>
      <c r="AF59" s="152">
        <f t="shared" si="11"/>
        <v>0</v>
      </c>
    </row>
    <row r="60" spans="1:47" s="100" customFormat="1" ht="20.399999999999999" x14ac:dyDescent="0.2">
      <c r="A60" s="136" t="s">
        <v>2735</v>
      </c>
      <c r="B60" s="177" t="s">
        <v>2532</v>
      </c>
      <c r="C60" s="133">
        <f>SUM(D60:AE60)</f>
        <v>0</v>
      </c>
      <c r="D60" s="134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52"/>
    </row>
    <row r="61" spans="1:47" hidden="1" outlineLevel="1" x14ac:dyDescent="0.2">
      <c r="A61" s="187" t="s">
        <v>721</v>
      </c>
      <c r="B61" s="99" t="s">
        <v>885</v>
      </c>
      <c r="C61" s="148">
        <f>C41</f>
        <v>0</v>
      </c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247"/>
      <c r="AC61" s="188"/>
      <c r="AD61" s="188"/>
      <c r="AE61" s="188"/>
      <c r="AF61" s="263"/>
    </row>
    <row r="62" spans="1:47" ht="10.8" collapsed="1" thickBot="1" x14ac:dyDescent="0.25">
      <c r="A62" s="144" t="s">
        <v>2533</v>
      </c>
      <c r="B62" s="179" t="s">
        <v>2279</v>
      </c>
      <c r="C62" s="158">
        <f>SUM(D62:AE62)</f>
        <v>0</v>
      </c>
      <c r="D62" s="159">
        <f t="shared" ref="D62:AF62" si="12">D61</f>
        <v>0</v>
      </c>
      <c r="E62" s="160">
        <f t="shared" si="12"/>
        <v>0</v>
      </c>
      <c r="F62" s="160">
        <f t="shared" si="12"/>
        <v>0</v>
      </c>
      <c r="G62" s="160">
        <f t="shared" si="12"/>
        <v>0</v>
      </c>
      <c r="H62" s="160">
        <f t="shared" si="12"/>
        <v>0</v>
      </c>
      <c r="I62" s="160">
        <f t="shared" si="12"/>
        <v>0</v>
      </c>
      <c r="J62" s="160">
        <f t="shared" si="12"/>
        <v>0</v>
      </c>
      <c r="K62" s="160">
        <f t="shared" si="12"/>
        <v>0</v>
      </c>
      <c r="L62" s="160">
        <f t="shared" si="12"/>
        <v>0</v>
      </c>
      <c r="M62" s="160">
        <f t="shared" si="12"/>
        <v>0</v>
      </c>
      <c r="N62" s="160">
        <f t="shared" si="12"/>
        <v>0</v>
      </c>
      <c r="O62" s="160">
        <f t="shared" si="12"/>
        <v>0</v>
      </c>
      <c r="P62" s="160">
        <f t="shared" si="12"/>
        <v>0</v>
      </c>
      <c r="Q62" s="160">
        <f t="shared" si="12"/>
        <v>0</v>
      </c>
      <c r="R62" s="160">
        <f t="shared" si="12"/>
        <v>0</v>
      </c>
      <c r="S62" s="160">
        <f t="shared" si="12"/>
        <v>0</v>
      </c>
      <c r="T62" s="160">
        <f t="shared" si="12"/>
        <v>0</v>
      </c>
      <c r="U62" s="160">
        <f t="shared" si="12"/>
        <v>0</v>
      </c>
      <c r="V62" s="160">
        <f t="shared" si="12"/>
        <v>0</v>
      </c>
      <c r="W62" s="160">
        <f t="shared" si="12"/>
        <v>0</v>
      </c>
      <c r="X62" s="160">
        <f t="shared" si="12"/>
        <v>0</v>
      </c>
      <c r="Y62" s="160">
        <f t="shared" si="12"/>
        <v>0</v>
      </c>
      <c r="Z62" s="160">
        <f t="shared" si="12"/>
        <v>0</v>
      </c>
      <c r="AA62" s="160">
        <f t="shared" si="12"/>
        <v>0</v>
      </c>
      <c r="AB62" s="160">
        <f t="shared" si="12"/>
        <v>0</v>
      </c>
      <c r="AC62" s="160">
        <f t="shared" si="12"/>
        <v>0</v>
      </c>
      <c r="AD62" s="160">
        <f t="shared" si="12"/>
        <v>0</v>
      </c>
      <c r="AE62" s="160">
        <f t="shared" si="12"/>
        <v>0</v>
      </c>
      <c r="AF62" s="161">
        <f t="shared" si="12"/>
        <v>0</v>
      </c>
    </row>
    <row r="63" spans="1:47" ht="10.8" thickBot="1" x14ac:dyDescent="0.25">
      <c r="A63" s="145" t="s">
        <v>2659</v>
      </c>
      <c r="B63" s="180" t="s">
        <v>2660</v>
      </c>
      <c r="C63" s="162" t="e">
        <f t="shared" ref="C63:AF63" si="13">C54+C59+C60</f>
        <v>#REF!</v>
      </c>
      <c r="D63" s="163" t="e">
        <f t="shared" si="13"/>
        <v>#REF!</v>
      </c>
      <c r="E63" s="164" t="e">
        <f t="shared" si="13"/>
        <v>#REF!</v>
      </c>
      <c r="F63" s="164" t="e">
        <f t="shared" si="13"/>
        <v>#REF!</v>
      </c>
      <c r="G63" s="164" t="e">
        <f t="shared" si="13"/>
        <v>#REF!</v>
      </c>
      <c r="H63" s="164" t="e">
        <f t="shared" si="13"/>
        <v>#REF!</v>
      </c>
      <c r="I63" s="164">
        <f t="shared" si="13"/>
        <v>0</v>
      </c>
      <c r="J63" s="164">
        <f t="shared" si="13"/>
        <v>0</v>
      </c>
      <c r="K63" s="164">
        <f t="shared" si="13"/>
        <v>0</v>
      </c>
      <c r="L63" s="164">
        <f t="shared" si="13"/>
        <v>-529.5</v>
      </c>
      <c r="M63" s="164">
        <f t="shared" si="13"/>
        <v>0</v>
      </c>
      <c r="N63" s="164">
        <f t="shared" si="13"/>
        <v>0</v>
      </c>
      <c r="O63" s="164">
        <f t="shared" si="13"/>
        <v>0</v>
      </c>
      <c r="P63" s="164">
        <f t="shared" si="13"/>
        <v>0</v>
      </c>
      <c r="Q63" s="164">
        <f t="shared" si="13"/>
        <v>0</v>
      </c>
      <c r="R63" s="164">
        <f t="shared" si="13"/>
        <v>0</v>
      </c>
      <c r="S63" s="164">
        <f t="shared" si="13"/>
        <v>0</v>
      </c>
      <c r="T63" s="164">
        <f t="shared" si="13"/>
        <v>0</v>
      </c>
      <c r="U63" s="164">
        <f t="shared" si="13"/>
        <v>-9769.3700000000008</v>
      </c>
      <c r="V63" s="164">
        <f t="shared" si="13"/>
        <v>612.34000000000196</v>
      </c>
      <c r="W63" s="164">
        <f>W54+W59+W60</f>
        <v>0</v>
      </c>
      <c r="X63" s="164" t="e">
        <f>X54+X59+X60</f>
        <v>#REF!</v>
      </c>
      <c r="Y63" s="164">
        <f>Y54+Y59+Y60</f>
        <v>0</v>
      </c>
      <c r="Z63" s="164">
        <f t="shared" si="13"/>
        <v>0</v>
      </c>
      <c r="AA63" s="164">
        <f t="shared" si="13"/>
        <v>8627.0399999999991</v>
      </c>
      <c r="AB63" s="164">
        <f t="shared" si="13"/>
        <v>0</v>
      </c>
      <c r="AC63" s="164">
        <f t="shared" si="13"/>
        <v>0</v>
      </c>
      <c r="AD63" s="164">
        <f t="shared" si="13"/>
        <v>0</v>
      </c>
      <c r="AE63" s="164">
        <f t="shared" si="13"/>
        <v>0</v>
      </c>
      <c r="AF63" s="165" t="e">
        <f t="shared" si="13"/>
        <v>#REF!</v>
      </c>
    </row>
    <row r="64" spans="1:47" s="100" customFormat="1" hidden="1" outlineLevel="1" x14ac:dyDescent="0.2">
      <c r="A64" s="187" t="s">
        <v>2663</v>
      </c>
      <c r="B64" s="99" t="s">
        <v>2664</v>
      </c>
      <c r="C64" s="148">
        <f>SUM(D64:AE64)</f>
        <v>0</v>
      </c>
      <c r="D64" s="188"/>
      <c r="E64" s="188"/>
      <c r="F64" s="188"/>
      <c r="G64" s="149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263"/>
    </row>
    <row r="65" spans="1:54" hidden="1" outlineLevel="1" x14ac:dyDescent="0.2">
      <c r="A65" s="187" t="s">
        <v>2665</v>
      </c>
      <c r="B65" s="99" t="s">
        <v>2666</v>
      </c>
      <c r="C65" s="148">
        <f>SUM(D65:AE65)</f>
        <v>0</v>
      </c>
      <c r="D65" s="188"/>
      <c r="E65" s="149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263"/>
    </row>
    <row r="66" spans="1:54" collapsed="1" x14ac:dyDescent="0.2">
      <c r="A66" s="136" t="s">
        <v>2661</v>
      </c>
      <c r="B66" s="177" t="s">
        <v>2662</v>
      </c>
      <c r="C66" s="133">
        <f t="shared" ref="C66:AF66" si="14">SUM(C64+C65)</f>
        <v>0</v>
      </c>
      <c r="D66" s="134">
        <f t="shared" si="14"/>
        <v>0</v>
      </c>
      <c r="E66" s="134">
        <f t="shared" si="14"/>
        <v>0</v>
      </c>
      <c r="F66" s="135">
        <f t="shared" si="14"/>
        <v>0</v>
      </c>
      <c r="G66" s="135">
        <f t="shared" si="14"/>
        <v>0</v>
      </c>
      <c r="H66" s="135">
        <f t="shared" si="14"/>
        <v>0</v>
      </c>
      <c r="I66" s="135">
        <f t="shared" si="14"/>
        <v>0</v>
      </c>
      <c r="J66" s="135">
        <f t="shared" si="14"/>
        <v>0</v>
      </c>
      <c r="K66" s="135">
        <f t="shared" si="14"/>
        <v>0</v>
      </c>
      <c r="L66" s="135">
        <f t="shared" si="14"/>
        <v>0</v>
      </c>
      <c r="M66" s="135">
        <f t="shared" si="14"/>
        <v>0</v>
      </c>
      <c r="N66" s="135">
        <f t="shared" si="14"/>
        <v>0</v>
      </c>
      <c r="O66" s="135">
        <f t="shared" si="14"/>
        <v>0</v>
      </c>
      <c r="P66" s="135">
        <f t="shared" si="14"/>
        <v>0</v>
      </c>
      <c r="Q66" s="135">
        <f t="shared" si="14"/>
        <v>0</v>
      </c>
      <c r="R66" s="135">
        <f t="shared" si="14"/>
        <v>0</v>
      </c>
      <c r="S66" s="135">
        <f t="shared" si="14"/>
        <v>0</v>
      </c>
      <c r="T66" s="135">
        <f t="shared" si="14"/>
        <v>0</v>
      </c>
      <c r="U66" s="135">
        <f t="shared" si="14"/>
        <v>0</v>
      </c>
      <c r="V66" s="135">
        <f t="shared" si="14"/>
        <v>0</v>
      </c>
      <c r="W66" s="135">
        <f t="shared" si="14"/>
        <v>0</v>
      </c>
      <c r="X66" s="135">
        <f t="shared" si="14"/>
        <v>0</v>
      </c>
      <c r="Y66" s="135">
        <f t="shared" si="14"/>
        <v>0</v>
      </c>
      <c r="Z66" s="135">
        <f t="shared" si="14"/>
        <v>0</v>
      </c>
      <c r="AA66" s="135">
        <f t="shared" si="14"/>
        <v>0</v>
      </c>
      <c r="AB66" s="135">
        <f t="shared" si="14"/>
        <v>0</v>
      </c>
      <c r="AC66" s="135">
        <f t="shared" si="14"/>
        <v>0</v>
      </c>
      <c r="AD66" s="135">
        <f t="shared" si="14"/>
        <v>0</v>
      </c>
      <c r="AE66" s="135">
        <f t="shared" si="14"/>
        <v>0</v>
      </c>
      <c r="AF66" s="152">
        <f t="shared" si="14"/>
        <v>0</v>
      </c>
    </row>
    <row r="67" spans="1:54" hidden="1" outlineLevel="1" x14ac:dyDescent="0.2">
      <c r="A67" s="187" t="s">
        <v>2669</v>
      </c>
      <c r="B67" s="102" t="s">
        <v>2670</v>
      </c>
      <c r="C67" s="148">
        <f>SUM(D67:AE67)</f>
        <v>0</v>
      </c>
      <c r="D67" s="149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263"/>
    </row>
    <row r="68" spans="1:54" hidden="1" outlineLevel="1" x14ac:dyDescent="0.2">
      <c r="A68" s="183" t="s">
        <v>2671</v>
      </c>
      <c r="B68" s="7" t="s">
        <v>2839</v>
      </c>
      <c r="C68" s="148">
        <f>SUM(D68:AE68)</f>
        <v>0</v>
      </c>
      <c r="D68" s="188"/>
      <c r="E68" s="188"/>
      <c r="F68" s="150">
        <f>-'kontrola LD'!G509-D67</f>
        <v>0</v>
      </c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263"/>
    </row>
    <row r="69" spans="1:54" ht="20.399999999999999" hidden="1" outlineLevel="1" x14ac:dyDescent="0.2">
      <c r="A69" s="143" t="s">
        <v>2840</v>
      </c>
      <c r="B69" s="103" t="s">
        <v>1241</v>
      </c>
      <c r="C69" s="148">
        <f>SUM(D69:AE69)</f>
        <v>0</v>
      </c>
      <c r="D69" s="188"/>
      <c r="E69" s="188"/>
      <c r="F69" s="188"/>
      <c r="G69" s="188"/>
      <c r="H69" s="150">
        <f>-'kontrola LD'!G521</f>
        <v>0</v>
      </c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263"/>
    </row>
    <row r="70" spans="1:54" s="100" customFormat="1" collapsed="1" x14ac:dyDescent="0.2">
      <c r="A70" s="136" t="s">
        <v>2667</v>
      </c>
      <c r="B70" s="177" t="s">
        <v>2668</v>
      </c>
      <c r="C70" s="133">
        <f t="shared" ref="C70:AF70" si="15">SUM(C67:C69)</f>
        <v>0</v>
      </c>
      <c r="D70" s="134">
        <f t="shared" si="15"/>
        <v>0</v>
      </c>
      <c r="E70" s="135">
        <f t="shared" si="15"/>
        <v>0</v>
      </c>
      <c r="F70" s="135">
        <f t="shared" si="15"/>
        <v>0</v>
      </c>
      <c r="G70" s="135">
        <f t="shared" si="15"/>
        <v>0</v>
      </c>
      <c r="H70" s="135">
        <f>SUM(H67:H69)</f>
        <v>0</v>
      </c>
      <c r="I70" s="135">
        <f t="shared" si="15"/>
        <v>0</v>
      </c>
      <c r="J70" s="135">
        <f t="shared" si="15"/>
        <v>0</v>
      </c>
      <c r="K70" s="135">
        <f t="shared" si="15"/>
        <v>0</v>
      </c>
      <c r="L70" s="135">
        <f t="shared" si="15"/>
        <v>0</v>
      </c>
      <c r="M70" s="135">
        <f t="shared" si="15"/>
        <v>0</v>
      </c>
      <c r="N70" s="135">
        <f t="shared" si="15"/>
        <v>0</v>
      </c>
      <c r="O70" s="135">
        <f t="shared" si="15"/>
        <v>0</v>
      </c>
      <c r="P70" s="135">
        <f t="shared" si="15"/>
        <v>0</v>
      </c>
      <c r="Q70" s="135">
        <f t="shared" si="15"/>
        <v>0</v>
      </c>
      <c r="R70" s="135">
        <f t="shared" si="15"/>
        <v>0</v>
      </c>
      <c r="S70" s="135">
        <f t="shared" si="15"/>
        <v>0</v>
      </c>
      <c r="T70" s="135">
        <f t="shared" si="15"/>
        <v>0</v>
      </c>
      <c r="U70" s="135">
        <f t="shared" si="15"/>
        <v>0</v>
      </c>
      <c r="V70" s="135">
        <f t="shared" si="15"/>
        <v>0</v>
      </c>
      <c r="W70" s="135">
        <f t="shared" si="15"/>
        <v>0</v>
      </c>
      <c r="X70" s="135">
        <f t="shared" si="15"/>
        <v>0</v>
      </c>
      <c r="Y70" s="135">
        <f t="shared" si="15"/>
        <v>0</v>
      </c>
      <c r="Z70" s="135">
        <f t="shared" si="15"/>
        <v>0</v>
      </c>
      <c r="AA70" s="135">
        <f t="shared" si="15"/>
        <v>0</v>
      </c>
      <c r="AB70" s="135">
        <f t="shared" si="15"/>
        <v>0</v>
      </c>
      <c r="AC70" s="135">
        <f t="shared" si="15"/>
        <v>0</v>
      </c>
      <c r="AD70" s="135">
        <f t="shared" si="15"/>
        <v>0</v>
      </c>
      <c r="AE70" s="135">
        <f t="shared" si="15"/>
        <v>0</v>
      </c>
      <c r="AF70" s="152">
        <f t="shared" si="15"/>
        <v>0</v>
      </c>
      <c r="AG70" s="104"/>
      <c r="AH70" s="104"/>
      <c r="AI70" s="104"/>
      <c r="AJ70" s="104"/>
      <c r="AK70" s="104"/>
      <c r="AL70" s="104"/>
      <c r="AM70" s="104"/>
      <c r="AN70" s="104"/>
      <c r="AO70" s="104"/>
      <c r="AP70" s="104"/>
      <c r="AQ70" s="104"/>
      <c r="AR70" s="104"/>
      <c r="AS70" s="104"/>
      <c r="AT70" s="104"/>
      <c r="AU70" s="104"/>
      <c r="AV70" s="104"/>
      <c r="AW70" s="104"/>
      <c r="AX70" s="104"/>
      <c r="AY70" s="104"/>
      <c r="AZ70" s="104"/>
      <c r="BA70" s="104"/>
      <c r="BB70" s="104"/>
    </row>
    <row r="71" spans="1:54" hidden="1" outlineLevel="1" x14ac:dyDescent="0.2">
      <c r="A71" s="183" t="s">
        <v>1244</v>
      </c>
      <c r="B71" s="7" t="s">
        <v>1245</v>
      </c>
      <c r="C71" s="148">
        <f>SUM(D71:AE71)</f>
        <v>0</v>
      </c>
      <c r="D71" s="150"/>
      <c r="E71" s="166"/>
      <c r="F71" s="166"/>
      <c r="G71" s="166"/>
      <c r="H71" s="166"/>
      <c r="I71" s="166"/>
      <c r="J71" s="150"/>
      <c r="K71" s="150"/>
      <c r="L71" s="150"/>
      <c r="M71" s="166"/>
      <c r="N71" s="150"/>
      <c r="O71" s="150"/>
      <c r="P71" s="150"/>
      <c r="Q71" s="188"/>
      <c r="R71" s="150"/>
      <c r="S71" s="150"/>
      <c r="T71" s="150"/>
      <c r="U71" s="150"/>
      <c r="V71" s="150"/>
      <c r="W71" s="150"/>
      <c r="X71" s="150"/>
      <c r="Y71" s="150"/>
      <c r="Z71" s="188"/>
      <c r="AA71" s="188"/>
      <c r="AB71" s="188"/>
      <c r="AC71" s="188"/>
      <c r="AD71" s="188"/>
      <c r="AE71" s="188"/>
      <c r="AF71" s="263"/>
    </row>
    <row r="72" spans="1:54" hidden="1" outlineLevel="1" x14ac:dyDescent="0.2">
      <c r="A72" s="183" t="s">
        <v>1246</v>
      </c>
      <c r="B72" s="7" t="s">
        <v>1247</v>
      </c>
      <c r="C72" s="148">
        <f>SUM(D72:AE72)</f>
        <v>0</v>
      </c>
      <c r="D72" s="150"/>
      <c r="E72" s="166"/>
      <c r="F72" s="166"/>
      <c r="G72" s="166"/>
      <c r="H72" s="166"/>
      <c r="I72" s="166"/>
      <c r="J72" s="150"/>
      <c r="K72" s="150"/>
      <c r="L72" s="150"/>
      <c r="M72" s="166"/>
      <c r="N72" s="150"/>
      <c r="O72" s="150"/>
      <c r="P72" s="150"/>
      <c r="Q72" s="188"/>
      <c r="R72" s="150"/>
      <c r="S72" s="150"/>
      <c r="T72" s="150"/>
      <c r="U72" s="150"/>
      <c r="V72" s="150"/>
      <c r="W72" s="150"/>
      <c r="X72" s="150"/>
      <c r="Y72" s="150"/>
      <c r="Z72" s="188"/>
      <c r="AA72" s="188"/>
      <c r="AB72" s="188"/>
      <c r="AC72" s="188"/>
      <c r="AD72" s="188"/>
      <c r="AE72" s="188"/>
      <c r="AF72" s="263"/>
    </row>
    <row r="73" spans="1:54" s="106" customFormat="1" collapsed="1" x14ac:dyDescent="0.2">
      <c r="A73" s="136" t="s">
        <v>1242</v>
      </c>
      <c r="B73" s="177" t="s">
        <v>1243</v>
      </c>
      <c r="C73" s="133">
        <f t="shared" ref="C73:AF73" si="16">SUM(C71:C72)</f>
        <v>0</v>
      </c>
      <c r="D73" s="134">
        <f t="shared" si="16"/>
        <v>0</v>
      </c>
      <c r="E73" s="135">
        <f t="shared" si="16"/>
        <v>0</v>
      </c>
      <c r="F73" s="135">
        <f t="shared" si="16"/>
        <v>0</v>
      </c>
      <c r="G73" s="135">
        <f t="shared" si="16"/>
        <v>0</v>
      </c>
      <c r="H73" s="135">
        <f t="shared" si="16"/>
        <v>0</v>
      </c>
      <c r="I73" s="135">
        <f t="shared" si="16"/>
        <v>0</v>
      </c>
      <c r="J73" s="135">
        <f t="shared" si="16"/>
        <v>0</v>
      </c>
      <c r="K73" s="135">
        <f t="shared" si="16"/>
        <v>0</v>
      </c>
      <c r="L73" s="135">
        <f t="shared" si="16"/>
        <v>0</v>
      </c>
      <c r="M73" s="135">
        <f t="shared" si="16"/>
        <v>0</v>
      </c>
      <c r="N73" s="135">
        <f t="shared" si="16"/>
        <v>0</v>
      </c>
      <c r="O73" s="135">
        <f t="shared" si="16"/>
        <v>0</v>
      </c>
      <c r="P73" s="135">
        <f t="shared" si="16"/>
        <v>0</v>
      </c>
      <c r="Q73" s="135">
        <f t="shared" si="16"/>
        <v>0</v>
      </c>
      <c r="R73" s="135">
        <f t="shared" si="16"/>
        <v>0</v>
      </c>
      <c r="S73" s="135">
        <f t="shared" si="16"/>
        <v>0</v>
      </c>
      <c r="T73" s="135">
        <f t="shared" si="16"/>
        <v>0</v>
      </c>
      <c r="U73" s="135">
        <f t="shared" si="16"/>
        <v>0</v>
      </c>
      <c r="V73" s="135">
        <f t="shared" si="16"/>
        <v>0</v>
      </c>
      <c r="W73" s="135">
        <f t="shared" si="16"/>
        <v>0</v>
      </c>
      <c r="X73" s="135">
        <f t="shared" si="16"/>
        <v>0</v>
      </c>
      <c r="Y73" s="135">
        <f t="shared" si="16"/>
        <v>0</v>
      </c>
      <c r="Z73" s="135">
        <f t="shared" si="16"/>
        <v>0</v>
      </c>
      <c r="AA73" s="135">
        <f t="shared" si="16"/>
        <v>0</v>
      </c>
      <c r="AB73" s="135">
        <f t="shared" si="16"/>
        <v>0</v>
      </c>
      <c r="AC73" s="135">
        <f t="shared" si="16"/>
        <v>0</v>
      </c>
      <c r="AD73" s="135">
        <f t="shared" si="16"/>
        <v>0</v>
      </c>
      <c r="AE73" s="135">
        <f t="shared" si="16"/>
        <v>0</v>
      </c>
      <c r="AF73" s="152">
        <f t="shared" si="16"/>
        <v>0</v>
      </c>
      <c r="AG73" s="105"/>
      <c r="AH73" s="105"/>
      <c r="AI73" s="105"/>
      <c r="AJ73" s="105"/>
      <c r="AK73" s="105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5"/>
      <c r="AW73" s="105"/>
      <c r="AX73" s="105"/>
      <c r="AY73" s="105"/>
    </row>
    <row r="74" spans="1:54" hidden="1" outlineLevel="1" x14ac:dyDescent="0.2">
      <c r="A74" s="186" t="s">
        <v>1250</v>
      </c>
      <c r="B74" s="7" t="s">
        <v>1251</v>
      </c>
      <c r="C74" s="148">
        <f>SUM(D74:AE74)</f>
        <v>0</v>
      </c>
      <c r="D74" s="150"/>
      <c r="E74" s="166"/>
      <c r="F74" s="166"/>
      <c r="G74" s="166"/>
      <c r="H74" s="166"/>
      <c r="I74" s="166"/>
      <c r="J74" s="150"/>
      <c r="K74" s="150"/>
      <c r="L74" s="150"/>
      <c r="M74" s="166"/>
      <c r="N74" s="150"/>
      <c r="O74" s="150"/>
      <c r="P74" s="150"/>
      <c r="Q74" s="188"/>
      <c r="R74" s="150"/>
      <c r="S74" s="150"/>
      <c r="T74" s="150"/>
      <c r="U74" s="150"/>
      <c r="V74" s="150"/>
      <c r="W74" s="150"/>
      <c r="X74" s="150"/>
      <c r="Y74" s="150"/>
      <c r="Z74" s="188"/>
      <c r="AA74" s="188"/>
      <c r="AB74" s="188"/>
      <c r="AC74" s="188"/>
      <c r="AD74" s="188"/>
      <c r="AE74" s="188"/>
      <c r="AF74" s="263"/>
    </row>
    <row r="75" spans="1:54" hidden="1" outlineLevel="1" x14ac:dyDescent="0.2">
      <c r="A75" s="186" t="s">
        <v>1252</v>
      </c>
      <c r="B75" s="7" t="s">
        <v>1253</v>
      </c>
      <c r="C75" s="148">
        <f>SUM(D75:AE75)</f>
        <v>0</v>
      </c>
      <c r="D75" s="150"/>
      <c r="E75" s="166"/>
      <c r="F75" s="166"/>
      <c r="G75" s="166"/>
      <c r="H75" s="166"/>
      <c r="I75" s="166"/>
      <c r="J75" s="150"/>
      <c r="K75" s="150"/>
      <c r="L75" s="150"/>
      <c r="M75" s="166"/>
      <c r="N75" s="150"/>
      <c r="O75" s="150"/>
      <c r="P75" s="150"/>
      <c r="Q75" s="188"/>
      <c r="R75" s="150"/>
      <c r="S75" s="150"/>
      <c r="T75" s="150"/>
      <c r="U75" s="150"/>
      <c r="V75" s="150"/>
      <c r="W75" s="150"/>
      <c r="X75" s="150"/>
      <c r="Y75" s="150"/>
      <c r="Z75" s="188"/>
      <c r="AA75" s="188"/>
      <c r="AB75" s="188"/>
      <c r="AC75" s="188"/>
      <c r="AD75" s="188"/>
      <c r="AE75" s="188"/>
      <c r="AF75" s="263"/>
    </row>
    <row r="76" spans="1:54" collapsed="1" x14ac:dyDescent="0.2">
      <c r="A76" s="136" t="s">
        <v>1248</v>
      </c>
      <c r="B76" s="177" t="s">
        <v>1249</v>
      </c>
      <c r="C76" s="133">
        <f t="shared" ref="C76:AF76" si="17">SUM(C74:C75)</f>
        <v>0</v>
      </c>
      <c r="D76" s="134">
        <f t="shared" si="17"/>
        <v>0</v>
      </c>
      <c r="E76" s="135">
        <f t="shared" si="17"/>
        <v>0</v>
      </c>
      <c r="F76" s="135">
        <f t="shared" si="17"/>
        <v>0</v>
      </c>
      <c r="G76" s="135">
        <f t="shared" si="17"/>
        <v>0</v>
      </c>
      <c r="H76" s="135">
        <f t="shared" si="17"/>
        <v>0</v>
      </c>
      <c r="I76" s="135">
        <f t="shared" si="17"/>
        <v>0</v>
      </c>
      <c r="J76" s="135">
        <f t="shared" si="17"/>
        <v>0</v>
      </c>
      <c r="K76" s="135">
        <f t="shared" si="17"/>
        <v>0</v>
      </c>
      <c r="L76" s="135">
        <f t="shared" si="17"/>
        <v>0</v>
      </c>
      <c r="M76" s="135">
        <f t="shared" si="17"/>
        <v>0</v>
      </c>
      <c r="N76" s="135">
        <f t="shared" si="17"/>
        <v>0</v>
      </c>
      <c r="O76" s="135">
        <f t="shared" si="17"/>
        <v>0</v>
      </c>
      <c r="P76" s="135">
        <f t="shared" si="17"/>
        <v>0</v>
      </c>
      <c r="Q76" s="135">
        <f t="shared" si="17"/>
        <v>0</v>
      </c>
      <c r="R76" s="135">
        <f t="shared" si="17"/>
        <v>0</v>
      </c>
      <c r="S76" s="135">
        <f t="shared" si="17"/>
        <v>0</v>
      </c>
      <c r="T76" s="135">
        <f t="shared" si="17"/>
        <v>0</v>
      </c>
      <c r="U76" s="135">
        <f t="shared" si="17"/>
        <v>0</v>
      </c>
      <c r="V76" s="135">
        <f t="shared" si="17"/>
        <v>0</v>
      </c>
      <c r="W76" s="135">
        <f t="shared" si="17"/>
        <v>0</v>
      </c>
      <c r="X76" s="135">
        <f t="shared" si="17"/>
        <v>0</v>
      </c>
      <c r="Y76" s="135">
        <f t="shared" si="17"/>
        <v>0</v>
      </c>
      <c r="Z76" s="135">
        <f t="shared" si="17"/>
        <v>0</v>
      </c>
      <c r="AA76" s="135">
        <f t="shared" si="17"/>
        <v>0</v>
      </c>
      <c r="AB76" s="135">
        <f t="shared" si="17"/>
        <v>0</v>
      </c>
      <c r="AC76" s="135">
        <f t="shared" si="17"/>
        <v>0</v>
      </c>
      <c r="AD76" s="135">
        <f t="shared" si="17"/>
        <v>0</v>
      </c>
      <c r="AE76" s="135">
        <f t="shared" si="17"/>
        <v>0</v>
      </c>
      <c r="AF76" s="152">
        <f t="shared" si="17"/>
        <v>0</v>
      </c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</row>
    <row r="77" spans="1:54" hidden="1" outlineLevel="1" x14ac:dyDescent="0.2">
      <c r="A77" s="183" t="s">
        <v>191</v>
      </c>
      <c r="B77" s="7" t="s">
        <v>192</v>
      </c>
      <c r="C77" s="148">
        <f>SUM(D77:AE77)</f>
        <v>0</v>
      </c>
      <c r="D77" s="150"/>
      <c r="E77" s="166"/>
      <c r="F77" s="166"/>
      <c r="G77" s="166"/>
      <c r="H77" s="166"/>
      <c r="I77" s="166"/>
      <c r="J77" s="150"/>
      <c r="K77" s="150"/>
      <c r="L77" s="150"/>
      <c r="M77" s="166"/>
      <c r="N77" s="150"/>
      <c r="O77" s="150"/>
      <c r="P77" s="150"/>
      <c r="Q77" s="188"/>
      <c r="R77" s="150"/>
      <c r="S77" s="150"/>
      <c r="T77" s="150"/>
      <c r="U77" s="150"/>
      <c r="V77" s="150"/>
      <c r="W77" s="150"/>
      <c r="X77" s="150"/>
      <c r="Y77" s="150"/>
      <c r="Z77" s="188"/>
      <c r="AA77" s="188"/>
      <c r="AB77" s="188"/>
      <c r="AC77" s="188"/>
      <c r="AD77" s="188"/>
      <c r="AE77" s="188"/>
      <c r="AF77" s="263"/>
    </row>
    <row r="78" spans="1:54" hidden="1" outlineLevel="1" x14ac:dyDescent="0.2">
      <c r="A78" s="183" t="s">
        <v>193</v>
      </c>
      <c r="B78" s="7" t="s">
        <v>194</v>
      </c>
      <c r="C78" s="148">
        <f>SUM(D78:AE78)</f>
        <v>0</v>
      </c>
      <c r="D78" s="150"/>
      <c r="E78" s="166"/>
      <c r="F78" s="166"/>
      <c r="G78" s="166"/>
      <c r="H78" s="166"/>
      <c r="I78" s="166"/>
      <c r="J78" s="150"/>
      <c r="K78" s="150"/>
      <c r="L78" s="150"/>
      <c r="M78" s="166"/>
      <c r="N78" s="150"/>
      <c r="O78" s="150"/>
      <c r="P78" s="150"/>
      <c r="Q78" s="188"/>
      <c r="R78" s="150"/>
      <c r="S78" s="150"/>
      <c r="T78" s="150"/>
      <c r="U78" s="150"/>
      <c r="V78" s="150"/>
      <c r="W78" s="150"/>
      <c r="X78" s="150"/>
      <c r="Y78" s="150"/>
      <c r="Z78" s="188"/>
      <c r="AA78" s="188"/>
      <c r="AB78" s="188"/>
      <c r="AC78" s="188"/>
      <c r="AD78" s="188"/>
      <c r="AE78" s="188"/>
      <c r="AF78" s="263"/>
    </row>
    <row r="79" spans="1:54" s="106" customFormat="1" collapsed="1" x14ac:dyDescent="0.2">
      <c r="A79" s="136" t="s">
        <v>189</v>
      </c>
      <c r="B79" s="177" t="s">
        <v>190</v>
      </c>
      <c r="C79" s="133">
        <f t="shared" ref="C79:AF79" si="18">SUM(C77:C78)</f>
        <v>0</v>
      </c>
      <c r="D79" s="134">
        <f t="shared" si="18"/>
        <v>0</v>
      </c>
      <c r="E79" s="135">
        <f t="shared" si="18"/>
        <v>0</v>
      </c>
      <c r="F79" s="135">
        <f t="shared" si="18"/>
        <v>0</v>
      </c>
      <c r="G79" s="135">
        <f t="shared" si="18"/>
        <v>0</v>
      </c>
      <c r="H79" s="135">
        <f t="shared" si="18"/>
        <v>0</v>
      </c>
      <c r="I79" s="135">
        <f t="shared" si="18"/>
        <v>0</v>
      </c>
      <c r="J79" s="135">
        <f t="shared" si="18"/>
        <v>0</v>
      </c>
      <c r="K79" s="135">
        <f t="shared" si="18"/>
        <v>0</v>
      </c>
      <c r="L79" s="135">
        <f t="shared" si="18"/>
        <v>0</v>
      </c>
      <c r="M79" s="135">
        <f t="shared" si="18"/>
        <v>0</v>
      </c>
      <c r="N79" s="135">
        <f t="shared" si="18"/>
        <v>0</v>
      </c>
      <c r="O79" s="135">
        <f t="shared" si="18"/>
        <v>0</v>
      </c>
      <c r="P79" s="135">
        <f t="shared" si="18"/>
        <v>0</v>
      </c>
      <c r="Q79" s="135">
        <f t="shared" si="18"/>
        <v>0</v>
      </c>
      <c r="R79" s="135">
        <f t="shared" si="18"/>
        <v>0</v>
      </c>
      <c r="S79" s="135">
        <f t="shared" si="18"/>
        <v>0</v>
      </c>
      <c r="T79" s="135">
        <f t="shared" si="18"/>
        <v>0</v>
      </c>
      <c r="U79" s="135">
        <f t="shared" si="18"/>
        <v>0</v>
      </c>
      <c r="V79" s="135">
        <f t="shared" si="18"/>
        <v>0</v>
      </c>
      <c r="W79" s="135">
        <f t="shared" si="18"/>
        <v>0</v>
      </c>
      <c r="X79" s="135">
        <f t="shared" si="18"/>
        <v>0</v>
      </c>
      <c r="Y79" s="135">
        <f t="shared" si="18"/>
        <v>0</v>
      </c>
      <c r="Z79" s="135">
        <f t="shared" si="18"/>
        <v>0</v>
      </c>
      <c r="AA79" s="135">
        <f t="shared" si="18"/>
        <v>0</v>
      </c>
      <c r="AB79" s="135">
        <f t="shared" si="18"/>
        <v>0</v>
      </c>
      <c r="AC79" s="135">
        <f t="shared" si="18"/>
        <v>0</v>
      </c>
      <c r="AD79" s="135">
        <f t="shared" si="18"/>
        <v>0</v>
      </c>
      <c r="AE79" s="135">
        <f t="shared" si="18"/>
        <v>0</v>
      </c>
      <c r="AF79" s="152">
        <f t="shared" si="18"/>
        <v>0</v>
      </c>
      <c r="AG79" s="105"/>
      <c r="AH79" s="105"/>
      <c r="AI79" s="105"/>
      <c r="AJ79" s="105"/>
      <c r="AK79" s="105"/>
      <c r="AL79" s="105"/>
      <c r="AM79" s="105"/>
      <c r="AN79" s="105"/>
      <c r="AO79" s="105"/>
      <c r="AP79" s="105"/>
      <c r="AQ79" s="105"/>
      <c r="AR79" s="105"/>
      <c r="AS79" s="96"/>
      <c r="AT79" s="96"/>
      <c r="AU79" s="96"/>
      <c r="AV79" s="96"/>
      <c r="AW79" s="96"/>
      <c r="AX79" s="96"/>
      <c r="AY79" s="96"/>
      <c r="AZ79" s="96"/>
      <c r="BA79" s="96"/>
      <c r="BB79" s="96"/>
    </row>
    <row r="80" spans="1:54" hidden="1" outlineLevel="1" x14ac:dyDescent="0.2">
      <c r="A80" s="183" t="s">
        <v>197</v>
      </c>
      <c r="B80" s="7" t="s">
        <v>2729</v>
      </c>
      <c r="C80" s="148">
        <f t="shared" ref="C80:C85" si="19">SUM(D80:AE80)</f>
        <v>0</v>
      </c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260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263"/>
    </row>
    <row r="81" spans="1:58" hidden="1" outlineLevel="1" x14ac:dyDescent="0.2">
      <c r="A81" s="183" t="s">
        <v>198</v>
      </c>
      <c r="B81" s="7" t="s">
        <v>199</v>
      </c>
      <c r="C81" s="148">
        <f t="shared" si="19"/>
        <v>0</v>
      </c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247"/>
      <c r="AF81" s="263"/>
    </row>
    <row r="82" spans="1:58" hidden="1" outlineLevel="1" x14ac:dyDescent="0.2">
      <c r="A82" s="183" t="s">
        <v>200</v>
      </c>
      <c r="B82" s="7" t="s">
        <v>201</v>
      </c>
      <c r="C82" s="148">
        <f t="shared" si="19"/>
        <v>0</v>
      </c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259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263"/>
    </row>
    <row r="83" spans="1:58" hidden="1" outlineLevel="1" x14ac:dyDescent="0.2">
      <c r="A83" s="183" t="s">
        <v>1860</v>
      </c>
      <c r="B83" s="7" t="s">
        <v>2734</v>
      </c>
      <c r="C83" s="148">
        <f t="shared" si="19"/>
        <v>0</v>
      </c>
      <c r="D83" s="188"/>
      <c r="E83" s="188"/>
      <c r="F83" s="188"/>
      <c r="G83" s="188"/>
      <c r="H83" s="188"/>
      <c r="I83" s="188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263"/>
    </row>
    <row r="84" spans="1:58" ht="20.399999999999999" hidden="1" outlineLevel="1" x14ac:dyDescent="0.2">
      <c r="A84" s="143" t="s">
        <v>1861</v>
      </c>
      <c r="B84" s="103" t="s">
        <v>1190</v>
      </c>
      <c r="C84" s="148">
        <f t="shared" si="19"/>
        <v>0</v>
      </c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263"/>
    </row>
    <row r="85" spans="1:58" ht="20.399999999999999" hidden="1" outlineLevel="1" x14ac:dyDescent="0.2">
      <c r="A85" s="143" t="s">
        <v>1191</v>
      </c>
      <c r="B85" s="103" t="s">
        <v>164</v>
      </c>
      <c r="C85" s="148">
        <f t="shared" si="19"/>
        <v>0</v>
      </c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263"/>
    </row>
    <row r="86" spans="1:58" s="106" customFormat="1" collapsed="1" x14ac:dyDescent="0.2">
      <c r="A86" s="136" t="s">
        <v>195</v>
      </c>
      <c r="B86" s="177" t="s">
        <v>196</v>
      </c>
      <c r="C86" s="133">
        <f t="shared" ref="C86:AF86" si="20">SUM(C80:C85)</f>
        <v>0</v>
      </c>
      <c r="D86" s="134">
        <f t="shared" si="20"/>
        <v>0</v>
      </c>
      <c r="E86" s="135">
        <f t="shared" si="20"/>
        <v>0</v>
      </c>
      <c r="F86" s="135">
        <f t="shared" si="20"/>
        <v>0</v>
      </c>
      <c r="G86" s="135">
        <f t="shared" si="20"/>
        <v>0</v>
      </c>
      <c r="H86" s="135">
        <f t="shared" si="20"/>
        <v>0</v>
      </c>
      <c r="I86" s="135">
        <f t="shared" si="20"/>
        <v>0</v>
      </c>
      <c r="J86" s="135">
        <f t="shared" si="20"/>
        <v>0</v>
      </c>
      <c r="K86" s="135">
        <f t="shared" si="20"/>
        <v>0</v>
      </c>
      <c r="L86" s="135">
        <f t="shared" si="20"/>
        <v>0</v>
      </c>
      <c r="M86" s="135">
        <f t="shared" si="20"/>
        <v>0</v>
      </c>
      <c r="N86" s="135">
        <f t="shared" si="20"/>
        <v>0</v>
      </c>
      <c r="O86" s="135">
        <f t="shared" si="20"/>
        <v>0</v>
      </c>
      <c r="P86" s="135">
        <f t="shared" si="20"/>
        <v>0</v>
      </c>
      <c r="Q86" s="135">
        <f t="shared" si="20"/>
        <v>0</v>
      </c>
      <c r="R86" s="135">
        <f t="shared" si="20"/>
        <v>0</v>
      </c>
      <c r="S86" s="135">
        <f t="shared" si="20"/>
        <v>0</v>
      </c>
      <c r="T86" s="135">
        <f t="shared" si="20"/>
        <v>0</v>
      </c>
      <c r="U86" s="135">
        <f t="shared" si="20"/>
        <v>0</v>
      </c>
      <c r="V86" s="135">
        <f t="shared" si="20"/>
        <v>0</v>
      </c>
      <c r="W86" s="135">
        <f t="shared" si="20"/>
        <v>0</v>
      </c>
      <c r="X86" s="135">
        <f t="shared" si="20"/>
        <v>0</v>
      </c>
      <c r="Y86" s="135">
        <f t="shared" si="20"/>
        <v>0</v>
      </c>
      <c r="Z86" s="135">
        <f t="shared" si="20"/>
        <v>0</v>
      </c>
      <c r="AA86" s="135">
        <f t="shared" si="20"/>
        <v>0</v>
      </c>
      <c r="AB86" s="135">
        <f t="shared" si="20"/>
        <v>0</v>
      </c>
      <c r="AC86" s="135">
        <f t="shared" si="20"/>
        <v>0</v>
      </c>
      <c r="AD86" s="135">
        <f t="shared" si="20"/>
        <v>0</v>
      </c>
      <c r="AE86" s="135">
        <f t="shared" si="20"/>
        <v>0</v>
      </c>
      <c r="AF86" s="152">
        <f t="shared" si="20"/>
        <v>0</v>
      </c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</row>
    <row r="87" spans="1:58" s="106" customFormat="1" ht="21" thickBot="1" x14ac:dyDescent="0.25">
      <c r="A87" s="144" t="s">
        <v>165</v>
      </c>
      <c r="B87" s="179" t="s">
        <v>2591</v>
      </c>
      <c r="C87" s="158">
        <f>SUM(D87:AE87)</f>
        <v>0</v>
      </c>
      <c r="D87" s="159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1"/>
    </row>
    <row r="88" spans="1:58" ht="10.8" thickBot="1" x14ac:dyDescent="0.25">
      <c r="A88" s="145" t="s">
        <v>2592</v>
      </c>
      <c r="B88" s="180" t="s">
        <v>2593</v>
      </c>
      <c r="C88" s="162">
        <f t="shared" ref="C88:AF88" si="21">C70+C66+C87+C86+C79+C76+C73</f>
        <v>0</v>
      </c>
      <c r="D88" s="163">
        <f t="shared" si="21"/>
        <v>0</v>
      </c>
      <c r="E88" s="164">
        <f t="shared" si="21"/>
        <v>0</v>
      </c>
      <c r="F88" s="164">
        <f t="shared" si="21"/>
        <v>0</v>
      </c>
      <c r="G88" s="164">
        <f t="shared" si="21"/>
        <v>0</v>
      </c>
      <c r="H88" s="164">
        <f t="shared" si="21"/>
        <v>0</v>
      </c>
      <c r="I88" s="164">
        <f t="shared" si="21"/>
        <v>0</v>
      </c>
      <c r="J88" s="164">
        <f t="shared" si="21"/>
        <v>0</v>
      </c>
      <c r="K88" s="164">
        <f t="shared" si="21"/>
        <v>0</v>
      </c>
      <c r="L88" s="164">
        <f t="shared" si="21"/>
        <v>0</v>
      </c>
      <c r="M88" s="164">
        <f t="shared" si="21"/>
        <v>0</v>
      </c>
      <c r="N88" s="164">
        <f t="shared" si="21"/>
        <v>0</v>
      </c>
      <c r="O88" s="164">
        <f t="shared" si="21"/>
        <v>0</v>
      </c>
      <c r="P88" s="164">
        <f t="shared" si="21"/>
        <v>0</v>
      </c>
      <c r="Q88" s="164">
        <f t="shared" si="21"/>
        <v>0</v>
      </c>
      <c r="R88" s="164">
        <f t="shared" si="21"/>
        <v>0</v>
      </c>
      <c r="S88" s="164">
        <f t="shared" si="21"/>
        <v>0</v>
      </c>
      <c r="T88" s="164">
        <f t="shared" si="21"/>
        <v>0</v>
      </c>
      <c r="U88" s="164">
        <f t="shared" si="21"/>
        <v>0</v>
      </c>
      <c r="V88" s="164">
        <f t="shared" si="21"/>
        <v>0</v>
      </c>
      <c r="W88" s="164">
        <f t="shared" si="21"/>
        <v>0</v>
      </c>
      <c r="X88" s="164">
        <f t="shared" si="21"/>
        <v>0</v>
      </c>
      <c r="Y88" s="164">
        <f t="shared" si="21"/>
        <v>0</v>
      </c>
      <c r="Z88" s="164">
        <f t="shared" si="21"/>
        <v>0</v>
      </c>
      <c r="AA88" s="164">
        <f t="shared" si="21"/>
        <v>0</v>
      </c>
      <c r="AB88" s="164">
        <f t="shared" si="21"/>
        <v>0</v>
      </c>
      <c r="AC88" s="164">
        <f t="shared" si="21"/>
        <v>0</v>
      </c>
      <c r="AD88" s="164">
        <f t="shared" si="21"/>
        <v>0</v>
      </c>
      <c r="AE88" s="164">
        <f t="shared" si="21"/>
        <v>0</v>
      </c>
      <c r="AF88" s="165">
        <f t="shared" si="21"/>
        <v>0</v>
      </c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  <c r="BB88" s="101"/>
      <c r="BC88" s="101"/>
      <c r="BD88" s="101"/>
      <c r="BE88" s="101"/>
      <c r="BF88" s="101"/>
    </row>
    <row r="89" spans="1:58" x14ac:dyDescent="0.2">
      <c r="A89" s="146" t="s">
        <v>261</v>
      </c>
      <c r="B89" s="181" t="s">
        <v>2594</v>
      </c>
      <c r="C89" s="167" t="e">
        <f t="shared" ref="C89:AF89" si="22">C88+C63</f>
        <v>#REF!</v>
      </c>
      <c r="D89" s="168" t="e">
        <f t="shared" si="22"/>
        <v>#REF!</v>
      </c>
      <c r="E89" s="169" t="e">
        <f t="shared" si="22"/>
        <v>#REF!</v>
      </c>
      <c r="F89" s="169" t="e">
        <f t="shared" si="22"/>
        <v>#REF!</v>
      </c>
      <c r="G89" s="169" t="e">
        <f t="shared" si="22"/>
        <v>#REF!</v>
      </c>
      <c r="H89" s="169" t="e">
        <f t="shared" si="22"/>
        <v>#REF!</v>
      </c>
      <c r="I89" s="169">
        <f t="shared" si="22"/>
        <v>0</v>
      </c>
      <c r="J89" s="169">
        <f t="shared" si="22"/>
        <v>0</v>
      </c>
      <c r="K89" s="169">
        <f t="shared" si="22"/>
        <v>0</v>
      </c>
      <c r="L89" s="169">
        <f t="shared" si="22"/>
        <v>-529.5</v>
      </c>
      <c r="M89" s="169">
        <f t="shared" si="22"/>
        <v>0</v>
      </c>
      <c r="N89" s="169">
        <f t="shared" si="22"/>
        <v>0</v>
      </c>
      <c r="O89" s="169">
        <f t="shared" si="22"/>
        <v>0</v>
      </c>
      <c r="P89" s="169">
        <f t="shared" si="22"/>
        <v>0</v>
      </c>
      <c r="Q89" s="169">
        <f t="shared" si="22"/>
        <v>0</v>
      </c>
      <c r="R89" s="169">
        <f t="shared" si="22"/>
        <v>0</v>
      </c>
      <c r="S89" s="169">
        <f t="shared" si="22"/>
        <v>0</v>
      </c>
      <c r="T89" s="169">
        <f t="shared" si="22"/>
        <v>0</v>
      </c>
      <c r="U89" s="169">
        <f t="shared" si="22"/>
        <v>-9769.3700000000008</v>
      </c>
      <c r="V89" s="169">
        <f t="shared" si="22"/>
        <v>612.34000000000196</v>
      </c>
      <c r="W89" s="169">
        <f t="shared" si="22"/>
        <v>0</v>
      </c>
      <c r="X89" s="169" t="e">
        <f t="shared" si="22"/>
        <v>#REF!</v>
      </c>
      <c r="Y89" s="169">
        <f t="shared" si="22"/>
        <v>0</v>
      </c>
      <c r="Z89" s="169">
        <f t="shared" si="22"/>
        <v>0</v>
      </c>
      <c r="AA89" s="169">
        <f t="shared" si="22"/>
        <v>8627.0399999999991</v>
      </c>
      <c r="AB89" s="169">
        <f t="shared" si="22"/>
        <v>0</v>
      </c>
      <c r="AC89" s="169">
        <f t="shared" si="22"/>
        <v>0</v>
      </c>
      <c r="AD89" s="169">
        <f t="shared" si="22"/>
        <v>0</v>
      </c>
      <c r="AE89" s="169">
        <f t="shared" si="22"/>
        <v>0</v>
      </c>
      <c r="AF89" s="170" t="e">
        <f t="shared" si="22"/>
        <v>#REF!</v>
      </c>
    </row>
    <row r="90" spans="1:58" s="100" customFormat="1" hidden="1" outlineLevel="1" x14ac:dyDescent="0.2">
      <c r="A90" s="186" t="s">
        <v>2597</v>
      </c>
      <c r="B90" s="7" t="s">
        <v>2598</v>
      </c>
      <c r="C90" s="148">
        <f t="shared" ref="C90:C96" si="23">SUM(D90:AE90)</f>
        <v>0</v>
      </c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49"/>
      <c r="AD90" s="188"/>
      <c r="AE90" s="188"/>
      <c r="AF90" s="263"/>
    </row>
    <row r="91" spans="1:58" hidden="1" outlineLevel="1" x14ac:dyDescent="0.2">
      <c r="A91" s="186" t="s">
        <v>2599</v>
      </c>
      <c r="B91" s="7" t="s">
        <v>2600</v>
      </c>
      <c r="C91" s="148">
        <f t="shared" si="23"/>
        <v>0</v>
      </c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49"/>
      <c r="AD91" s="188"/>
      <c r="AE91" s="188"/>
      <c r="AF91" s="263"/>
    </row>
    <row r="92" spans="1:58" hidden="1" outlineLevel="1" x14ac:dyDescent="0.2">
      <c r="A92" s="183" t="s">
        <v>2601</v>
      </c>
      <c r="B92" s="7" t="s">
        <v>2602</v>
      </c>
      <c r="C92" s="148">
        <f t="shared" si="23"/>
        <v>0</v>
      </c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263"/>
    </row>
    <row r="93" spans="1:58" hidden="1" outlineLevel="1" x14ac:dyDescent="0.2">
      <c r="A93" s="183" t="s">
        <v>2603</v>
      </c>
      <c r="B93" s="7" t="s">
        <v>1395</v>
      </c>
      <c r="C93" s="148">
        <f t="shared" si="23"/>
        <v>0</v>
      </c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  <c r="AF93" s="263"/>
    </row>
    <row r="94" spans="1:58" hidden="1" outlineLevel="1" x14ac:dyDescent="0.2">
      <c r="A94" s="143" t="s">
        <v>2604</v>
      </c>
      <c r="B94" s="103" t="s">
        <v>2605</v>
      </c>
      <c r="C94" s="148">
        <f t="shared" si="23"/>
        <v>0</v>
      </c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263"/>
    </row>
    <row r="95" spans="1:58" ht="20.399999999999999" hidden="1" outlineLevel="1" x14ac:dyDescent="0.2">
      <c r="A95" s="143" t="s">
        <v>2606</v>
      </c>
      <c r="B95" s="103" t="s">
        <v>1035</v>
      </c>
      <c r="C95" s="148">
        <f t="shared" si="23"/>
        <v>0</v>
      </c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263"/>
    </row>
    <row r="96" spans="1:58" hidden="1" outlineLevel="1" x14ac:dyDescent="0.2">
      <c r="A96" s="183" t="s">
        <v>1036</v>
      </c>
      <c r="B96" s="7" t="s">
        <v>1794</v>
      </c>
      <c r="C96" s="148">
        <f t="shared" si="23"/>
        <v>0</v>
      </c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263"/>
    </row>
    <row r="97" spans="1:32" ht="13.95" customHeight="1" collapsed="1" x14ac:dyDescent="0.2">
      <c r="A97" s="136" t="s">
        <v>2595</v>
      </c>
      <c r="B97" s="177" t="s">
        <v>2596</v>
      </c>
      <c r="C97" s="133">
        <f t="shared" ref="C97:AF97" si="24">SUM(C90:C96)</f>
        <v>0</v>
      </c>
      <c r="D97" s="134">
        <f t="shared" si="24"/>
        <v>0</v>
      </c>
      <c r="E97" s="135">
        <f t="shared" si="24"/>
        <v>0</v>
      </c>
      <c r="F97" s="135">
        <f t="shared" si="24"/>
        <v>0</v>
      </c>
      <c r="G97" s="135">
        <f t="shared" si="24"/>
        <v>0</v>
      </c>
      <c r="H97" s="135">
        <f t="shared" si="24"/>
        <v>0</v>
      </c>
      <c r="I97" s="135">
        <f t="shared" si="24"/>
        <v>0</v>
      </c>
      <c r="J97" s="135">
        <f t="shared" si="24"/>
        <v>0</v>
      </c>
      <c r="K97" s="135">
        <f t="shared" si="24"/>
        <v>0</v>
      </c>
      <c r="L97" s="135">
        <f t="shared" si="24"/>
        <v>0</v>
      </c>
      <c r="M97" s="135">
        <f t="shared" si="24"/>
        <v>0</v>
      </c>
      <c r="N97" s="135">
        <f t="shared" si="24"/>
        <v>0</v>
      </c>
      <c r="O97" s="135">
        <f t="shared" si="24"/>
        <v>0</v>
      </c>
      <c r="P97" s="135">
        <f t="shared" si="24"/>
        <v>0</v>
      </c>
      <c r="Q97" s="135">
        <f t="shared" si="24"/>
        <v>0</v>
      </c>
      <c r="R97" s="135">
        <f t="shared" si="24"/>
        <v>0</v>
      </c>
      <c r="S97" s="135">
        <f t="shared" si="24"/>
        <v>0</v>
      </c>
      <c r="T97" s="135">
        <f t="shared" si="24"/>
        <v>0</v>
      </c>
      <c r="U97" s="135">
        <f t="shared" si="24"/>
        <v>0</v>
      </c>
      <c r="V97" s="135">
        <f t="shared" si="24"/>
        <v>0</v>
      </c>
      <c r="W97" s="135">
        <f t="shared" si="24"/>
        <v>0</v>
      </c>
      <c r="X97" s="135">
        <f t="shared" si="24"/>
        <v>0</v>
      </c>
      <c r="Y97" s="135">
        <f t="shared" si="24"/>
        <v>0</v>
      </c>
      <c r="Z97" s="135">
        <f t="shared" si="24"/>
        <v>0</v>
      </c>
      <c r="AA97" s="135">
        <f t="shared" si="24"/>
        <v>0</v>
      </c>
      <c r="AB97" s="135">
        <f t="shared" si="24"/>
        <v>0</v>
      </c>
      <c r="AC97" s="135">
        <f t="shared" si="24"/>
        <v>0</v>
      </c>
      <c r="AD97" s="135">
        <f t="shared" si="24"/>
        <v>0</v>
      </c>
      <c r="AE97" s="135">
        <f t="shared" si="24"/>
        <v>0</v>
      </c>
      <c r="AF97" s="152">
        <f t="shared" si="24"/>
        <v>0</v>
      </c>
    </row>
    <row r="98" spans="1:32" hidden="1" outlineLevel="1" x14ac:dyDescent="0.2">
      <c r="A98" s="183" t="s">
        <v>1797</v>
      </c>
      <c r="B98" s="7" t="s">
        <v>1798</v>
      </c>
      <c r="C98" s="148">
        <f t="shared" ref="C98:C103" si="25">SUM(D98:AE98)</f>
        <v>0</v>
      </c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150"/>
      <c r="S98" s="150"/>
      <c r="T98" s="150"/>
      <c r="U98" s="150"/>
      <c r="V98" s="150"/>
      <c r="W98" s="188"/>
      <c r="X98" s="188"/>
      <c r="Y98" s="188"/>
      <c r="Z98" s="188"/>
      <c r="AA98" s="188"/>
      <c r="AB98" s="188"/>
      <c r="AC98" s="188"/>
      <c r="AD98" s="188"/>
      <c r="AE98" s="188"/>
      <c r="AF98" s="263"/>
    </row>
    <row r="99" spans="1:32" hidden="1" outlineLevel="1" x14ac:dyDescent="0.2">
      <c r="A99" s="183" t="s">
        <v>1799</v>
      </c>
      <c r="B99" s="7" t="s">
        <v>1800</v>
      </c>
      <c r="C99" s="148">
        <f t="shared" si="25"/>
        <v>0</v>
      </c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50"/>
      <c r="S99" s="150"/>
      <c r="T99" s="150"/>
      <c r="U99" s="150"/>
      <c r="V99" s="150"/>
      <c r="W99" s="188"/>
      <c r="X99" s="188"/>
      <c r="Y99" s="188"/>
      <c r="Z99" s="188"/>
      <c r="AA99" s="188"/>
      <c r="AB99" s="188"/>
      <c r="AC99" s="188"/>
      <c r="AD99" s="188"/>
      <c r="AE99" s="188"/>
      <c r="AF99" s="263"/>
    </row>
    <row r="100" spans="1:32" hidden="1" outlineLevel="1" x14ac:dyDescent="0.2">
      <c r="A100" s="183" t="s">
        <v>1801</v>
      </c>
      <c r="B100" s="7" t="s">
        <v>1214</v>
      </c>
      <c r="C100" s="148">
        <f t="shared" si="25"/>
        <v>0</v>
      </c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88"/>
      <c r="R100" s="150"/>
      <c r="S100" s="150"/>
      <c r="T100" s="150"/>
      <c r="U100" s="150"/>
      <c r="V100" s="150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263"/>
    </row>
    <row r="101" spans="1:32" hidden="1" outlineLevel="1" x14ac:dyDescent="0.2">
      <c r="A101" s="183" t="s">
        <v>1215</v>
      </c>
      <c r="B101" s="7" t="s">
        <v>2181</v>
      </c>
      <c r="C101" s="148">
        <f t="shared" si="25"/>
        <v>0</v>
      </c>
      <c r="D101" s="188"/>
      <c r="E101" s="188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50"/>
      <c r="S101" s="150"/>
      <c r="T101" s="150"/>
      <c r="U101" s="150"/>
      <c r="V101" s="150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263"/>
    </row>
    <row r="102" spans="1:32" hidden="1" outlineLevel="1" x14ac:dyDescent="0.2">
      <c r="A102" s="183" t="s">
        <v>2182</v>
      </c>
      <c r="B102" s="7" t="s">
        <v>2026</v>
      </c>
      <c r="C102" s="148">
        <f t="shared" si="25"/>
        <v>0</v>
      </c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50"/>
      <c r="S102" s="150"/>
      <c r="T102" s="150"/>
      <c r="U102" s="150"/>
      <c r="V102" s="150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263"/>
    </row>
    <row r="103" spans="1:32" hidden="1" outlineLevel="1" x14ac:dyDescent="0.2">
      <c r="A103" s="183" t="s">
        <v>2027</v>
      </c>
      <c r="B103" s="7" t="s">
        <v>2028</v>
      </c>
      <c r="C103" s="148">
        <f t="shared" si="25"/>
        <v>0</v>
      </c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50"/>
      <c r="S103" s="150"/>
      <c r="T103" s="150"/>
      <c r="U103" s="150"/>
      <c r="V103" s="150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263"/>
    </row>
    <row r="104" spans="1:32" collapsed="1" x14ac:dyDescent="0.2">
      <c r="A104" s="136" t="s">
        <v>1795</v>
      </c>
      <c r="B104" s="177" t="s">
        <v>1796</v>
      </c>
      <c r="C104" s="133">
        <f t="shared" ref="C104:AF104" si="26">SUM(C98:C103)</f>
        <v>0</v>
      </c>
      <c r="D104" s="134">
        <f t="shared" si="26"/>
        <v>0</v>
      </c>
      <c r="E104" s="135">
        <f t="shared" si="26"/>
        <v>0</v>
      </c>
      <c r="F104" s="135">
        <f t="shared" si="26"/>
        <v>0</v>
      </c>
      <c r="G104" s="135">
        <f t="shared" si="26"/>
        <v>0</v>
      </c>
      <c r="H104" s="135">
        <f t="shared" si="26"/>
        <v>0</v>
      </c>
      <c r="I104" s="135">
        <f t="shared" si="26"/>
        <v>0</v>
      </c>
      <c r="J104" s="135">
        <f t="shared" si="26"/>
        <v>0</v>
      </c>
      <c r="K104" s="135">
        <f t="shared" si="26"/>
        <v>0</v>
      </c>
      <c r="L104" s="135">
        <f t="shared" si="26"/>
        <v>0</v>
      </c>
      <c r="M104" s="135">
        <f t="shared" si="26"/>
        <v>0</v>
      </c>
      <c r="N104" s="135">
        <f t="shared" si="26"/>
        <v>0</v>
      </c>
      <c r="O104" s="135">
        <f t="shared" si="26"/>
        <v>0</v>
      </c>
      <c r="P104" s="135">
        <f t="shared" si="26"/>
        <v>0</v>
      </c>
      <c r="Q104" s="135">
        <f t="shared" si="26"/>
        <v>0</v>
      </c>
      <c r="R104" s="135">
        <f t="shared" si="26"/>
        <v>0</v>
      </c>
      <c r="S104" s="135">
        <f t="shared" si="26"/>
        <v>0</v>
      </c>
      <c r="T104" s="135">
        <f t="shared" si="26"/>
        <v>0</v>
      </c>
      <c r="U104" s="135">
        <f t="shared" si="26"/>
        <v>0</v>
      </c>
      <c r="V104" s="135">
        <f t="shared" si="26"/>
        <v>0</v>
      </c>
      <c r="W104" s="135">
        <f t="shared" si="26"/>
        <v>0</v>
      </c>
      <c r="X104" s="135">
        <f t="shared" si="26"/>
        <v>0</v>
      </c>
      <c r="Y104" s="135">
        <f t="shared" si="26"/>
        <v>0</v>
      </c>
      <c r="Z104" s="135">
        <f t="shared" si="26"/>
        <v>0</v>
      </c>
      <c r="AA104" s="135">
        <f t="shared" si="26"/>
        <v>0</v>
      </c>
      <c r="AB104" s="135">
        <f t="shared" si="26"/>
        <v>0</v>
      </c>
      <c r="AC104" s="135">
        <f t="shared" si="26"/>
        <v>0</v>
      </c>
      <c r="AD104" s="135">
        <f t="shared" si="26"/>
        <v>0</v>
      </c>
      <c r="AE104" s="135">
        <f t="shared" si="26"/>
        <v>0</v>
      </c>
      <c r="AF104" s="152">
        <f t="shared" si="26"/>
        <v>0</v>
      </c>
    </row>
    <row r="105" spans="1:32" s="100" customFormat="1" hidden="1" outlineLevel="1" x14ac:dyDescent="0.2">
      <c r="A105" s="187" t="s">
        <v>2030</v>
      </c>
      <c r="B105" s="99" t="s">
        <v>2031</v>
      </c>
      <c r="C105" s="148">
        <f>SUM(D105:AE105)</f>
        <v>0</v>
      </c>
      <c r="D105" s="188"/>
      <c r="E105" s="188"/>
      <c r="F105" s="188"/>
      <c r="G105" s="188"/>
      <c r="H105" s="188"/>
      <c r="I105" s="188"/>
      <c r="J105" s="188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263"/>
    </row>
    <row r="106" spans="1:32" collapsed="1" x14ac:dyDescent="0.2">
      <c r="A106" s="136" t="s">
        <v>2029</v>
      </c>
      <c r="B106" s="177" t="s">
        <v>2279</v>
      </c>
      <c r="C106" s="133">
        <f t="shared" ref="C106:AF106" si="27">C105</f>
        <v>0</v>
      </c>
      <c r="D106" s="134">
        <f t="shared" si="27"/>
        <v>0</v>
      </c>
      <c r="E106" s="135">
        <f t="shared" si="27"/>
        <v>0</v>
      </c>
      <c r="F106" s="135">
        <f t="shared" si="27"/>
        <v>0</v>
      </c>
      <c r="G106" s="135">
        <f t="shared" si="27"/>
        <v>0</v>
      </c>
      <c r="H106" s="135">
        <f t="shared" si="27"/>
        <v>0</v>
      </c>
      <c r="I106" s="135">
        <f t="shared" si="27"/>
        <v>0</v>
      </c>
      <c r="J106" s="135">
        <f t="shared" si="27"/>
        <v>0</v>
      </c>
      <c r="K106" s="135">
        <f t="shared" si="27"/>
        <v>0</v>
      </c>
      <c r="L106" s="135">
        <f t="shared" si="27"/>
        <v>0</v>
      </c>
      <c r="M106" s="135">
        <f t="shared" si="27"/>
        <v>0</v>
      </c>
      <c r="N106" s="135">
        <f t="shared" si="27"/>
        <v>0</v>
      </c>
      <c r="O106" s="135">
        <f t="shared" si="27"/>
        <v>0</v>
      </c>
      <c r="P106" s="135">
        <f t="shared" si="27"/>
        <v>0</v>
      </c>
      <c r="Q106" s="135">
        <f t="shared" si="27"/>
        <v>0</v>
      </c>
      <c r="R106" s="135">
        <f t="shared" si="27"/>
        <v>0</v>
      </c>
      <c r="S106" s="135">
        <f t="shared" si="27"/>
        <v>0</v>
      </c>
      <c r="T106" s="135">
        <f t="shared" si="27"/>
        <v>0</v>
      </c>
      <c r="U106" s="135">
        <f t="shared" si="27"/>
        <v>0</v>
      </c>
      <c r="V106" s="135">
        <f t="shared" si="27"/>
        <v>0</v>
      </c>
      <c r="W106" s="135">
        <f t="shared" si="27"/>
        <v>0</v>
      </c>
      <c r="X106" s="135">
        <f t="shared" si="27"/>
        <v>0</v>
      </c>
      <c r="Y106" s="135">
        <f t="shared" si="27"/>
        <v>0</v>
      </c>
      <c r="Z106" s="135">
        <f t="shared" si="27"/>
        <v>0</v>
      </c>
      <c r="AA106" s="135">
        <f t="shared" si="27"/>
        <v>0</v>
      </c>
      <c r="AB106" s="135">
        <f t="shared" si="27"/>
        <v>0</v>
      </c>
      <c r="AC106" s="135">
        <f t="shared" si="27"/>
        <v>0</v>
      </c>
      <c r="AD106" s="135">
        <f t="shared" si="27"/>
        <v>0</v>
      </c>
      <c r="AE106" s="135">
        <f t="shared" si="27"/>
        <v>0</v>
      </c>
      <c r="AF106" s="152">
        <f t="shared" si="27"/>
        <v>0</v>
      </c>
    </row>
    <row r="107" spans="1:32" s="100" customFormat="1" hidden="1" outlineLevel="1" x14ac:dyDescent="0.2">
      <c r="A107" s="183" t="s">
        <v>2034</v>
      </c>
      <c r="B107" s="7" t="s">
        <v>2729</v>
      </c>
      <c r="C107" s="148">
        <f t="shared" ref="C107:C112" si="28">SUM(D107:AE107)</f>
        <v>0</v>
      </c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>
        <f>-V35</f>
        <v>0</v>
      </c>
      <c r="W107" s="188"/>
      <c r="X107" s="188"/>
      <c r="Y107" s="188"/>
      <c r="Z107" s="188"/>
      <c r="AA107" s="188"/>
      <c r="AB107" s="188"/>
      <c r="AC107" s="188"/>
      <c r="AD107" s="188"/>
      <c r="AE107" s="247"/>
      <c r="AF107" s="263"/>
    </row>
    <row r="108" spans="1:32" s="100" customFormat="1" hidden="1" outlineLevel="1" x14ac:dyDescent="0.2">
      <c r="A108" s="183" t="s">
        <v>2035</v>
      </c>
      <c r="B108" s="7" t="s">
        <v>2036</v>
      </c>
      <c r="C108" s="148">
        <f t="shared" si="28"/>
        <v>0</v>
      </c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>
        <f>-V34</f>
        <v>0</v>
      </c>
      <c r="W108" s="188"/>
      <c r="X108" s="188"/>
      <c r="Y108" s="188"/>
      <c r="Z108" s="188"/>
      <c r="AA108" s="188"/>
      <c r="AB108" s="188"/>
      <c r="AC108" s="188"/>
      <c r="AD108" s="188"/>
      <c r="AE108" s="247"/>
      <c r="AF108" s="263"/>
    </row>
    <row r="109" spans="1:32" s="100" customFormat="1" hidden="1" outlineLevel="1" x14ac:dyDescent="0.2">
      <c r="A109" s="183" t="s">
        <v>603</v>
      </c>
      <c r="B109" s="7" t="s">
        <v>201</v>
      </c>
      <c r="C109" s="148">
        <f t="shared" si="28"/>
        <v>0</v>
      </c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88"/>
      <c r="R109" s="151"/>
      <c r="S109" s="151"/>
      <c r="T109" s="151"/>
      <c r="U109" s="151"/>
      <c r="V109" s="151"/>
      <c r="W109" s="151"/>
      <c r="X109" s="151"/>
      <c r="Y109" s="151"/>
      <c r="Z109" s="188"/>
      <c r="AA109" s="188"/>
      <c r="AB109" s="188"/>
      <c r="AC109" s="188"/>
      <c r="AD109" s="188"/>
      <c r="AE109" s="188"/>
      <c r="AF109" s="263"/>
    </row>
    <row r="110" spans="1:32" s="100" customFormat="1" hidden="1" outlineLevel="1" x14ac:dyDescent="0.2">
      <c r="A110" s="183" t="s">
        <v>604</v>
      </c>
      <c r="B110" s="7" t="s">
        <v>605</v>
      </c>
      <c r="C110" s="148">
        <f t="shared" si="28"/>
        <v>0</v>
      </c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  <c r="N110" s="151"/>
      <c r="O110" s="151"/>
      <c r="P110" s="151"/>
      <c r="Q110" s="188"/>
      <c r="R110" s="151"/>
      <c r="S110" s="151"/>
      <c r="T110" s="151"/>
      <c r="U110" s="151"/>
      <c r="V110" s="151"/>
      <c r="W110" s="151"/>
      <c r="X110" s="151"/>
      <c r="Y110" s="151"/>
      <c r="Z110" s="188"/>
      <c r="AA110" s="188"/>
      <c r="AB110" s="188"/>
      <c r="AC110" s="188"/>
      <c r="AD110" s="188"/>
      <c r="AE110" s="188"/>
      <c r="AF110" s="263"/>
    </row>
    <row r="111" spans="1:32" s="100" customFormat="1" ht="20.399999999999999" hidden="1" outlineLevel="1" x14ac:dyDescent="0.2">
      <c r="A111" s="143" t="s">
        <v>606</v>
      </c>
      <c r="B111" s="103" t="s">
        <v>1190</v>
      </c>
      <c r="C111" s="148">
        <f t="shared" si="28"/>
        <v>0</v>
      </c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1"/>
      <c r="P111" s="151"/>
      <c r="Q111" s="188"/>
      <c r="R111" s="151"/>
      <c r="S111" s="151"/>
      <c r="T111" s="151"/>
      <c r="U111" s="151"/>
      <c r="V111" s="151"/>
      <c r="W111" s="151"/>
      <c r="X111" s="151"/>
      <c r="Y111" s="151"/>
      <c r="Z111" s="188"/>
      <c r="AA111" s="188"/>
      <c r="AB111" s="188"/>
      <c r="AC111" s="188"/>
      <c r="AD111" s="188"/>
      <c r="AE111" s="188"/>
      <c r="AF111" s="263"/>
    </row>
    <row r="112" spans="1:32" s="100" customFormat="1" ht="20.399999999999999" hidden="1" outlineLevel="1" x14ac:dyDescent="0.2">
      <c r="A112" s="143" t="s">
        <v>607</v>
      </c>
      <c r="B112" s="103" t="s">
        <v>608</v>
      </c>
      <c r="C112" s="148">
        <f t="shared" si="28"/>
        <v>0</v>
      </c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88"/>
      <c r="R112" s="151"/>
      <c r="S112" s="151"/>
      <c r="T112" s="151"/>
      <c r="U112" s="151"/>
      <c r="V112" s="151"/>
      <c r="W112" s="151"/>
      <c r="X112" s="151"/>
      <c r="Y112" s="151"/>
      <c r="Z112" s="188"/>
      <c r="AA112" s="188"/>
      <c r="AB112" s="188"/>
      <c r="AC112" s="188"/>
      <c r="AD112" s="188"/>
      <c r="AE112" s="188"/>
      <c r="AF112" s="263"/>
    </row>
    <row r="113" spans="1:32" s="100" customFormat="1" ht="10.8" collapsed="1" thickBot="1" x14ac:dyDescent="0.25">
      <c r="A113" s="144" t="s">
        <v>2032</v>
      </c>
      <c r="B113" s="179" t="s">
        <v>2033</v>
      </c>
      <c r="C113" s="158">
        <f t="shared" ref="C113:AF113" si="29">SUM(C107:C112)</f>
        <v>0</v>
      </c>
      <c r="D113" s="159">
        <f t="shared" si="29"/>
        <v>0</v>
      </c>
      <c r="E113" s="160">
        <f t="shared" si="29"/>
        <v>0</v>
      </c>
      <c r="F113" s="160">
        <f t="shared" si="29"/>
        <v>0</v>
      </c>
      <c r="G113" s="160">
        <f t="shared" si="29"/>
        <v>0</v>
      </c>
      <c r="H113" s="160">
        <f t="shared" si="29"/>
        <v>0</v>
      </c>
      <c r="I113" s="160">
        <f t="shared" si="29"/>
        <v>0</v>
      </c>
      <c r="J113" s="160">
        <f t="shared" si="29"/>
        <v>0</v>
      </c>
      <c r="K113" s="160">
        <f t="shared" si="29"/>
        <v>0</v>
      </c>
      <c r="L113" s="160">
        <f t="shared" si="29"/>
        <v>0</v>
      </c>
      <c r="M113" s="160">
        <f t="shared" si="29"/>
        <v>0</v>
      </c>
      <c r="N113" s="160">
        <f t="shared" si="29"/>
        <v>0</v>
      </c>
      <c r="O113" s="160">
        <f t="shared" si="29"/>
        <v>0</v>
      </c>
      <c r="P113" s="160">
        <f t="shared" si="29"/>
        <v>0</v>
      </c>
      <c r="Q113" s="160">
        <f t="shared" si="29"/>
        <v>0</v>
      </c>
      <c r="R113" s="160">
        <f t="shared" si="29"/>
        <v>0</v>
      </c>
      <c r="S113" s="160">
        <f t="shared" si="29"/>
        <v>0</v>
      </c>
      <c r="T113" s="160">
        <f t="shared" si="29"/>
        <v>0</v>
      </c>
      <c r="U113" s="160">
        <f t="shared" si="29"/>
        <v>0</v>
      </c>
      <c r="V113" s="160">
        <f t="shared" si="29"/>
        <v>0</v>
      </c>
      <c r="W113" s="160">
        <f t="shared" si="29"/>
        <v>0</v>
      </c>
      <c r="X113" s="160">
        <f t="shared" si="29"/>
        <v>0</v>
      </c>
      <c r="Y113" s="160">
        <f t="shared" si="29"/>
        <v>0</v>
      </c>
      <c r="Z113" s="160">
        <f t="shared" si="29"/>
        <v>0</v>
      </c>
      <c r="AA113" s="160">
        <f t="shared" si="29"/>
        <v>0</v>
      </c>
      <c r="AB113" s="160">
        <f t="shared" si="29"/>
        <v>0</v>
      </c>
      <c r="AC113" s="160">
        <f t="shared" si="29"/>
        <v>0</v>
      </c>
      <c r="AD113" s="160">
        <f t="shared" si="29"/>
        <v>0</v>
      </c>
      <c r="AE113" s="160">
        <f t="shared" si="29"/>
        <v>0</v>
      </c>
      <c r="AF113" s="161">
        <f t="shared" si="29"/>
        <v>0</v>
      </c>
    </row>
    <row r="114" spans="1:32" ht="10.8" thickBot="1" x14ac:dyDescent="0.25">
      <c r="A114" s="145" t="s">
        <v>609</v>
      </c>
      <c r="B114" s="180" t="s">
        <v>610</v>
      </c>
      <c r="C114" s="162">
        <f t="shared" ref="C114:AF114" si="30">C97+C104+C106+C113</f>
        <v>0</v>
      </c>
      <c r="D114" s="163">
        <f t="shared" si="30"/>
        <v>0</v>
      </c>
      <c r="E114" s="164">
        <f t="shared" si="30"/>
        <v>0</v>
      </c>
      <c r="F114" s="164">
        <f t="shared" si="30"/>
        <v>0</v>
      </c>
      <c r="G114" s="164">
        <f t="shared" si="30"/>
        <v>0</v>
      </c>
      <c r="H114" s="164">
        <f t="shared" si="30"/>
        <v>0</v>
      </c>
      <c r="I114" s="164">
        <f t="shared" si="30"/>
        <v>0</v>
      </c>
      <c r="J114" s="164">
        <f t="shared" si="30"/>
        <v>0</v>
      </c>
      <c r="K114" s="164">
        <f t="shared" si="30"/>
        <v>0</v>
      </c>
      <c r="L114" s="164">
        <f t="shared" si="30"/>
        <v>0</v>
      </c>
      <c r="M114" s="164">
        <f t="shared" si="30"/>
        <v>0</v>
      </c>
      <c r="N114" s="164">
        <f t="shared" si="30"/>
        <v>0</v>
      </c>
      <c r="O114" s="164">
        <f t="shared" si="30"/>
        <v>0</v>
      </c>
      <c r="P114" s="164">
        <f t="shared" si="30"/>
        <v>0</v>
      </c>
      <c r="Q114" s="164">
        <f t="shared" si="30"/>
        <v>0</v>
      </c>
      <c r="R114" s="164">
        <f t="shared" si="30"/>
        <v>0</v>
      </c>
      <c r="S114" s="164">
        <f t="shared" si="30"/>
        <v>0</v>
      </c>
      <c r="T114" s="164">
        <f t="shared" si="30"/>
        <v>0</v>
      </c>
      <c r="U114" s="164">
        <f t="shared" si="30"/>
        <v>0</v>
      </c>
      <c r="V114" s="164">
        <f t="shared" si="30"/>
        <v>0</v>
      </c>
      <c r="W114" s="164">
        <f t="shared" si="30"/>
        <v>0</v>
      </c>
      <c r="X114" s="164">
        <f t="shared" si="30"/>
        <v>0</v>
      </c>
      <c r="Y114" s="164">
        <f t="shared" si="30"/>
        <v>0</v>
      </c>
      <c r="Z114" s="164">
        <f t="shared" si="30"/>
        <v>0</v>
      </c>
      <c r="AA114" s="164">
        <f t="shared" si="30"/>
        <v>0</v>
      </c>
      <c r="AB114" s="164">
        <f t="shared" si="30"/>
        <v>0</v>
      </c>
      <c r="AC114" s="164">
        <f t="shared" si="30"/>
        <v>0</v>
      </c>
      <c r="AD114" s="164">
        <f t="shared" si="30"/>
        <v>0</v>
      </c>
      <c r="AE114" s="164">
        <f t="shared" si="30"/>
        <v>0</v>
      </c>
      <c r="AF114" s="165">
        <f t="shared" si="30"/>
        <v>0</v>
      </c>
    </row>
    <row r="115" spans="1:32" outlineLevel="1" x14ac:dyDescent="0.2">
      <c r="A115" s="187" t="s">
        <v>612</v>
      </c>
      <c r="B115" s="99" t="s">
        <v>613</v>
      </c>
      <c r="C115" s="148">
        <f>SUM(D115:AE115)</f>
        <v>0</v>
      </c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  <c r="N115" s="149">
        <f>-N24</f>
        <v>0</v>
      </c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263"/>
    </row>
    <row r="116" spans="1:32" outlineLevel="1" x14ac:dyDescent="0.2">
      <c r="A116" s="187" t="s">
        <v>614</v>
      </c>
      <c r="B116" s="99" t="s">
        <v>615</v>
      </c>
      <c r="C116" s="148">
        <f>SUM(D116:AE116)</f>
        <v>0</v>
      </c>
      <c r="D116" s="188"/>
      <c r="E116" s="188"/>
      <c r="F116" s="188"/>
      <c r="G116" s="188"/>
      <c r="H116" s="188"/>
      <c r="I116" s="188"/>
      <c r="J116" s="188"/>
      <c r="K116" s="188"/>
      <c r="L116" s="188"/>
      <c r="M116" s="188"/>
      <c r="N116" s="149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263"/>
    </row>
    <row r="117" spans="1:32" x14ac:dyDescent="0.2">
      <c r="A117" s="137" t="s">
        <v>611</v>
      </c>
      <c r="B117" s="178" t="s">
        <v>1592</v>
      </c>
      <c r="C117" s="153">
        <f t="shared" ref="C117:AF117" si="31">SUM(C115:C116)</f>
        <v>0</v>
      </c>
      <c r="D117" s="154">
        <f t="shared" si="31"/>
        <v>0</v>
      </c>
      <c r="E117" s="155">
        <f t="shared" si="31"/>
        <v>0</v>
      </c>
      <c r="F117" s="155">
        <f t="shared" si="31"/>
        <v>0</v>
      </c>
      <c r="G117" s="155">
        <f t="shared" si="31"/>
        <v>0</v>
      </c>
      <c r="H117" s="155">
        <f t="shared" si="31"/>
        <v>0</v>
      </c>
      <c r="I117" s="155">
        <f t="shared" si="31"/>
        <v>0</v>
      </c>
      <c r="J117" s="155">
        <f t="shared" si="31"/>
        <v>0</v>
      </c>
      <c r="K117" s="155">
        <f t="shared" si="31"/>
        <v>0</v>
      </c>
      <c r="L117" s="155">
        <f t="shared" si="31"/>
        <v>0</v>
      </c>
      <c r="M117" s="155">
        <f t="shared" si="31"/>
        <v>0</v>
      </c>
      <c r="N117" s="155">
        <f t="shared" si="31"/>
        <v>0</v>
      </c>
      <c r="O117" s="155">
        <f t="shared" si="31"/>
        <v>0</v>
      </c>
      <c r="P117" s="155">
        <f t="shared" si="31"/>
        <v>0</v>
      </c>
      <c r="Q117" s="155">
        <f t="shared" si="31"/>
        <v>0</v>
      </c>
      <c r="R117" s="155">
        <f t="shared" si="31"/>
        <v>0</v>
      </c>
      <c r="S117" s="155">
        <f t="shared" si="31"/>
        <v>0</v>
      </c>
      <c r="T117" s="155">
        <f t="shared" si="31"/>
        <v>0</v>
      </c>
      <c r="U117" s="155">
        <f t="shared" si="31"/>
        <v>0</v>
      </c>
      <c r="V117" s="155">
        <f t="shared" si="31"/>
        <v>0</v>
      </c>
      <c r="W117" s="155">
        <f t="shared" si="31"/>
        <v>0</v>
      </c>
      <c r="X117" s="155">
        <f t="shared" si="31"/>
        <v>0</v>
      </c>
      <c r="Y117" s="155">
        <f t="shared" si="31"/>
        <v>0</v>
      </c>
      <c r="Z117" s="155">
        <f t="shared" si="31"/>
        <v>0</v>
      </c>
      <c r="AA117" s="155">
        <f t="shared" si="31"/>
        <v>0</v>
      </c>
      <c r="AB117" s="155">
        <f t="shared" si="31"/>
        <v>0</v>
      </c>
      <c r="AC117" s="155">
        <f t="shared" si="31"/>
        <v>0</v>
      </c>
      <c r="AD117" s="155">
        <f t="shared" si="31"/>
        <v>0</v>
      </c>
      <c r="AE117" s="155">
        <f t="shared" si="31"/>
        <v>0</v>
      </c>
      <c r="AF117" s="156">
        <f t="shared" si="31"/>
        <v>0</v>
      </c>
    </row>
    <row r="118" spans="1:32" s="100" customFormat="1" x14ac:dyDescent="0.2">
      <c r="A118" s="137" t="s">
        <v>616</v>
      </c>
      <c r="B118" s="178" t="s">
        <v>1593</v>
      </c>
      <c r="C118" s="153" t="e">
        <f t="shared" ref="C118:AF118" si="32">C63+C88+C114+C117</f>
        <v>#REF!</v>
      </c>
      <c r="D118" s="154" t="e">
        <f t="shared" si="32"/>
        <v>#REF!</v>
      </c>
      <c r="E118" s="155" t="e">
        <f t="shared" si="32"/>
        <v>#REF!</v>
      </c>
      <c r="F118" s="155" t="e">
        <f t="shared" si="32"/>
        <v>#REF!</v>
      </c>
      <c r="G118" s="155" t="e">
        <f t="shared" si="32"/>
        <v>#REF!</v>
      </c>
      <c r="H118" s="155" t="e">
        <f t="shared" si="32"/>
        <v>#REF!</v>
      </c>
      <c r="I118" s="155">
        <f t="shared" si="32"/>
        <v>0</v>
      </c>
      <c r="J118" s="155">
        <f t="shared" si="32"/>
        <v>0</v>
      </c>
      <c r="K118" s="155">
        <f t="shared" si="32"/>
        <v>0</v>
      </c>
      <c r="L118" s="155">
        <f t="shared" si="32"/>
        <v>-529.5</v>
      </c>
      <c r="M118" s="155">
        <f t="shared" si="32"/>
        <v>0</v>
      </c>
      <c r="N118" s="155">
        <f t="shared" si="32"/>
        <v>0</v>
      </c>
      <c r="O118" s="155">
        <f t="shared" si="32"/>
        <v>0</v>
      </c>
      <c r="P118" s="155">
        <f t="shared" si="32"/>
        <v>0</v>
      </c>
      <c r="Q118" s="155">
        <f t="shared" si="32"/>
        <v>0</v>
      </c>
      <c r="R118" s="155">
        <f t="shared" si="32"/>
        <v>0</v>
      </c>
      <c r="S118" s="155">
        <f t="shared" si="32"/>
        <v>0</v>
      </c>
      <c r="T118" s="155">
        <f t="shared" si="32"/>
        <v>0</v>
      </c>
      <c r="U118" s="155">
        <f t="shared" si="32"/>
        <v>-9769.3700000000008</v>
      </c>
      <c r="V118" s="155">
        <f t="shared" si="32"/>
        <v>612.34000000000196</v>
      </c>
      <c r="W118" s="155">
        <f t="shared" si="32"/>
        <v>0</v>
      </c>
      <c r="X118" s="155" t="e">
        <f t="shared" si="32"/>
        <v>#REF!</v>
      </c>
      <c r="Y118" s="155">
        <f t="shared" si="32"/>
        <v>0</v>
      </c>
      <c r="Z118" s="155">
        <f t="shared" si="32"/>
        <v>0</v>
      </c>
      <c r="AA118" s="155">
        <f t="shared" si="32"/>
        <v>8627.0399999999991</v>
      </c>
      <c r="AB118" s="155">
        <f t="shared" si="32"/>
        <v>0</v>
      </c>
      <c r="AC118" s="155">
        <f t="shared" si="32"/>
        <v>0</v>
      </c>
      <c r="AD118" s="155">
        <f t="shared" si="32"/>
        <v>0</v>
      </c>
      <c r="AE118" s="155">
        <f t="shared" si="32"/>
        <v>0</v>
      </c>
      <c r="AF118" s="156" t="e">
        <f t="shared" si="32"/>
        <v>#REF!</v>
      </c>
    </row>
    <row r="119" spans="1:32" x14ac:dyDescent="0.2">
      <c r="A119" s="147" t="s">
        <v>617</v>
      </c>
      <c r="B119" s="102" t="s">
        <v>1594</v>
      </c>
      <c r="C119" s="148">
        <f>SUM(D119:AE119)</f>
        <v>0</v>
      </c>
      <c r="D119" s="150"/>
      <c r="E119" s="166"/>
      <c r="F119" s="166"/>
      <c r="G119" s="166"/>
      <c r="H119" s="166"/>
      <c r="I119" s="166"/>
      <c r="J119" s="150"/>
      <c r="K119" s="150"/>
      <c r="L119" s="150"/>
      <c r="M119" s="166"/>
      <c r="N119" s="150">
        <f>N3</f>
        <v>0</v>
      </c>
      <c r="O119" s="150"/>
      <c r="P119" s="150"/>
      <c r="Q119" s="188"/>
      <c r="R119" s="150"/>
      <c r="S119" s="150"/>
      <c r="T119" s="150"/>
      <c r="U119" s="150"/>
      <c r="V119" s="150"/>
      <c r="W119" s="150"/>
      <c r="X119" s="150"/>
      <c r="Y119" s="150"/>
      <c r="Z119" s="188"/>
      <c r="AA119" s="188"/>
      <c r="AB119" s="188"/>
      <c r="AC119" s="188"/>
      <c r="AD119" s="188"/>
      <c r="AE119" s="188"/>
      <c r="AF119" s="263"/>
    </row>
    <row r="120" spans="1:32" s="100" customFormat="1" ht="10.8" thickBot="1" x14ac:dyDescent="0.25">
      <c r="A120" s="147" t="s">
        <v>1891</v>
      </c>
      <c r="B120" s="102" t="s">
        <v>1595</v>
      </c>
      <c r="C120" s="148">
        <f>SUM(D120:AE120)</f>
        <v>16.509999999999991</v>
      </c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0">
        <f>N4</f>
        <v>16.509999999999991</v>
      </c>
      <c r="O120" s="151"/>
      <c r="P120" s="151"/>
      <c r="Q120" s="188"/>
      <c r="R120" s="151"/>
      <c r="S120" s="151"/>
      <c r="T120" s="151"/>
      <c r="U120" s="151"/>
      <c r="V120" s="151"/>
      <c r="W120" s="151"/>
      <c r="X120" s="151"/>
      <c r="Y120" s="151"/>
      <c r="Z120" s="188"/>
      <c r="AA120" s="188"/>
      <c r="AB120" s="188"/>
      <c r="AC120" s="188"/>
      <c r="AD120" s="188"/>
      <c r="AE120" s="188"/>
      <c r="AF120" s="263"/>
    </row>
    <row r="121" spans="1:32" ht="10.8" thickBot="1" x14ac:dyDescent="0.25">
      <c r="A121" s="248"/>
      <c r="B121" s="249" t="s">
        <v>1708</v>
      </c>
      <c r="C121" s="250" t="e">
        <f t="shared" ref="C121:AF121" si="33">C118-C120+C119</f>
        <v>#REF!</v>
      </c>
      <c r="D121" s="251" t="e">
        <f t="shared" si="33"/>
        <v>#REF!</v>
      </c>
      <c r="E121" s="252" t="e">
        <f t="shared" si="33"/>
        <v>#REF!</v>
      </c>
      <c r="F121" s="252" t="e">
        <f t="shared" si="33"/>
        <v>#REF!</v>
      </c>
      <c r="G121" s="252" t="e">
        <f t="shared" si="33"/>
        <v>#REF!</v>
      </c>
      <c r="H121" s="252" t="e">
        <f t="shared" si="33"/>
        <v>#REF!</v>
      </c>
      <c r="I121" s="252">
        <f t="shared" si="33"/>
        <v>0</v>
      </c>
      <c r="J121" s="252">
        <f t="shared" si="33"/>
        <v>0</v>
      </c>
      <c r="K121" s="252">
        <f t="shared" si="33"/>
        <v>0</v>
      </c>
      <c r="L121" s="252">
        <f t="shared" si="33"/>
        <v>-529.5</v>
      </c>
      <c r="M121" s="252">
        <f t="shared" si="33"/>
        <v>0</v>
      </c>
      <c r="N121" s="252">
        <f t="shared" si="33"/>
        <v>-16.509999999999991</v>
      </c>
      <c r="O121" s="252">
        <f t="shared" si="33"/>
        <v>0</v>
      </c>
      <c r="P121" s="252">
        <f t="shared" si="33"/>
        <v>0</v>
      </c>
      <c r="Q121" s="252">
        <f t="shared" si="33"/>
        <v>0</v>
      </c>
      <c r="R121" s="252">
        <f t="shared" si="33"/>
        <v>0</v>
      </c>
      <c r="S121" s="252">
        <f t="shared" si="33"/>
        <v>0</v>
      </c>
      <c r="T121" s="252">
        <f t="shared" si="33"/>
        <v>0</v>
      </c>
      <c r="U121" s="252">
        <f t="shared" si="33"/>
        <v>-9769.3700000000008</v>
      </c>
      <c r="V121" s="252">
        <f t="shared" si="33"/>
        <v>612.34000000000196</v>
      </c>
      <c r="W121" s="252">
        <f t="shared" si="33"/>
        <v>0</v>
      </c>
      <c r="X121" s="252" t="e">
        <f t="shared" si="33"/>
        <v>#REF!</v>
      </c>
      <c r="Y121" s="252">
        <f t="shared" si="33"/>
        <v>0</v>
      </c>
      <c r="Z121" s="252">
        <f t="shared" si="33"/>
        <v>0</v>
      </c>
      <c r="AA121" s="252">
        <f t="shared" si="33"/>
        <v>8627.0399999999991</v>
      </c>
      <c r="AB121" s="252">
        <f t="shared" si="33"/>
        <v>0</v>
      </c>
      <c r="AC121" s="252">
        <f t="shared" si="33"/>
        <v>0</v>
      </c>
      <c r="AD121" s="252">
        <f t="shared" si="33"/>
        <v>0</v>
      </c>
      <c r="AE121" s="252">
        <f t="shared" si="33"/>
        <v>0</v>
      </c>
      <c r="AF121" s="253" t="e">
        <f t="shared" si="33"/>
        <v>#REF!</v>
      </c>
    </row>
    <row r="122" spans="1:32" ht="12.75" customHeight="1" thickBot="1" x14ac:dyDescent="0.25">
      <c r="A122" s="107"/>
      <c r="B122" s="108"/>
      <c r="C122" s="150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</row>
    <row r="123" spans="1:32" s="100" customFormat="1" ht="10.8" thickBot="1" x14ac:dyDescent="0.25">
      <c r="A123" s="109"/>
      <c r="B123" s="110" t="s">
        <v>1892</v>
      </c>
      <c r="C123" s="182" t="e">
        <f>C121-C6</f>
        <v>#REF!</v>
      </c>
      <c r="D123" s="172" t="e">
        <f t="shared" ref="D123:AF123" si="34">D121+D6</f>
        <v>#REF!</v>
      </c>
      <c r="E123" s="173" t="e">
        <f t="shared" si="34"/>
        <v>#REF!</v>
      </c>
      <c r="F123" s="173" t="e">
        <f t="shared" si="34"/>
        <v>#REF!</v>
      </c>
      <c r="G123" s="173" t="e">
        <f t="shared" si="34"/>
        <v>#REF!</v>
      </c>
      <c r="H123" s="173" t="e">
        <f t="shared" si="34"/>
        <v>#REF!</v>
      </c>
      <c r="I123" s="173">
        <f t="shared" si="34"/>
        <v>0</v>
      </c>
      <c r="J123" s="173">
        <f t="shared" si="34"/>
        <v>0</v>
      </c>
      <c r="K123" s="173">
        <f t="shared" si="34"/>
        <v>0</v>
      </c>
      <c r="L123" s="173">
        <f t="shared" si="34"/>
        <v>0</v>
      </c>
      <c r="M123" s="173">
        <f t="shared" si="34"/>
        <v>0</v>
      </c>
      <c r="N123" s="173">
        <f t="shared" si="34"/>
        <v>0</v>
      </c>
      <c r="O123" s="173">
        <f t="shared" si="34"/>
        <v>0</v>
      </c>
      <c r="P123" s="173">
        <f t="shared" si="34"/>
        <v>0</v>
      </c>
      <c r="Q123" s="173">
        <f t="shared" si="34"/>
        <v>0</v>
      </c>
      <c r="R123" s="173">
        <f t="shared" si="34"/>
        <v>0</v>
      </c>
      <c r="S123" s="173">
        <f t="shared" si="34"/>
        <v>0</v>
      </c>
      <c r="T123" s="173">
        <f t="shared" si="34"/>
        <v>0</v>
      </c>
      <c r="U123" s="173">
        <f t="shared" si="34"/>
        <v>0</v>
      </c>
      <c r="V123" s="173">
        <f t="shared" si="34"/>
        <v>0</v>
      </c>
      <c r="W123" s="173">
        <f>W121+W6</f>
        <v>0</v>
      </c>
      <c r="X123" s="173" t="e">
        <f>X121+X6</f>
        <v>#REF!</v>
      </c>
      <c r="Y123" s="173">
        <f>Y121+Y6</f>
        <v>0</v>
      </c>
      <c r="Z123" s="173">
        <f t="shared" si="34"/>
        <v>0</v>
      </c>
      <c r="AA123" s="173">
        <f t="shared" si="34"/>
        <v>0</v>
      </c>
      <c r="AB123" s="173">
        <f t="shared" si="34"/>
        <v>0</v>
      </c>
      <c r="AC123" s="173">
        <f t="shared" si="34"/>
        <v>0</v>
      </c>
      <c r="AD123" s="173">
        <f t="shared" si="34"/>
        <v>0</v>
      </c>
      <c r="AE123" s="173">
        <f t="shared" si="34"/>
        <v>0</v>
      </c>
      <c r="AF123" s="174" t="e">
        <f t="shared" si="34"/>
        <v>#REF!</v>
      </c>
    </row>
    <row r="124" spans="1:32" ht="10.8" thickBot="1" x14ac:dyDescent="0.25"/>
    <row r="125" spans="1:32" ht="10.8" thickBot="1" x14ac:dyDescent="0.25">
      <c r="C125" s="270" t="e">
        <f>C117+C114+C89</f>
        <v>#REF!</v>
      </c>
    </row>
    <row r="126" spans="1:32" ht="10.8" thickBot="1" x14ac:dyDescent="0.25">
      <c r="C126" s="271"/>
    </row>
    <row r="127" spans="1:32" ht="10.8" thickBot="1" x14ac:dyDescent="0.25">
      <c r="C127" s="270">
        <f>C120-C119</f>
        <v>16.509999999999991</v>
      </c>
    </row>
    <row r="128" spans="1:32" ht="10.8" thickBot="1" x14ac:dyDescent="0.25"/>
    <row r="129" spans="3:3" ht="10.8" thickBot="1" x14ac:dyDescent="0.25">
      <c r="C129" s="138" t="e">
        <f>C125-C127</f>
        <v>#REF!</v>
      </c>
    </row>
    <row r="130" spans="3:3" x14ac:dyDescent="0.2">
      <c r="C130" s="272" t="s">
        <v>1492</v>
      </c>
    </row>
  </sheetData>
  <customSheetViews>
    <customSheetView guid="{305BD771-46DB-4130-A6E1-9C92E07EE410}" hiddenRows="1" showRuler="0">
      <selection sqref="A1:B2"/>
      <pageMargins left="0.75" right="0.75" top="1" bottom="1" header="0.5" footer="0.5"/>
      <pageSetup paperSize="9" orientation="portrait" r:id="rId1"/>
      <headerFooter alignWithMargins="0"/>
    </customSheetView>
  </customSheetViews>
  <mergeCells count="32">
    <mergeCell ref="A6:B6"/>
    <mergeCell ref="M1:M2"/>
    <mergeCell ref="AB1:AB2"/>
    <mergeCell ref="T1:T2"/>
    <mergeCell ref="U1:U2"/>
    <mergeCell ref="V1:V2"/>
    <mergeCell ref="W1:W2"/>
    <mergeCell ref="O1:O2"/>
    <mergeCell ref="K1:K2"/>
    <mergeCell ref="A1:B2"/>
    <mergeCell ref="S1:S2"/>
    <mergeCell ref="Q1:Q2"/>
    <mergeCell ref="L1:L2"/>
    <mergeCell ref="N1:N2"/>
    <mergeCell ref="P1:P2"/>
    <mergeCell ref="R1:R2"/>
    <mergeCell ref="AF1:AF2"/>
    <mergeCell ref="Z1:Z2"/>
    <mergeCell ref="AA1:AA2"/>
    <mergeCell ref="AC1:AC2"/>
    <mergeCell ref="AD1:AD2"/>
    <mergeCell ref="AE1:AE2"/>
    <mergeCell ref="X1:X2"/>
    <mergeCell ref="Y1:Y2"/>
    <mergeCell ref="C1:C2"/>
    <mergeCell ref="D1:D2"/>
    <mergeCell ref="E1:E2"/>
    <mergeCell ref="F1:F2"/>
    <mergeCell ref="G1:G2"/>
    <mergeCell ref="H1:H2"/>
    <mergeCell ref="I1:I2"/>
    <mergeCell ref="J1:J2"/>
  </mergeCells>
  <phoneticPr fontId="7" type="noConversion"/>
  <pageMargins left="0.75" right="0.75" top="1" bottom="1" header="0.5" footer="0.5"/>
  <pageSetup paperSize="9" orientation="portrait" r:id="rId2"/>
  <headerFooter alignWithMargins="0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4"/>
  <dimension ref="A1:E28"/>
  <sheetViews>
    <sheetView workbookViewId="0"/>
  </sheetViews>
  <sheetFormatPr defaultColWidth="9.109375" defaultRowHeight="10.199999999999999" x14ac:dyDescent="0.25"/>
  <cols>
    <col min="1" max="1" width="30.88671875" style="202" customWidth="1"/>
    <col min="2" max="2" width="13.6640625" style="202" customWidth="1"/>
    <col min="3" max="3" width="10.6640625" style="202" customWidth="1"/>
    <col min="4" max="4" width="11.109375" style="202" customWidth="1"/>
    <col min="5" max="5" width="10.6640625" style="202" customWidth="1"/>
    <col min="6" max="16384" width="9.109375" style="202"/>
  </cols>
  <sheetData>
    <row r="1" spans="1:5" ht="31.2" x14ac:dyDescent="0.25">
      <c r="A1" s="268" t="s">
        <v>2778</v>
      </c>
    </row>
    <row r="2" spans="1:5" x14ac:dyDescent="0.25">
      <c r="A2" s="203"/>
    </row>
    <row r="3" spans="1:5" s="206" customFormat="1" x14ac:dyDescent="0.25">
      <c r="A3" s="269" t="s">
        <v>217</v>
      </c>
      <c r="B3" s="204"/>
      <c r="C3" s="204"/>
      <c r="D3" s="205"/>
    </row>
    <row r="4" spans="1:5" x14ac:dyDescent="0.25">
      <c r="A4" s="203"/>
    </row>
    <row r="5" spans="1:5" x14ac:dyDescent="0.25">
      <c r="A5" s="207" t="s">
        <v>218</v>
      </c>
      <c r="B5" s="208" t="s">
        <v>219</v>
      </c>
      <c r="C5" s="208" t="s">
        <v>2643</v>
      </c>
      <c r="D5" s="208" t="s">
        <v>232</v>
      </c>
      <c r="E5" s="208" t="s">
        <v>232</v>
      </c>
    </row>
    <row r="6" spans="1:5" x14ac:dyDescent="0.25">
      <c r="A6" s="209"/>
      <c r="B6" s="210"/>
      <c r="C6" s="210"/>
      <c r="D6" s="210"/>
      <c r="E6" s="209"/>
    </row>
    <row r="7" spans="1:5" s="203" customFormat="1" x14ac:dyDescent="0.25">
      <c r="A7" s="211" t="s">
        <v>233</v>
      </c>
      <c r="B7" s="235">
        <f>'kontrola LD'!G448</f>
        <v>0</v>
      </c>
      <c r="C7" s="212"/>
      <c r="D7" s="212"/>
      <c r="E7" s="211"/>
    </row>
    <row r="8" spans="1:5" x14ac:dyDescent="0.25">
      <c r="A8" s="209" t="s">
        <v>234</v>
      </c>
      <c r="B8" s="210"/>
      <c r="C8" s="213"/>
      <c r="D8" s="210"/>
      <c r="E8" s="209"/>
    </row>
    <row r="9" spans="1:5" x14ac:dyDescent="0.25">
      <c r="A9" s="209" t="s">
        <v>2782</v>
      </c>
      <c r="B9" s="210"/>
      <c r="C9" s="210"/>
      <c r="D9" s="232"/>
      <c r="E9" s="209"/>
    </row>
    <row r="10" spans="1:5" x14ac:dyDescent="0.25">
      <c r="A10" s="209" t="s">
        <v>2783</v>
      </c>
      <c r="B10" s="210"/>
      <c r="C10" s="210"/>
      <c r="D10" s="212"/>
      <c r="E10" s="234">
        <f>B7-C8-D9</f>
        <v>0</v>
      </c>
    </row>
    <row r="11" spans="1:5" x14ac:dyDescent="0.25">
      <c r="A11" s="214" t="s">
        <v>2784</v>
      </c>
      <c r="B11" s="233"/>
      <c r="C11" s="233"/>
      <c r="D11" s="215" t="s">
        <v>236</v>
      </c>
      <c r="E11" s="215" t="s">
        <v>236</v>
      </c>
    </row>
    <row r="12" spans="1:5" x14ac:dyDescent="0.25">
      <c r="A12" s="214" t="s">
        <v>235</v>
      </c>
      <c r="B12" s="216"/>
      <c r="C12" s="217"/>
      <c r="D12" s="222" t="s">
        <v>2785</v>
      </c>
      <c r="E12" s="221" t="s">
        <v>893</v>
      </c>
    </row>
    <row r="15" spans="1:5" x14ac:dyDescent="0.2">
      <c r="A15" s="224" t="s">
        <v>2787</v>
      </c>
      <c r="B15" s="240"/>
      <c r="C15" s="241"/>
      <c r="D15" s="218"/>
    </row>
    <row r="16" spans="1:5" x14ac:dyDescent="0.2">
      <c r="A16" s="237"/>
      <c r="B16" s="242" t="s">
        <v>238</v>
      </c>
      <c r="C16" s="238">
        <f>'kontrola LD'!G460</f>
        <v>0</v>
      </c>
    </row>
    <row r="17" spans="1:4" x14ac:dyDescent="0.2">
      <c r="A17" s="237"/>
      <c r="B17" s="242" t="s">
        <v>239</v>
      </c>
      <c r="C17" s="238">
        <f>'kontrola LD'!G518</f>
        <v>0</v>
      </c>
    </row>
    <row r="18" spans="1:4" x14ac:dyDescent="0.2">
      <c r="A18" s="224" t="s">
        <v>219</v>
      </c>
      <c r="B18" s="236"/>
      <c r="C18" s="239">
        <f>SUM(C16:C17)</f>
        <v>0</v>
      </c>
    </row>
    <row r="19" spans="1:4" x14ac:dyDescent="0.25">
      <c r="A19" s="243" t="s">
        <v>2784</v>
      </c>
      <c r="B19" s="233"/>
      <c r="C19" s="244" t="s">
        <v>2788</v>
      </c>
    </row>
    <row r="20" spans="1:4" x14ac:dyDescent="0.25">
      <c r="A20" s="214" t="s">
        <v>235</v>
      </c>
      <c r="B20" s="223"/>
      <c r="C20" s="221" t="s">
        <v>893</v>
      </c>
    </row>
    <row r="23" spans="1:4" x14ac:dyDescent="0.25">
      <c r="A23" s="225" t="s">
        <v>240</v>
      </c>
      <c r="B23" s="226" t="s">
        <v>2790</v>
      </c>
      <c r="C23" s="226" t="s">
        <v>2791</v>
      </c>
      <c r="D23" s="226" t="s">
        <v>237</v>
      </c>
    </row>
    <row r="24" spans="1:4" x14ac:dyDescent="0.25">
      <c r="A24" s="227" t="s">
        <v>241</v>
      </c>
      <c r="B24" s="228" t="s">
        <v>242</v>
      </c>
      <c r="C24" s="228" t="s">
        <v>242</v>
      </c>
      <c r="D24" s="228" t="s">
        <v>243</v>
      </c>
    </row>
    <row r="25" spans="1:4" ht="20.399999999999999" x14ac:dyDescent="0.25">
      <c r="A25" s="229" t="s">
        <v>2794</v>
      </c>
      <c r="B25" s="245">
        <f>'BS-SK format'!G127</f>
        <v>0</v>
      </c>
      <c r="C25" s="245">
        <f>'BS-SK format'!F127</f>
        <v>0</v>
      </c>
      <c r="D25" s="245">
        <f>C25-B25</f>
        <v>0</v>
      </c>
    </row>
    <row r="26" spans="1:4" x14ac:dyDescent="0.25">
      <c r="A26" s="220" t="s">
        <v>244</v>
      </c>
      <c r="B26" s="230"/>
      <c r="C26" s="230"/>
      <c r="D26" s="245" t="e">
        <f>'kontrola LD'!#REF!</f>
        <v>#REF!</v>
      </c>
    </row>
    <row r="27" spans="1:4" x14ac:dyDescent="0.25">
      <c r="A27" s="220" t="s">
        <v>245</v>
      </c>
      <c r="B27" s="230"/>
      <c r="C27" s="230"/>
      <c r="D27" s="245" t="e">
        <f>-'kontrola LD'!#REF!</f>
        <v>#REF!</v>
      </c>
    </row>
    <row r="28" spans="1:4" x14ac:dyDescent="0.25">
      <c r="A28" s="219" t="s">
        <v>219</v>
      </c>
      <c r="B28" s="231"/>
      <c r="C28" s="231"/>
      <c r="D28" s="246" t="e">
        <f>D25-D26+D27</f>
        <v>#REF!</v>
      </c>
    </row>
  </sheetData>
  <customSheetViews>
    <customSheetView guid="{305BD771-46DB-4130-A6E1-9C92E07EE410}" showRuler="0">
      <pageMargins left="0.75" right="0.75" top="1" bottom="1" header="0.5" footer="0.5"/>
      <headerFooter alignWithMargins="0"/>
    </customSheetView>
  </customSheetViews>
  <phoneticPr fontId="7" type="noConversion"/>
  <pageMargins left="0.75" right="0.75" top="1" bottom="1" header="0.5" footer="0.5"/>
  <headerFooter alignWithMargins="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7"/>
  <sheetViews>
    <sheetView topLeftCell="B1" zoomScale="90" zoomScaleNormal="90" workbookViewId="0">
      <pane ySplit="5" topLeftCell="A126" activePane="bottomLeft" state="frozen"/>
      <selection pane="bottomLeft" activeCell="I215" sqref="I215"/>
    </sheetView>
  </sheetViews>
  <sheetFormatPr defaultColWidth="8.88671875" defaultRowHeight="12" x14ac:dyDescent="0.25"/>
  <cols>
    <col min="1" max="2" width="8.88671875" style="658"/>
    <col min="3" max="3" width="17.33203125" style="658" bestFit="1" customWidth="1"/>
    <col min="4" max="4" width="8.109375" style="658" bestFit="1" customWidth="1"/>
    <col min="5" max="5" width="24.6640625" style="658" customWidth="1"/>
    <col min="6" max="6" width="4.88671875" style="658" bestFit="1" customWidth="1"/>
    <col min="7" max="7" width="20.5546875" style="658" customWidth="1"/>
    <col min="8" max="8" width="9.44140625" style="658" customWidth="1"/>
    <col min="9" max="9" width="15" style="658" customWidth="1"/>
    <col min="10" max="10" width="19.33203125" style="658" bestFit="1" customWidth="1"/>
    <col min="11" max="11" width="23.109375" style="658" customWidth="1"/>
    <col min="12" max="12" width="13.77734375" style="658" customWidth="1"/>
    <col min="13" max="16384" width="8.88671875" style="658"/>
  </cols>
  <sheetData>
    <row r="1" spans="1:13" x14ac:dyDescent="0.25">
      <c r="A1" s="660"/>
      <c r="E1" s="661"/>
      <c r="F1" s="661"/>
      <c r="G1" s="661"/>
      <c r="K1" s="846">
        <v>43100</v>
      </c>
    </row>
    <row r="2" spans="1:13" x14ac:dyDescent="0.25">
      <c r="A2" s="662"/>
      <c r="B2" s="662"/>
      <c r="C2" s="662"/>
      <c r="D2" s="662"/>
      <c r="E2" s="662"/>
      <c r="F2" s="661"/>
      <c r="G2" s="661"/>
      <c r="H2" s="663"/>
    </row>
    <row r="3" spans="1:13" x14ac:dyDescent="0.25">
      <c r="A3" s="664"/>
      <c r="B3" s="664"/>
      <c r="C3" s="664"/>
      <c r="D3" s="661"/>
      <c r="E3" s="661"/>
      <c r="F3" s="661"/>
      <c r="G3" s="661"/>
      <c r="H3" s="663"/>
    </row>
    <row r="4" spans="1:13" ht="9.6" customHeight="1" x14ac:dyDescent="0.25">
      <c r="A4" s="658">
        <v>1</v>
      </c>
      <c r="B4" s="658">
        <v>2</v>
      </c>
      <c r="C4" s="658">
        <v>3</v>
      </c>
      <c r="D4" s="658">
        <v>4</v>
      </c>
      <c r="E4" s="658">
        <v>5</v>
      </c>
      <c r="F4" s="658">
        <v>6</v>
      </c>
      <c r="G4" s="658">
        <v>7</v>
      </c>
      <c r="H4" s="658">
        <v>8</v>
      </c>
      <c r="I4" s="658">
        <v>9</v>
      </c>
      <c r="J4" s="658">
        <v>10</v>
      </c>
      <c r="K4" s="658">
        <v>11</v>
      </c>
    </row>
    <row r="5" spans="1:13" x14ac:dyDescent="0.25">
      <c r="A5" s="665" t="s">
        <v>3001</v>
      </c>
      <c r="B5" s="665" t="s">
        <v>3000</v>
      </c>
      <c r="C5" s="666" t="s">
        <v>2868</v>
      </c>
      <c r="D5" s="667" t="s">
        <v>2869</v>
      </c>
      <c r="E5" s="666" t="s">
        <v>2870</v>
      </c>
      <c r="F5" s="666" t="s">
        <v>2871</v>
      </c>
      <c r="G5" s="666" t="s">
        <v>2872</v>
      </c>
      <c r="H5" s="666" t="s">
        <v>2873</v>
      </c>
      <c r="I5" s="666" t="s">
        <v>2874</v>
      </c>
      <c r="J5" s="666" t="s">
        <v>2875</v>
      </c>
      <c r="K5" s="666" t="s">
        <v>2876</v>
      </c>
      <c r="L5" s="668"/>
    </row>
    <row r="6" spans="1:13" x14ac:dyDescent="0.25">
      <c r="A6" s="658" t="s">
        <v>3084</v>
      </c>
      <c r="B6" s="658" t="str">
        <f t="shared" ref="B6:B56" si="0">RIGHT(C6,3)</f>
        <v>K01</v>
      </c>
      <c r="C6" s="661" t="s">
        <v>2877</v>
      </c>
      <c r="D6" s="661">
        <v>13010</v>
      </c>
      <c r="E6" s="661" t="s">
        <v>1865</v>
      </c>
      <c r="F6" s="661" t="s">
        <v>2837</v>
      </c>
      <c r="G6" s="668">
        <v>0</v>
      </c>
      <c r="H6" s="668"/>
      <c r="I6" s="668"/>
      <c r="J6" s="668"/>
      <c r="K6" s="668">
        <f>G6+I6-J6</f>
        <v>0</v>
      </c>
      <c r="L6" s="669"/>
      <c r="M6" s="670"/>
    </row>
    <row r="7" spans="1:13" x14ac:dyDescent="0.25">
      <c r="A7" s="670">
        <v>13</v>
      </c>
      <c r="B7" s="658" t="str">
        <f t="shared" si="0"/>
        <v>013</v>
      </c>
      <c r="C7" s="661" t="s">
        <v>3002</v>
      </c>
      <c r="D7" s="661"/>
      <c r="E7" s="661"/>
      <c r="F7" s="661" t="s">
        <v>2837</v>
      </c>
      <c r="G7" s="668">
        <v>0</v>
      </c>
      <c r="H7" s="668"/>
      <c r="I7" s="668"/>
      <c r="J7" s="668"/>
      <c r="K7" s="668">
        <f t="shared" ref="K7:K57" si="1">G7+I7-J7</f>
        <v>0</v>
      </c>
      <c r="L7" s="669"/>
      <c r="M7" s="670"/>
    </row>
    <row r="8" spans="1:13" x14ac:dyDescent="0.25">
      <c r="A8" s="658" t="s">
        <v>3084</v>
      </c>
      <c r="B8" s="658" t="str">
        <f t="shared" si="0"/>
        <v>K01</v>
      </c>
      <c r="C8" s="661" t="s">
        <v>2877</v>
      </c>
      <c r="D8" s="661">
        <v>19010</v>
      </c>
      <c r="E8" s="661" t="s">
        <v>2878</v>
      </c>
      <c r="F8" s="661" t="s">
        <v>2837</v>
      </c>
      <c r="G8" s="668">
        <v>0</v>
      </c>
      <c r="H8" s="668"/>
      <c r="I8" s="668"/>
      <c r="J8" s="668"/>
      <c r="K8" s="668">
        <f t="shared" si="1"/>
        <v>0</v>
      </c>
      <c r="L8" s="669"/>
      <c r="M8" s="670"/>
    </row>
    <row r="9" spans="1:13" x14ac:dyDescent="0.25">
      <c r="A9" s="670">
        <v>19</v>
      </c>
      <c r="B9" s="658" t="str">
        <f t="shared" si="0"/>
        <v>019</v>
      </c>
      <c r="C9" s="661" t="s">
        <v>3003</v>
      </c>
      <c r="D9" s="661"/>
      <c r="E9" s="661"/>
      <c r="F9" s="661" t="s">
        <v>2837</v>
      </c>
      <c r="G9" s="668">
        <v>0</v>
      </c>
      <c r="H9" s="668"/>
      <c r="I9" s="668"/>
      <c r="J9" s="668"/>
      <c r="K9" s="668">
        <f t="shared" si="1"/>
        <v>0</v>
      </c>
      <c r="L9" s="669"/>
      <c r="M9" s="670"/>
    </row>
    <row r="10" spans="1:13" x14ac:dyDescent="0.25">
      <c r="A10" s="658" t="s">
        <v>3084</v>
      </c>
      <c r="B10" s="658" t="str">
        <f t="shared" si="0"/>
        <v>K01</v>
      </c>
      <c r="C10" s="661" t="s">
        <v>2877</v>
      </c>
      <c r="D10" s="661">
        <v>21010</v>
      </c>
      <c r="E10" s="661" t="s">
        <v>2879</v>
      </c>
      <c r="F10" s="661" t="s">
        <v>2837</v>
      </c>
      <c r="G10" s="668">
        <v>0</v>
      </c>
      <c r="H10" s="668"/>
      <c r="I10" s="668"/>
      <c r="J10" s="668"/>
      <c r="K10" s="668">
        <f t="shared" si="1"/>
        <v>0</v>
      </c>
      <c r="L10" s="669"/>
      <c r="M10" s="670"/>
    </row>
    <row r="11" spans="1:13" x14ac:dyDescent="0.25">
      <c r="A11" s="670">
        <v>21</v>
      </c>
      <c r="B11" s="658" t="str">
        <f t="shared" si="0"/>
        <v>021</v>
      </c>
      <c r="C11" s="661" t="s">
        <v>3004</v>
      </c>
      <c r="D11" s="661"/>
      <c r="E11" s="661"/>
      <c r="F11" s="661" t="s">
        <v>2837</v>
      </c>
      <c r="G11" s="668">
        <v>0</v>
      </c>
      <c r="H11" s="668"/>
      <c r="I11" s="668"/>
      <c r="J11" s="668"/>
      <c r="K11" s="668">
        <f t="shared" si="1"/>
        <v>0</v>
      </c>
      <c r="L11" s="669"/>
      <c r="M11" s="670"/>
    </row>
    <row r="12" spans="1:13" x14ac:dyDescent="0.25">
      <c r="A12" s="658" t="s">
        <v>3084</v>
      </c>
      <c r="B12" s="658" t="str">
        <f t="shared" si="0"/>
        <v>K01</v>
      </c>
      <c r="C12" s="661" t="s">
        <v>2877</v>
      </c>
      <c r="D12" s="661">
        <v>22010</v>
      </c>
      <c r="E12" s="661" t="s">
        <v>2880</v>
      </c>
      <c r="F12" s="661" t="s">
        <v>2837</v>
      </c>
      <c r="G12" s="668">
        <v>0</v>
      </c>
      <c r="H12" s="668"/>
      <c r="I12" s="668"/>
      <c r="J12" s="668"/>
      <c r="K12" s="668">
        <f t="shared" si="1"/>
        <v>0</v>
      </c>
      <c r="L12" s="669"/>
      <c r="M12" s="670"/>
    </row>
    <row r="13" spans="1:13" x14ac:dyDescent="0.25">
      <c r="A13" s="658" t="s">
        <v>3084</v>
      </c>
      <c r="B13" s="658" t="str">
        <f t="shared" si="0"/>
        <v>K01</v>
      </c>
      <c r="C13" s="661" t="s">
        <v>2877</v>
      </c>
      <c r="D13" s="661">
        <v>22020</v>
      </c>
      <c r="E13" s="661" t="s">
        <v>2881</v>
      </c>
      <c r="F13" s="661" t="s">
        <v>2837</v>
      </c>
      <c r="G13" s="668">
        <v>0</v>
      </c>
      <c r="H13" s="668"/>
      <c r="I13" s="668"/>
      <c r="J13" s="668"/>
      <c r="K13" s="668">
        <f t="shared" si="1"/>
        <v>0</v>
      </c>
      <c r="L13" s="669"/>
      <c r="M13" s="670"/>
    </row>
    <row r="14" spans="1:13" x14ac:dyDescent="0.25">
      <c r="A14" s="658" t="s">
        <v>3084</v>
      </c>
      <c r="B14" s="658" t="str">
        <f t="shared" si="0"/>
        <v>K01</v>
      </c>
      <c r="C14" s="661" t="s">
        <v>2877</v>
      </c>
      <c r="D14" s="661">
        <v>22060</v>
      </c>
      <c r="E14" s="661" t="s">
        <v>2882</v>
      </c>
      <c r="F14" s="661" t="s">
        <v>2837</v>
      </c>
      <c r="G14" s="668">
        <v>0</v>
      </c>
      <c r="H14" s="668"/>
      <c r="I14" s="668"/>
      <c r="J14" s="668"/>
      <c r="K14" s="668">
        <f t="shared" si="1"/>
        <v>0</v>
      </c>
      <c r="L14" s="669"/>
      <c r="M14" s="670"/>
    </row>
    <row r="15" spans="1:13" x14ac:dyDescent="0.25">
      <c r="A15" s="658" t="s">
        <v>3084</v>
      </c>
      <c r="B15" s="658" t="str">
        <f t="shared" si="0"/>
        <v>K01</v>
      </c>
      <c r="C15" s="661" t="s">
        <v>2877</v>
      </c>
      <c r="D15" s="661">
        <v>22070</v>
      </c>
      <c r="E15" s="661" t="s">
        <v>2883</v>
      </c>
      <c r="F15" s="661" t="s">
        <v>2837</v>
      </c>
      <c r="G15" s="668">
        <v>0</v>
      </c>
      <c r="H15" s="668"/>
      <c r="I15" s="668"/>
      <c r="J15" s="668"/>
      <c r="K15" s="668">
        <f t="shared" si="1"/>
        <v>0</v>
      </c>
      <c r="L15" s="669"/>
      <c r="M15" s="670"/>
    </row>
    <row r="16" spans="1:13" x14ac:dyDescent="0.25">
      <c r="A16" s="670">
        <v>22</v>
      </c>
      <c r="B16" s="658" t="str">
        <f t="shared" si="0"/>
        <v>022</v>
      </c>
      <c r="C16" s="661" t="s">
        <v>3005</v>
      </c>
      <c r="D16" s="661"/>
      <c r="E16" s="661"/>
      <c r="F16" s="661" t="s">
        <v>2837</v>
      </c>
      <c r="G16" s="668">
        <v>0</v>
      </c>
      <c r="H16" s="668"/>
      <c r="I16" s="668"/>
      <c r="J16" s="668"/>
      <c r="K16" s="668">
        <f t="shared" si="1"/>
        <v>0</v>
      </c>
      <c r="L16" s="669"/>
      <c r="M16" s="670"/>
    </row>
    <row r="17" spans="1:13" x14ac:dyDescent="0.25">
      <c r="A17" s="658" t="s">
        <v>3084</v>
      </c>
      <c r="B17" s="658" t="str">
        <f t="shared" si="0"/>
        <v>K01</v>
      </c>
      <c r="C17" s="661" t="s">
        <v>2877</v>
      </c>
      <c r="D17" s="661">
        <v>41020</v>
      </c>
      <c r="E17" s="661" t="s">
        <v>3089</v>
      </c>
      <c r="F17" s="661" t="s">
        <v>2837</v>
      </c>
      <c r="G17" s="668">
        <v>0</v>
      </c>
      <c r="H17" s="668"/>
      <c r="I17" s="668"/>
      <c r="J17" s="668"/>
      <c r="K17" s="668">
        <f t="shared" si="1"/>
        <v>0</v>
      </c>
      <c r="L17" s="669"/>
      <c r="M17" s="670"/>
    </row>
    <row r="18" spans="1:13" x14ac:dyDescent="0.25">
      <c r="A18" s="670">
        <v>41</v>
      </c>
      <c r="B18" s="658" t="str">
        <f t="shared" si="0"/>
        <v>041</v>
      </c>
      <c r="C18" s="661" t="s">
        <v>3090</v>
      </c>
      <c r="D18" s="661"/>
      <c r="E18" s="661"/>
      <c r="F18" s="661" t="s">
        <v>2837</v>
      </c>
      <c r="G18" s="668">
        <v>0</v>
      </c>
      <c r="H18" s="668"/>
      <c r="I18" s="668"/>
      <c r="J18" s="668"/>
      <c r="K18" s="668">
        <f t="shared" si="1"/>
        <v>0</v>
      </c>
      <c r="L18" s="669"/>
      <c r="M18" s="670"/>
    </row>
    <row r="19" spans="1:13" x14ac:dyDescent="0.25">
      <c r="A19" s="658" t="s">
        <v>3084</v>
      </c>
      <c r="B19" s="658" t="str">
        <f t="shared" si="0"/>
        <v>K01</v>
      </c>
      <c r="C19" s="661" t="s">
        <v>2877</v>
      </c>
      <c r="D19" s="661">
        <v>42010</v>
      </c>
      <c r="E19" s="661" t="s">
        <v>2884</v>
      </c>
      <c r="F19" s="661" t="s">
        <v>2837</v>
      </c>
      <c r="G19" s="668">
        <v>0</v>
      </c>
      <c r="H19" s="668"/>
      <c r="I19" s="668"/>
      <c r="J19" s="668"/>
      <c r="K19" s="668">
        <f t="shared" si="1"/>
        <v>0</v>
      </c>
      <c r="L19" s="669"/>
      <c r="M19" s="659"/>
    </row>
    <row r="20" spans="1:13" x14ac:dyDescent="0.25">
      <c r="A20" s="670">
        <v>42</v>
      </c>
      <c r="B20" s="658" t="str">
        <f t="shared" si="0"/>
        <v>042</v>
      </c>
      <c r="C20" s="661" t="s">
        <v>3006</v>
      </c>
      <c r="D20" s="661"/>
      <c r="E20" s="661"/>
      <c r="F20" s="661" t="s">
        <v>2837</v>
      </c>
      <c r="G20" s="668">
        <v>0</v>
      </c>
      <c r="H20" s="668"/>
      <c r="I20" s="668"/>
      <c r="J20" s="668"/>
      <c r="K20" s="668">
        <f t="shared" si="1"/>
        <v>0</v>
      </c>
      <c r="L20" s="669"/>
      <c r="M20" s="659"/>
    </row>
    <row r="21" spans="1:13" x14ac:dyDescent="0.25">
      <c r="A21" s="670" t="s">
        <v>3084</v>
      </c>
      <c r="B21" s="658" t="str">
        <f t="shared" si="0"/>
        <v>K01</v>
      </c>
      <c r="C21" s="661" t="s">
        <v>2877</v>
      </c>
      <c r="D21" s="661">
        <v>73010</v>
      </c>
      <c r="E21" s="661" t="s">
        <v>1864</v>
      </c>
      <c r="F21" s="661" t="s">
        <v>2837</v>
      </c>
      <c r="G21" s="668">
        <v>0</v>
      </c>
      <c r="H21" s="668"/>
      <c r="I21" s="668"/>
      <c r="J21" s="668"/>
      <c r="K21" s="668">
        <f t="shared" si="1"/>
        <v>0</v>
      </c>
      <c r="L21" s="669"/>
      <c r="M21" s="659"/>
    </row>
    <row r="22" spans="1:13" x14ac:dyDescent="0.25">
      <c r="A22" s="670">
        <v>73</v>
      </c>
      <c r="B22" s="658" t="str">
        <f t="shared" si="0"/>
        <v>073</v>
      </c>
      <c r="C22" s="661" t="s">
        <v>3007</v>
      </c>
      <c r="D22" s="661"/>
      <c r="E22" s="661"/>
      <c r="F22" s="661" t="s">
        <v>2837</v>
      </c>
      <c r="G22" s="668">
        <v>0</v>
      </c>
      <c r="H22" s="668"/>
      <c r="I22" s="668"/>
      <c r="J22" s="668"/>
      <c r="K22" s="668">
        <f t="shared" si="1"/>
        <v>0</v>
      </c>
      <c r="L22" s="669"/>
      <c r="M22" s="659"/>
    </row>
    <row r="23" spans="1:13" x14ac:dyDescent="0.25">
      <c r="A23" s="658" t="s">
        <v>3084</v>
      </c>
      <c r="B23" s="658" t="str">
        <f t="shared" si="0"/>
        <v>K01</v>
      </c>
      <c r="C23" s="661" t="s">
        <v>2877</v>
      </c>
      <c r="D23" s="661">
        <v>79010</v>
      </c>
      <c r="E23" s="661" t="s">
        <v>2885</v>
      </c>
      <c r="F23" s="661" t="s">
        <v>2837</v>
      </c>
      <c r="G23" s="668">
        <v>0</v>
      </c>
      <c r="H23" s="668"/>
      <c r="I23" s="668"/>
      <c r="J23" s="668"/>
      <c r="K23" s="668">
        <f t="shared" si="1"/>
        <v>0</v>
      </c>
      <c r="L23" s="669"/>
      <c r="M23" s="659"/>
    </row>
    <row r="24" spans="1:13" x14ac:dyDescent="0.25">
      <c r="A24" s="670">
        <v>79</v>
      </c>
      <c r="B24" s="658" t="str">
        <f t="shared" si="0"/>
        <v>079</v>
      </c>
      <c r="C24" s="661" t="s">
        <v>3008</v>
      </c>
      <c r="D24" s="661"/>
      <c r="E24" s="661"/>
      <c r="F24" s="661" t="s">
        <v>2837</v>
      </c>
      <c r="G24" s="668">
        <v>0</v>
      </c>
      <c r="H24" s="668"/>
      <c r="I24" s="668"/>
      <c r="J24" s="668"/>
      <c r="K24" s="668">
        <f t="shared" si="1"/>
        <v>0</v>
      </c>
      <c r="L24" s="669"/>
      <c r="M24" s="659"/>
    </row>
    <row r="25" spans="1:13" x14ac:dyDescent="0.25">
      <c r="A25" s="670" t="s">
        <v>3084</v>
      </c>
      <c r="B25" s="658" t="str">
        <f t="shared" si="0"/>
        <v>K01</v>
      </c>
      <c r="C25" s="661" t="s">
        <v>2877</v>
      </c>
      <c r="D25" s="661">
        <v>81010</v>
      </c>
      <c r="E25" s="661" t="s">
        <v>2886</v>
      </c>
      <c r="F25" s="661" t="s">
        <v>2837</v>
      </c>
      <c r="G25" s="668">
        <v>0</v>
      </c>
      <c r="H25" s="668"/>
      <c r="I25" s="668"/>
      <c r="J25" s="668"/>
      <c r="K25" s="668">
        <f t="shared" si="1"/>
        <v>0</v>
      </c>
      <c r="L25" s="668"/>
    </row>
    <row r="26" spans="1:13" x14ac:dyDescent="0.25">
      <c r="A26" s="670">
        <v>81</v>
      </c>
      <c r="B26" s="658" t="str">
        <f t="shared" si="0"/>
        <v>081</v>
      </c>
      <c r="C26" s="661" t="s">
        <v>3009</v>
      </c>
      <c r="D26" s="661"/>
      <c r="E26" s="661"/>
      <c r="F26" s="661" t="s">
        <v>2837</v>
      </c>
      <c r="G26" s="668">
        <v>0</v>
      </c>
      <c r="H26" s="668"/>
      <c r="I26" s="668"/>
      <c r="J26" s="668"/>
      <c r="K26" s="668">
        <f t="shared" si="1"/>
        <v>0</v>
      </c>
      <c r="L26" s="668"/>
    </row>
    <row r="27" spans="1:13" x14ac:dyDescent="0.25">
      <c r="A27" s="658" t="s">
        <v>3084</v>
      </c>
      <c r="B27" s="658" t="str">
        <f t="shared" si="0"/>
        <v>K01</v>
      </c>
      <c r="C27" s="661" t="s">
        <v>2877</v>
      </c>
      <c r="D27" s="661">
        <v>82010</v>
      </c>
      <c r="E27" s="661" t="s">
        <v>2887</v>
      </c>
      <c r="F27" s="661" t="s">
        <v>2837</v>
      </c>
      <c r="G27" s="668">
        <v>0</v>
      </c>
      <c r="H27" s="668"/>
      <c r="I27" s="668"/>
      <c r="J27" s="668"/>
      <c r="K27" s="668">
        <f t="shared" si="1"/>
        <v>0</v>
      </c>
      <c r="L27" s="668"/>
    </row>
    <row r="28" spans="1:13" x14ac:dyDescent="0.25">
      <c r="A28" s="658" t="s">
        <v>3084</v>
      </c>
      <c r="B28" s="658" t="str">
        <f t="shared" si="0"/>
        <v>K01</v>
      </c>
      <c r="C28" s="661" t="s">
        <v>2877</v>
      </c>
      <c r="D28" s="661">
        <v>82020</v>
      </c>
      <c r="E28" s="661" t="s">
        <v>2888</v>
      </c>
      <c r="F28" s="661" t="s">
        <v>2837</v>
      </c>
      <c r="G28" s="668">
        <v>0</v>
      </c>
      <c r="H28" s="668"/>
      <c r="I28" s="668"/>
      <c r="J28" s="668"/>
      <c r="K28" s="668">
        <f t="shared" si="1"/>
        <v>0</v>
      </c>
      <c r="L28" s="668"/>
    </row>
    <row r="29" spans="1:13" x14ac:dyDescent="0.25">
      <c r="A29" s="658" t="s">
        <v>3084</v>
      </c>
      <c r="B29" s="658" t="str">
        <f t="shared" si="0"/>
        <v>K01</v>
      </c>
      <c r="C29" s="661" t="s">
        <v>2877</v>
      </c>
      <c r="D29" s="661">
        <v>82060</v>
      </c>
      <c r="E29" s="661" t="s">
        <v>2889</v>
      </c>
      <c r="F29" s="661" t="s">
        <v>2837</v>
      </c>
      <c r="G29" s="668">
        <v>0</v>
      </c>
      <c r="H29" s="668"/>
      <c r="I29" s="668"/>
      <c r="J29" s="668"/>
      <c r="K29" s="668">
        <f t="shared" si="1"/>
        <v>0</v>
      </c>
      <c r="L29" s="668"/>
    </row>
    <row r="30" spans="1:13" x14ac:dyDescent="0.25">
      <c r="A30" s="670" t="s">
        <v>3084</v>
      </c>
      <c r="B30" s="658" t="str">
        <f t="shared" si="0"/>
        <v>K01</v>
      </c>
      <c r="C30" s="661" t="s">
        <v>2877</v>
      </c>
      <c r="D30" s="661">
        <v>82070</v>
      </c>
      <c r="E30" s="661" t="s">
        <v>2890</v>
      </c>
      <c r="F30" s="661" t="s">
        <v>2837</v>
      </c>
      <c r="G30" s="668">
        <v>0</v>
      </c>
      <c r="H30" s="668"/>
      <c r="I30" s="668"/>
      <c r="J30" s="668"/>
      <c r="K30" s="668">
        <f t="shared" si="1"/>
        <v>0</v>
      </c>
      <c r="L30" s="668"/>
    </row>
    <row r="31" spans="1:13" x14ac:dyDescent="0.25">
      <c r="A31" s="670">
        <v>82</v>
      </c>
      <c r="B31" s="658" t="str">
        <f t="shared" si="0"/>
        <v>082</v>
      </c>
      <c r="C31" s="661" t="s">
        <v>3010</v>
      </c>
      <c r="D31" s="661"/>
      <c r="E31" s="661"/>
      <c r="F31" s="661" t="s">
        <v>2837</v>
      </c>
      <c r="G31" s="668">
        <v>0</v>
      </c>
      <c r="H31" s="668"/>
      <c r="I31" s="668"/>
      <c r="J31" s="668"/>
      <c r="K31" s="668">
        <f t="shared" si="1"/>
        <v>0</v>
      </c>
      <c r="L31" s="668"/>
    </row>
    <row r="32" spans="1:13" x14ac:dyDescent="0.25">
      <c r="A32" s="670" t="s">
        <v>3084</v>
      </c>
      <c r="B32" s="658" t="str">
        <f t="shared" si="0"/>
        <v>K01</v>
      </c>
      <c r="C32" s="661" t="s">
        <v>2877</v>
      </c>
      <c r="D32" s="661">
        <v>112100</v>
      </c>
      <c r="E32" s="661" t="s">
        <v>2891</v>
      </c>
      <c r="F32" s="661" t="s">
        <v>2837</v>
      </c>
      <c r="G32" s="668">
        <v>0</v>
      </c>
      <c r="H32" s="668"/>
      <c r="I32" s="668"/>
      <c r="J32" s="668"/>
      <c r="K32" s="668">
        <f t="shared" si="1"/>
        <v>0</v>
      </c>
      <c r="L32" s="668"/>
    </row>
    <row r="33" spans="1:12" x14ac:dyDescent="0.25">
      <c r="A33" s="658" t="s">
        <v>3084</v>
      </c>
      <c r="B33" s="658" t="str">
        <f t="shared" si="0"/>
        <v>K01</v>
      </c>
      <c r="C33" s="661" t="s">
        <v>2877</v>
      </c>
      <c r="D33" s="661">
        <v>112102</v>
      </c>
      <c r="E33" s="661" t="s">
        <v>2892</v>
      </c>
      <c r="F33" s="661" t="s">
        <v>2837</v>
      </c>
      <c r="G33" s="668">
        <v>0</v>
      </c>
      <c r="H33" s="668"/>
      <c r="I33" s="668"/>
      <c r="J33" s="668"/>
      <c r="K33" s="668">
        <f t="shared" si="1"/>
        <v>0</v>
      </c>
      <c r="L33" s="668"/>
    </row>
    <row r="34" spans="1:12" x14ac:dyDescent="0.25">
      <c r="A34" s="670">
        <v>112</v>
      </c>
      <c r="B34" s="658" t="str">
        <f t="shared" si="0"/>
        <v>112</v>
      </c>
      <c r="C34" s="661" t="s">
        <v>3011</v>
      </c>
      <c r="D34" s="661"/>
      <c r="E34" s="661"/>
      <c r="F34" s="661" t="s">
        <v>2837</v>
      </c>
      <c r="G34" s="668">
        <v>0</v>
      </c>
      <c r="H34" s="668"/>
      <c r="I34" s="668"/>
      <c r="J34" s="668"/>
      <c r="K34" s="668">
        <f t="shared" si="1"/>
        <v>0</v>
      </c>
      <c r="L34" s="668"/>
    </row>
    <row r="35" spans="1:12" x14ac:dyDescent="0.25">
      <c r="A35" s="658" t="s">
        <v>3084</v>
      </c>
      <c r="B35" s="658" t="str">
        <f t="shared" si="0"/>
        <v>K01</v>
      </c>
      <c r="C35" s="661" t="s">
        <v>2877</v>
      </c>
      <c r="D35" s="661">
        <v>119010</v>
      </c>
      <c r="E35" s="661" t="s">
        <v>816</v>
      </c>
      <c r="F35" s="661" t="s">
        <v>2837</v>
      </c>
      <c r="G35" s="668">
        <v>0</v>
      </c>
      <c r="H35" s="668"/>
      <c r="I35" s="668"/>
      <c r="J35" s="668"/>
      <c r="K35" s="668">
        <f t="shared" si="1"/>
        <v>0</v>
      </c>
      <c r="L35" s="668"/>
    </row>
    <row r="36" spans="1:12" x14ac:dyDescent="0.25">
      <c r="A36" s="670">
        <v>119</v>
      </c>
      <c r="B36" s="658" t="str">
        <f t="shared" si="0"/>
        <v>119</v>
      </c>
      <c r="C36" s="661" t="s">
        <v>3012</v>
      </c>
      <c r="D36" s="661"/>
      <c r="E36" s="661"/>
      <c r="F36" s="661" t="s">
        <v>2837</v>
      </c>
      <c r="G36" s="668">
        <v>0</v>
      </c>
      <c r="H36" s="668"/>
      <c r="I36" s="668"/>
      <c r="J36" s="668"/>
      <c r="K36" s="668">
        <f t="shared" si="1"/>
        <v>0</v>
      </c>
      <c r="L36" s="668"/>
    </row>
    <row r="37" spans="1:12" x14ac:dyDescent="0.25">
      <c r="A37" s="670" t="s">
        <v>3084</v>
      </c>
      <c r="B37" s="658" t="str">
        <f t="shared" si="0"/>
        <v>K01</v>
      </c>
      <c r="C37" s="661" t="s">
        <v>2877</v>
      </c>
      <c r="D37" s="661">
        <v>121010</v>
      </c>
      <c r="E37" s="661" t="s">
        <v>2893</v>
      </c>
      <c r="F37" s="661" t="s">
        <v>2837</v>
      </c>
      <c r="G37" s="668">
        <v>0</v>
      </c>
      <c r="H37" s="668"/>
      <c r="I37" s="668"/>
      <c r="J37" s="668"/>
      <c r="K37" s="668">
        <f t="shared" si="1"/>
        <v>0</v>
      </c>
      <c r="L37" s="668"/>
    </row>
    <row r="38" spans="1:12" x14ac:dyDescent="0.25">
      <c r="A38" s="658" t="s">
        <v>3084</v>
      </c>
      <c r="B38" s="658" t="str">
        <f t="shared" si="0"/>
        <v>K01</v>
      </c>
      <c r="C38" s="661" t="s">
        <v>2877</v>
      </c>
      <c r="D38" s="661">
        <v>121300</v>
      </c>
      <c r="E38" s="661" t="s">
        <v>2894</v>
      </c>
      <c r="F38" s="661" t="s">
        <v>2837</v>
      </c>
      <c r="G38" s="668">
        <v>0</v>
      </c>
      <c r="H38" s="668"/>
      <c r="I38" s="668"/>
      <c r="J38" s="668"/>
      <c r="K38" s="668">
        <f t="shared" si="1"/>
        <v>0</v>
      </c>
      <c r="L38" s="668"/>
    </row>
    <row r="39" spans="1:12" x14ac:dyDescent="0.25">
      <c r="A39" s="670">
        <v>121</v>
      </c>
      <c r="B39" s="658" t="str">
        <f t="shared" si="0"/>
        <v>121</v>
      </c>
      <c r="C39" s="661" t="s">
        <v>3013</v>
      </c>
      <c r="D39" s="661"/>
      <c r="E39" s="661"/>
      <c r="F39" s="661" t="s">
        <v>2837</v>
      </c>
      <c r="G39" s="668">
        <v>0</v>
      </c>
      <c r="H39" s="668"/>
      <c r="I39" s="668"/>
      <c r="J39" s="668"/>
      <c r="K39" s="668">
        <f t="shared" si="1"/>
        <v>0</v>
      </c>
      <c r="L39" s="668"/>
    </row>
    <row r="40" spans="1:12" x14ac:dyDescent="0.25">
      <c r="A40" s="658" t="s">
        <v>3084</v>
      </c>
      <c r="B40" s="658" t="str">
        <f t="shared" si="0"/>
        <v>K01</v>
      </c>
      <c r="C40" s="661" t="s">
        <v>2877</v>
      </c>
      <c r="D40" s="661">
        <v>123010</v>
      </c>
      <c r="E40" s="661" t="s">
        <v>2895</v>
      </c>
      <c r="F40" s="661" t="s">
        <v>2837</v>
      </c>
      <c r="G40" s="668">
        <v>0</v>
      </c>
      <c r="H40" s="668"/>
      <c r="I40" s="668"/>
      <c r="J40" s="668"/>
      <c r="K40" s="668">
        <f t="shared" si="1"/>
        <v>0</v>
      </c>
      <c r="L40" s="668"/>
    </row>
    <row r="41" spans="1:12" x14ac:dyDescent="0.25">
      <c r="A41" s="670">
        <v>123</v>
      </c>
      <c r="B41" s="658" t="str">
        <f t="shared" si="0"/>
        <v>123</v>
      </c>
      <c r="C41" s="661" t="s">
        <v>3014</v>
      </c>
      <c r="D41" s="661"/>
      <c r="E41" s="661"/>
      <c r="F41" s="661" t="s">
        <v>2837</v>
      </c>
      <c r="G41" s="668">
        <v>0</v>
      </c>
      <c r="H41" s="668"/>
      <c r="I41" s="668"/>
      <c r="J41" s="668"/>
      <c r="K41" s="668">
        <f t="shared" si="1"/>
        <v>0</v>
      </c>
      <c r="L41" s="668"/>
    </row>
    <row r="42" spans="1:12" x14ac:dyDescent="0.25">
      <c r="A42" s="670" t="s">
        <v>3084</v>
      </c>
      <c r="B42" s="658" t="str">
        <f t="shared" si="0"/>
        <v>K01</v>
      </c>
      <c r="C42" s="661" t="s">
        <v>2877</v>
      </c>
      <c r="D42" s="661">
        <v>131010</v>
      </c>
      <c r="E42" s="661" t="s">
        <v>2507</v>
      </c>
      <c r="F42" s="661" t="s">
        <v>2837</v>
      </c>
      <c r="G42" s="668">
        <v>0</v>
      </c>
      <c r="H42" s="668"/>
      <c r="I42" s="668"/>
      <c r="J42" s="668"/>
      <c r="K42" s="668">
        <f t="shared" si="1"/>
        <v>0</v>
      </c>
      <c r="L42" s="668"/>
    </row>
    <row r="43" spans="1:12" x14ac:dyDescent="0.25">
      <c r="A43" s="658" t="s">
        <v>3084</v>
      </c>
      <c r="B43" s="658" t="str">
        <f t="shared" si="0"/>
        <v>K01</v>
      </c>
      <c r="C43" s="661" t="s">
        <v>2877</v>
      </c>
      <c r="D43" s="661">
        <v>131011</v>
      </c>
      <c r="E43" s="661" t="s">
        <v>2896</v>
      </c>
      <c r="F43" s="661" t="s">
        <v>2837</v>
      </c>
      <c r="G43" s="668">
        <v>0</v>
      </c>
      <c r="H43" s="668"/>
      <c r="I43" s="668"/>
      <c r="J43" s="668"/>
      <c r="K43" s="668">
        <f t="shared" si="1"/>
        <v>0</v>
      </c>
      <c r="L43" s="668"/>
    </row>
    <row r="44" spans="1:12" x14ac:dyDescent="0.25">
      <c r="A44" s="670">
        <v>131</v>
      </c>
      <c r="B44" s="658" t="str">
        <f t="shared" si="0"/>
        <v>131</v>
      </c>
      <c r="C44" s="661" t="s">
        <v>3015</v>
      </c>
      <c r="D44" s="661"/>
      <c r="E44" s="661"/>
      <c r="F44" s="661" t="s">
        <v>2837</v>
      </c>
      <c r="G44" s="668">
        <v>0</v>
      </c>
      <c r="H44" s="668"/>
      <c r="I44" s="668"/>
      <c r="J44" s="668"/>
      <c r="K44" s="668">
        <f t="shared" si="1"/>
        <v>0</v>
      </c>
      <c r="L44" s="668"/>
    </row>
    <row r="45" spans="1:12" x14ac:dyDescent="0.25">
      <c r="A45" s="658" t="s">
        <v>3084</v>
      </c>
      <c r="B45" s="658" t="str">
        <f t="shared" si="0"/>
        <v>K01</v>
      </c>
      <c r="C45" s="661" t="s">
        <v>2877</v>
      </c>
      <c r="D45" s="661">
        <v>132010</v>
      </c>
      <c r="E45" s="661" t="s">
        <v>3127</v>
      </c>
      <c r="F45" s="661" t="s">
        <v>2837</v>
      </c>
      <c r="G45" s="851">
        <v>0</v>
      </c>
      <c r="H45" s="668"/>
      <c r="I45" s="851"/>
      <c r="J45" s="851"/>
      <c r="K45" s="668">
        <f t="shared" si="1"/>
        <v>0</v>
      </c>
      <c r="L45" s="668" t="s">
        <v>642</v>
      </c>
    </row>
    <row r="46" spans="1:12" x14ac:dyDescent="0.25">
      <c r="A46" s="670">
        <v>132</v>
      </c>
      <c r="B46" s="658" t="str">
        <f t="shared" si="0"/>
        <v>132</v>
      </c>
      <c r="C46" s="661" t="s">
        <v>3016</v>
      </c>
      <c r="D46" s="661"/>
      <c r="E46" s="661"/>
      <c r="F46" s="661" t="s">
        <v>2837</v>
      </c>
      <c r="G46" s="668">
        <v>0</v>
      </c>
      <c r="H46" s="668">
        <f>SUM(H45:H45)</f>
        <v>0</v>
      </c>
      <c r="I46" s="668">
        <f>SUM(I45:I45)</f>
        <v>0</v>
      </c>
      <c r="J46" s="668">
        <f>SUM(J45:J45)</f>
        <v>0</v>
      </c>
      <c r="K46" s="668">
        <f t="shared" si="1"/>
        <v>0</v>
      </c>
      <c r="L46" s="668"/>
    </row>
    <row r="47" spans="1:12" x14ac:dyDescent="0.25">
      <c r="A47" s="658" t="s">
        <v>3084</v>
      </c>
      <c r="B47" s="658" t="str">
        <f t="shared" si="0"/>
        <v>K01</v>
      </c>
      <c r="C47" s="661" t="s">
        <v>2877</v>
      </c>
      <c r="D47" s="661">
        <v>139020</v>
      </c>
      <c r="E47" s="661" t="s">
        <v>1677</v>
      </c>
      <c r="F47" s="661" t="s">
        <v>2837</v>
      </c>
      <c r="G47" s="668">
        <v>0</v>
      </c>
      <c r="H47" s="668"/>
      <c r="I47" s="668"/>
      <c r="J47" s="668"/>
      <c r="K47" s="668">
        <f t="shared" si="1"/>
        <v>0</v>
      </c>
      <c r="L47" s="668"/>
    </row>
    <row r="48" spans="1:12" x14ac:dyDescent="0.25">
      <c r="A48" s="670">
        <v>139</v>
      </c>
      <c r="B48" s="658" t="str">
        <f t="shared" si="0"/>
        <v>139</v>
      </c>
      <c r="C48" s="661" t="s">
        <v>3017</v>
      </c>
      <c r="D48" s="661"/>
      <c r="E48" s="661"/>
      <c r="F48" s="661" t="s">
        <v>2837</v>
      </c>
      <c r="G48" s="668">
        <v>0</v>
      </c>
      <c r="H48" s="668"/>
      <c r="I48" s="668"/>
      <c r="J48" s="668"/>
      <c r="K48" s="668">
        <f t="shared" si="1"/>
        <v>0</v>
      </c>
      <c r="L48" s="668"/>
    </row>
    <row r="49" spans="1:12" x14ac:dyDescent="0.25">
      <c r="A49" s="658" t="s">
        <v>3084</v>
      </c>
      <c r="B49" s="658" t="str">
        <f t="shared" si="0"/>
        <v>K01</v>
      </c>
      <c r="C49" s="661" t="s">
        <v>2877</v>
      </c>
      <c r="D49" s="661">
        <v>196100</v>
      </c>
      <c r="E49" s="661" t="s">
        <v>2897</v>
      </c>
      <c r="F49" s="661" t="s">
        <v>2837</v>
      </c>
      <c r="G49" s="668">
        <v>0</v>
      </c>
      <c r="H49" s="668"/>
      <c r="I49" s="668"/>
      <c r="J49" s="668"/>
      <c r="K49" s="668">
        <f t="shared" si="1"/>
        <v>0</v>
      </c>
      <c r="L49" s="668"/>
    </row>
    <row r="50" spans="1:12" x14ac:dyDescent="0.25">
      <c r="A50" s="670">
        <v>196</v>
      </c>
      <c r="B50" s="658" t="str">
        <f t="shared" si="0"/>
        <v>196</v>
      </c>
      <c r="C50" s="661" t="s">
        <v>3018</v>
      </c>
      <c r="D50" s="661"/>
      <c r="E50" s="661"/>
      <c r="F50" s="661" t="s">
        <v>2837</v>
      </c>
      <c r="G50" s="668">
        <v>0</v>
      </c>
      <c r="H50" s="668"/>
      <c r="I50" s="668"/>
      <c r="J50" s="668"/>
      <c r="K50" s="668">
        <f t="shared" si="1"/>
        <v>0</v>
      </c>
      <c r="L50" s="668"/>
    </row>
    <row r="51" spans="1:12" x14ac:dyDescent="0.25">
      <c r="A51" s="658" t="s">
        <v>3084</v>
      </c>
      <c r="B51" s="658" t="str">
        <f t="shared" si="0"/>
        <v>K01</v>
      </c>
      <c r="C51" s="661" t="s">
        <v>2877</v>
      </c>
      <c r="D51" s="661">
        <v>211030</v>
      </c>
      <c r="E51" s="661" t="s">
        <v>2898</v>
      </c>
      <c r="F51" s="661" t="s">
        <v>2837</v>
      </c>
      <c r="G51" s="668">
        <v>0</v>
      </c>
      <c r="H51" s="668"/>
      <c r="I51" s="668"/>
      <c r="J51" s="668"/>
      <c r="K51" s="668">
        <f t="shared" si="1"/>
        <v>0</v>
      </c>
      <c r="L51" s="668"/>
    </row>
    <row r="52" spans="1:12" x14ac:dyDescent="0.25">
      <c r="A52" s="670" t="s">
        <v>3084</v>
      </c>
      <c r="B52" s="658" t="str">
        <f t="shared" si="0"/>
        <v>K01</v>
      </c>
      <c r="C52" s="661" t="s">
        <v>2877</v>
      </c>
      <c r="D52" s="661">
        <v>211140</v>
      </c>
      <c r="E52" s="661" t="s">
        <v>2899</v>
      </c>
      <c r="F52" s="661" t="s">
        <v>2837</v>
      </c>
      <c r="G52" s="668">
        <v>0</v>
      </c>
      <c r="H52" s="668"/>
      <c r="I52" s="668"/>
      <c r="J52" s="668"/>
      <c r="K52" s="668">
        <f t="shared" si="1"/>
        <v>0</v>
      </c>
      <c r="L52" s="668"/>
    </row>
    <row r="53" spans="1:12" x14ac:dyDescent="0.25">
      <c r="A53" s="658" t="s">
        <v>3084</v>
      </c>
      <c r="B53" s="658" t="str">
        <f t="shared" si="0"/>
        <v>K01</v>
      </c>
      <c r="C53" s="661" t="s">
        <v>2877</v>
      </c>
      <c r="D53" s="661">
        <v>211170</v>
      </c>
      <c r="E53" s="661" t="s">
        <v>2900</v>
      </c>
      <c r="F53" s="661" t="s">
        <v>2837</v>
      </c>
      <c r="G53" s="851">
        <v>6.56</v>
      </c>
      <c r="H53" s="668"/>
      <c r="I53" s="851">
        <v>560</v>
      </c>
      <c r="J53" s="851">
        <v>550.04999999999995</v>
      </c>
      <c r="K53" s="668">
        <f t="shared" si="1"/>
        <v>16.509999999999991</v>
      </c>
      <c r="L53" s="668"/>
    </row>
    <row r="54" spans="1:12" x14ac:dyDescent="0.25">
      <c r="A54" s="670">
        <v>211</v>
      </c>
      <c r="B54" s="658" t="str">
        <f t="shared" si="0"/>
        <v>211</v>
      </c>
      <c r="C54" s="661" t="s">
        <v>3019</v>
      </c>
      <c r="D54" s="661"/>
      <c r="E54" s="661"/>
      <c r="F54" s="661" t="s">
        <v>2837</v>
      </c>
      <c r="G54" s="668">
        <f>SUM(G51:G53)</f>
        <v>6.56</v>
      </c>
      <c r="H54" s="668">
        <f t="shared" ref="H54:J54" si="2">SUM(H51:H53)</f>
        <v>0</v>
      </c>
      <c r="I54" s="668">
        <f t="shared" si="2"/>
        <v>560</v>
      </c>
      <c r="J54" s="668">
        <f t="shared" si="2"/>
        <v>550.04999999999995</v>
      </c>
      <c r="K54" s="668">
        <f t="shared" ref="K54" si="3">SUM(K51:K53)</f>
        <v>16.509999999999991</v>
      </c>
      <c r="L54" s="668"/>
    </row>
    <row r="55" spans="1:12" x14ac:dyDescent="0.25">
      <c r="A55" s="658" t="s">
        <v>3084</v>
      </c>
      <c r="B55" s="658" t="str">
        <f t="shared" si="0"/>
        <v>K01</v>
      </c>
      <c r="C55" s="661" t="s">
        <v>2877</v>
      </c>
      <c r="D55" s="661">
        <v>213040</v>
      </c>
      <c r="E55" s="661" t="s">
        <v>2901</v>
      </c>
      <c r="F55" s="661" t="s">
        <v>2837</v>
      </c>
      <c r="G55" s="668">
        <v>0</v>
      </c>
      <c r="H55" s="668"/>
      <c r="I55" s="668"/>
      <c r="J55" s="668"/>
      <c r="K55" s="668">
        <f t="shared" si="1"/>
        <v>0</v>
      </c>
      <c r="L55" s="668"/>
    </row>
    <row r="56" spans="1:12" x14ac:dyDescent="0.25">
      <c r="A56" s="670">
        <v>213</v>
      </c>
      <c r="B56" s="658" t="str">
        <f t="shared" si="0"/>
        <v>213</v>
      </c>
      <c r="C56" s="661" t="s">
        <v>3020</v>
      </c>
      <c r="D56" s="661"/>
      <c r="E56" s="661"/>
      <c r="F56" s="661" t="s">
        <v>2837</v>
      </c>
      <c r="G56" s="668">
        <v>0</v>
      </c>
      <c r="H56" s="668"/>
      <c r="I56" s="668"/>
      <c r="J56" s="668"/>
      <c r="K56" s="668">
        <f t="shared" si="1"/>
        <v>0</v>
      </c>
      <c r="L56" s="668"/>
    </row>
    <row r="57" spans="1:12" x14ac:dyDescent="0.25">
      <c r="A57" s="658" t="s">
        <v>3084</v>
      </c>
      <c r="B57" s="658" t="str">
        <f t="shared" ref="B57:B78" si="4">RIGHT(C57,3)</f>
        <v>K01</v>
      </c>
      <c r="C57" s="661" t="s">
        <v>2877</v>
      </c>
      <c r="D57" s="661">
        <v>221100</v>
      </c>
      <c r="E57" s="661" t="s">
        <v>3128</v>
      </c>
      <c r="F57" s="661" t="s">
        <v>2837</v>
      </c>
      <c r="G57" s="668">
        <v>0</v>
      </c>
      <c r="H57" s="668"/>
      <c r="I57" s="668"/>
      <c r="J57" s="668"/>
      <c r="K57" s="668">
        <f t="shared" si="1"/>
        <v>0</v>
      </c>
      <c r="L57" s="668"/>
    </row>
    <row r="58" spans="1:12" x14ac:dyDescent="0.25">
      <c r="A58" s="670">
        <v>221</v>
      </c>
      <c r="B58" s="658" t="str">
        <f t="shared" si="4"/>
        <v>221</v>
      </c>
      <c r="C58" s="661" t="s">
        <v>3021</v>
      </c>
      <c r="D58" s="661"/>
      <c r="E58" s="661"/>
      <c r="F58" s="661" t="s">
        <v>2837</v>
      </c>
      <c r="G58" s="668">
        <v>0</v>
      </c>
      <c r="H58" s="668">
        <f>SUM(H57:H57)</f>
        <v>0</v>
      </c>
      <c r="I58" s="668">
        <f>SUM(I57:I57)</f>
        <v>0</v>
      </c>
      <c r="J58" s="668">
        <f>SUM(J57:J57)</f>
        <v>0</v>
      </c>
      <c r="K58" s="668">
        <f>SUM(K57:K57)</f>
        <v>0</v>
      </c>
      <c r="L58" s="668"/>
    </row>
    <row r="59" spans="1:12" x14ac:dyDescent="0.25">
      <c r="A59" s="658" t="s">
        <v>3084</v>
      </c>
      <c r="B59" s="658" t="str">
        <f t="shared" si="4"/>
        <v>K01</v>
      </c>
      <c r="C59" s="661" t="s">
        <v>2877</v>
      </c>
      <c r="D59" s="661">
        <v>261010</v>
      </c>
      <c r="E59" s="661" t="s">
        <v>1255</v>
      </c>
      <c r="F59" s="661" t="s">
        <v>2837</v>
      </c>
      <c r="G59" s="668">
        <v>0</v>
      </c>
      <c r="H59" s="668"/>
      <c r="I59" s="668"/>
      <c r="J59" s="668"/>
      <c r="K59" s="668">
        <f t="shared" ref="K59:K79" si="5">G59+I59-J59</f>
        <v>0</v>
      </c>
      <c r="L59" s="668"/>
    </row>
    <row r="60" spans="1:12" x14ac:dyDescent="0.25">
      <c r="A60" s="670">
        <v>261</v>
      </c>
      <c r="B60" s="658" t="str">
        <f t="shared" si="4"/>
        <v>261</v>
      </c>
      <c r="C60" s="661" t="s">
        <v>3022</v>
      </c>
      <c r="D60" s="661"/>
      <c r="E60" s="661"/>
      <c r="F60" s="661" t="s">
        <v>2837</v>
      </c>
      <c r="G60" s="668">
        <v>0</v>
      </c>
      <c r="H60" s="668"/>
      <c r="I60" s="668"/>
      <c r="J60" s="668"/>
      <c r="K60" s="668">
        <f t="shared" si="5"/>
        <v>0</v>
      </c>
      <c r="L60" s="668"/>
    </row>
    <row r="61" spans="1:12" x14ac:dyDescent="0.25">
      <c r="A61" s="658" t="s">
        <v>3084</v>
      </c>
      <c r="B61" s="658" t="str">
        <f t="shared" si="4"/>
        <v>K01</v>
      </c>
      <c r="C61" s="661" t="s">
        <v>2877</v>
      </c>
      <c r="D61" s="661">
        <v>311100</v>
      </c>
      <c r="E61" s="661" t="s">
        <v>2902</v>
      </c>
      <c r="F61" s="661" t="s">
        <v>2837</v>
      </c>
      <c r="G61" s="851">
        <v>8541</v>
      </c>
      <c r="H61" s="668"/>
      <c r="I61" s="668"/>
      <c r="J61" s="668"/>
      <c r="K61" s="668">
        <f t="shared" si="5"/>
        <v>8541</v>
      </c>
      <c r="L61" s="668"/>
    </row>
    <row r="62" spans="1:12" x14ac:dyDescent="0.25">
      <c r="A62" s="670">
        <v>311</v>
      </c>
      <c r="B62" s="658" t="str">
        <f t="shared" si="4"/>
        <v>311</v>
      </c>
      <c r="C62" s="661" t="s">
        <v>3023</v>
      </c>
      <c r="D62" s="661"/>
      <c r="E62" s="661"/>
      <c r="F62" s="661" t="s">
        <v>2837</v>
      </c>
      <c r="G62" s="668">
        <v>8541</v>
      </c>
      <c r="H62" s="668">
        <f>SUM(H61:H61)</f>
        <v>0</v>
      </c>
      <c r="I62" s="668">
        <f>SUM(I61:I61)</f>
        <v>0</v>
      </c>
      <c r="J62" s="668">
        <f>SUM(J61:J61)</f>
        <v>0</v>
      </c>
      <c r="K62" s="668">
        <f>SUM(K61:K61)</f>
        <v>8541</v>
      </c>
      <c r="L62" s="668"/>
    </row>
    <row r="63" spans="1:12" x14ac:dyDescent="0.25">
      <c r="A63" s="658" t="s">
        <v>3084</v>
      </c>
      <c r="B63" s="658" t="str">
        <f t="shared" si="4"/>
        <v>K01</v>
      </c>
      <c r="C63" s="661" t="s">
        <v>2877</v>
      </c>
      <c r="D63" s="661">
        <v>315011</v>
      </c>
      <c r="E63" s="661" t="s">
        <v>3129</v>
      </c>
      <c r="F63" s="661" t="s">
        <v>2837</v>
      </c>
      <c r="G63" s="668">
        <v>0</v>
      </c>
      <c r="H63" s="668"/>
      <c r="I63" s="668"/>
      <c r="J63" s="668"/>
      <c r="K63" s="668">
        <f t="shared" si="5"/>
        <v>0</v>
      </c>
      <c r="L63" s="668"/>
    </row>
    <row r="64" spans="1:12" x14ac:dyDescent="0.25">
      <c r="A64" s="670">
        <v>315</v>
      </c>
      <c r="B64" s="658" t="str">
        <f t="shared" si="4"/>
        <v>315</v>
      </c>
      <c r="C64" s="661" t="s">
        <v>3024</v>
      </c>
      <c r="D64" s="661"/>
      <c r="E64" s="661"/>
      <c r="F64" s="661" t="s">
        <v>2837</v>
      </c>
      <c r="G64" s="668">
        <v>0</v>
      </c>
      <c r="H64" s="668"/>
      <c r="I64" s="668"/>
      <c r="J64" s="668"/>
      <c r="K64" s="668">
        <f t="shared" si="5"/>
        <v>0</v>
      </c>
      <c r="L64" s="668"/>
    </row>
    <row r="65" spans="1:12" x14ac:dyDescent="0.25">
      <c r="A65" s="658" t="s">
        <v>3084</v>
      </c>
      <c r="B65" s="658" t="str">
        <f t="shared" si="4"/>
        <v>K01</v>
      </c>
      <c r="C65" s="661" t="s">
        <v>2877</v>
      </c>
      <c r="D65" s="661">
        <v>321100</v>
      </c>
      <c r="E65" s="661" t="s">
        <v>2903</v>
      </c>
      <c r="F65" s="661" t="s">
        <v>2837</v>
      </c>
      <c r="G65" s="851">
        <v>-82.14</v>
      </c>
      <c r="H65" s="668"/>
      <c r="I65" s="668">
        <f>467.91+82.14</f>
        <v>550.05000000000007</v>
      </c>
      <c r="J65" s="668">
        <f>info!D33</f>
        <v>497.75</v>
      </c>
      <c r="K65" s="668">
        <f t="shared" si="5"/>
        <v>-29.839999999999918</v>
      </c>
      <c r="L65" s="668"/>
    </row>
    <row r="66" spans="1:12" x14ac:dyDescent="0.25">
      <c r="A66" s="670">
        <v>321</v>
      </c>
      <c r="B66" s="658" t="str">
        <f t="shared" si="4"/>
        <v>321</v>
      </c>
      <c r="C66" s="661" t="s">
        <v>3025</v>
      </c>
      <c r="D66" s="661"/>
      <c r="E66" s="661"/>
      <c r="F66" s="661" t="s">
        <v>2837</v>
      </c>
      <c r="G66" s="668">
        <v>0</v>
      </c>
      <c r="H66" s="668">
        <f>SUM(H65:H65)</f>
        <v>0</v>
      </c>
      <c r="I66" s="668">
        <f>SUM(I65:I65)</f>
        <v>550.05000000000007</v>
      </c>
      <c r="J66" s="668">
        <f>SUM(J65:J65)</f>
        <v>497.75</v>
      </c>
      <c r="K66" s="668">
        <f>SUM(K65:K65)</f>
        <v>-29.839999999999918</v>
      </c>
      <c r="L66" s="668"/>
    </row>
    <row r="67" spans="1:12" x14ac:dyDescent="0.25">
      <c r="A67" s="658" t="s">
        <v>3084</v>
      </c>
      <c r="B67" s="658" t="str">
        <f t="shared" si="4"/>
        <v>K01</v>
      </c>
      <c r="C67" s="661" t="s">
        <v>2877</v>
      </c>
      <c r="D67" s="661">
        <v>323100</v>
      </c>
      <c r="E67" s="661" t="s">
        <v>2904</v>
      </c>
      <c r="F67" s="661" t="s">
        <v>2837</v>
      </c>
      <c r="G67" s="668">
        <v>0</v>
      </c>
      <c r="H67" s="668"/>
      <c r="I67" s="668"/>
      <c r="J67" s="668"/>
      <c r="K67" s="668">
        <f t="shared" si="5"/>
        <v>0</v>
      </c>
      <c r="L67" s="668"/>
    </row>
    <row r="68" spans="1:12" x14ac:dyDescent="0.25">
      <c r="A68" s="658" t="s">
        <v>3084</v>
      </c>
      <c r="B68" s="658" t="str">
        <f t="shared" si="4"/>
        <v>K01</v>
      </c>
      <c r="C68" s="661" t="s">
        <v>2877</v>
      </c>
      <c r="D68" s="661">
        <v>323113</v>
      </c>
      <c r="E68" s="661" t="s">
        <v>2905</v>
      </c>
      <c r="F68" s="661" t="s">
        <v>2837</v>
      </c>
      <c r="G68" s="668">
        <v>0</v>
      </c>
      <c r="H68" s="668"/>
      <c r="I68" s="668"/>
      <c r="J68" s="668"/>
      <c r="K68" s="668">
        <f t="shared" si="5"/>
        <v>0</v>
      </c>
      <c r="L68" s="668"/>
    </row>
    <row r="69" spans="1:12" x14ac:dyDescent="0.25">
      <c r="A69" s="658" t="s">
        <v>3084</v>
      </c>
      <c r="B69" s="658" t="str">
        <f t="shared" si="4"/>
        <v>K01</v>
      </c>
      <c r="C69" s="661" t="s">
        <v>2877</v>
      </c>
      <c r="D69" s="661">
        <v>323114</v>
      </c>
      <c r="E69" s="661" t="s">
        <v>2906</v>
      </c>
      <c r="F69" s="661" t="s">
        <v>2837</v>
      </c>
      <c r="G69" s="668">
        <v>0</v>
      </c>
      <c r="H69" s="668"/>
      <c r="I69" s="668"/>
      <c r="J69" s="668"/>
      <c r="K69" s="668">
        <f t="shared" si="5"/>
        <v>0</v>
      </c>
      <c r="L69" s="668"/>
    </row>
    <row r="70" spans="1:12" x14ac:dyDescent="0.25">
      <c r="A70" s="658" t="s">
        <v>3084</v>
      </c>
      <c r="B70" s="658" t="str">
        <f t="shared" si="4"/>
        <v>K01</v>
      </c>
      <c r="C70" s="661" t="s">
        <v>2877</v>
      </c>
      <c r="D70" s="661">
        <v>323116</v>
      </c>
      <c r="E70" s="661" t="s">
        <v>2907</v>
      </c>
      <c r="F70" s="661" t="s">
        <v>2837</v>
      </c>
      <c r="G70" s="668">
        <v>0</v>
      </c>
      <c r="H70" s="668"/>
      <c r="I70" s="668"/>
      <c r="J70" s="668"/>
      <c r="K70" s="668">
        <f t="shared" si="5"/>
        <v>0</v>
      </c>
      <c r="L70" s="668"/>
    </row>
    <row r="71" spans="1:12" x14ac:dyDescent="0.25">
      <c r="A71" s="670" t="s">
        <v>3084</v>
      </c>
      <c r="B71" s="658" t="str">
        <f t="shared" si="4"/>
        <v>K01</v>
      </c>
      <c r="C71" s="661" t="s">
        <v>2877</v>
      </c>
      <c r="D71" s="661">
        <v>323117</v>
      </c>
      <c r="E71" s="661" t="s">
        <v>2908</v>
      </c>
      <c r="F71" s="661" t="s">
        <v>2837</v>
      </c>
      <c r="G71" s="668">
        <v>0</v>
      </c>
      <c r="H71" s="668"/>
      <c r="I71" s="668"/>
      <c r="J71" s="668"/>
      <c r="K71" s="668">
        <f t="shared" si="5"/>
        <v>0</v>
      </c>
      <c r="L71" s="668"/>
    </row>
    <row r="72" spans="1:12" x14ac:dyDescent="0.25">
      <c r="A72" s="670">
        <v>323</v>
      </c>
      <c r="B72" s="658" t="str">
        <f t="shared" si="4"/>
        <v>323</v>
      </c>
      <c r="C72" s="661" t="s">
        <v>3026</v>
      </c>
      <c r="D72" s="661"/>
      <c r="E72" s="661"/>
      <c r="F72" s="661" t="s">
        <v>2837</v>
      </c>
      <c r="G72" s="668">
        <v>0</v>
      </c>
      <c r="H72" s="668"/>
      <c r="I72" s="668"/>
      <c r="J72" s="668"/>
      <c r="K72" s="668">
        <f t="shared" si="5"/>
        <v>0</v>
      </c>
      <c r="L72" s="668"/>
    </row>
    <row r="73" spans="1:12" x14ac:dyDescent="0.25">
      <c r="A73" s="658" t="s">
        <v>3084</v>
      </c>
      <c r="B73" s="658" t="str">
        <f t="shared" si="4"/>
        <v>K01</v>
      </c>
      <c r="C73" s="661" t="s">
        <v>2877</v>
      </c>
      <c r="D73" s="661">
        <v>324010</v>
      </c>
      <c r="E73" s="661" t="s">
        <v>322</v>
      </c>
      <c r="F73" s="661" t="s">
        <v>2837</v>
      </c>
      <c r="G73" s="668">
        <v>0</v>
      </c>
      <c r="H73" s="668"/>
      <c r="I73" s="668"/>
      <c r="J73" s="668"/>
      <c r="K73" s="668">
        <f t="shared" si="5"/>
        <v>0</v>
      </c>
      <c r="L73" s="668"/>
    </row>
    <row r="74" spans="1:12" x14ac:dyDescent="0.25">
      <c r="A74" s="670">
        <v>324</v>
      </c>
      <c r="B74" s="658" t="str">
        <f t="shared" si="4"/>
        <v>324</v>
      </c>
      <c r="C74" s="661" t="s">
        <v>3027</v>
      </c>
      <c r="D74" s="661"/>
      <c r="E74" s="661"/>
      <c r="F74" s="661" t="s">
        <v>2837</v>
      </c>
      <c r="G74" s="668">
        <v>0</v>
      </c>
      <c r="H74" s="668"/>
      <c r="I74" s="668"/>
      <c r="J74" s="668"/>
      <c r="K74" s="668">
        <f t="shared" si="5"/>
        <v>0</v>
      </c>
      <c r="L74" s="668"/>
    </row>
    <row r="75" spans="1:12" x14ac:dyDescent="0.25">
      <c r="A75" s="670" t="s">
        <v>3084</v>
      </c>
      <c r="B75" s="658" t="str">
        <f t="shared" si="4"/>
        <v>K01</v>
      </c>
      <c r="C75" s="661" t="s">
        <v>2877</v>
      </c>
      <c r="D75" s="661">
        <v>325020</v>
      </c>
      <c r="E75" s="661" t="s">
        <v>324</v>
      </c>
      <c r="F75" s="661" t="s">
        <v>2837</v>
      </c>
      <c r="G75" s="668">
        <v>0</v>
      </c>
      <c r="H75" s="668"/>
      <c r="I75" s="668"/>
      <c r="J75" s="668"/>
      <c r="K75" s="668">
        <f t="shared" si="5"/>
        <v>0</v>
      </c>
      <c r="L75" s="668"/>
    </row>
    <row r="76" spans="1:12" x14ac:dyDescent="0.25">
      <c r="A76" s="658" t="s">
        <v>3084</v>
      </c>
      <c r="B76" s="658" t="str">
        <f t="shared" si="4"/>
        <v>K01</v>
      </c>
      <c r="C76" s="661" t="s">
        <v>2877</v>
      </c>
      <c r="D76" s="661">
        <v>325040</v>
      </c>
      <c r="E76" s="661" t="s">
        <v>2909</v>
      </c>
      <c r="F76" s="661" t="s">
        <v>2837</v>
      </c>
      <c r="G76" s="668">
        <v>0</v>
      </c>
      <c r="H76" s="668"/>
      <c r="I76" s="668"/>
      <c r="J76" s="668"/>
      <c r="K76" s="668">
        <f t="shared" si="5"/>
        <v>0</v>
      </c>
      <c r="L76" s="668"/>
    </row>
    <row r="77" spans="1:12" x14ac:dyDescent="0.25">
      <c r="A77" s="670">
        <v>325</v>
      </c>
      <c r="B77" s="658" t="str">
        <f t="shared" si="4"/>
        <v>325</v>
      </c>
      <c r="C77" s="661" t="s">
        <v>3028</v>
      </c>
      <c r="D77" s="661"/>
      <c r="E77" s="661"/>
      <c r="F77" s="661" t="s">
        <v>2837</v>
      </c>
      <c r="G77" s="668">
        <v>0</v>
      </c>
      <c r="H77" s="668"/>
      <c r="I77" s="668"/>
      <c r="J77" s="668"/>
      <c r="K77" s="668">
        <f t="shared" si="5"/>
        <v>0</v>
      </c>
      <c r="L77" s="668"/>
    </row>
    <row r="78" spans="1:12" x14ac:dyDescent="0.25">
      <c r="A78" s="658" t="s">
        <v>3084</v>
      </c>
      <c r="B78" s="658" t="str">
        <f t="shared" si="4"/>
        <v>K01</v>
      </c>
      <c r="C78" s="661" t="s">
        <v>2877</v>
      </c>
      <c r="D78" s="661">
        <v>326010</v>
      </c>
      <c r="E78" s="661" t="s">
        <v>2910</v>
      </c>
      <c r="F78" s="661" t="s">
        <v>2837</v>
      </c>
      <c r="G78" s="668">
        <v>0</v>
      </c>
      <c r="H78" s="668"/>
      <c r="I78" s="668"/>
      <c r="J78" s="668"/>
      <c r="K78" s="668">
        <f t="shared" si="5"/>
        <v>0</v>
      </c>
      <c r="L78" s="668"/>
    </row>
    <row r="79" spans="1:12" x14ac:dyDescent="0.25">
      <c r="A79" s="670">
        <v>326</v>
      </c>
      <c r="B79" s="658" t="str">
        <f t="shared" ref="B79:B140" si="6">RIGHT(C79,3)</f>
        <v>326</v>
      </c>
      <c r="C79" s="661" t="s">
        <v>3029</v>
      </c>
      <c r="D79" s="661"/>
      <c r="E79" s="661"/>
      <c r="F79" s="661" t="s">
        <v>2837</v>
      </c>
      <c r="G79" s="668">
        <v>0</v>
      </c>
      <c r="H79" s="668"/>
      <c r="I79" s="668"/>
      <c r="J79" s="668"/>
      <c r="K79" s="668">
        <f t="shared" si="5"/>
        <v>0</v>
      </c>
      <c r="L79" s="668"/>
    </row>
    <row r="80" spans="1:12" x14ac:dyDescent="0.25">
      <c r="A80" s="670" t="s">
        <v>3084</v>
      </c>
      <c r="B80" s="658" t="str">
        <f t="shared" si="6"/>
        <v>K01</v>
      </c>
      <c r="C80" s="661" t="s">
        <v>2877</v>
      </c>
      <c r="D80" s="661">
        <v>331010</v>
      </c>
      <c r="E80" s="661" t="s">
        <v>328</v>
      </c>
      <c r="F80" s="661" t="s">
        <v>2837</v>
      </c>
      <c r="G80" s="668">
        <v>0</v>
      </c>
      <c r="H80" s="668"/>
      <c r="I80" s="668"/>
      <c r="J80" s="668"/>
      <c r="K80" s="668">
        <f t="shared" ref="K80:K141" si="7">G80+I80-J80</f>
        <v>0</v>
      </c>
      <c r="L80" s="668"/>
    </row>
    <row r="81" spans="1:12" x14ac:dyDescent="0.25">
      <c r="A81" s="658" t="s">
        <v>3084</v>
      </c>
      <c r="B81" s="658" t="str">
        <f t="shared" si="6"/>
        <v>K01</v>
      </c>
      <c r="C81" s="661" t="s">
        <v>2877</v>
      </c>
      <c r="D81" s="661">
        <v>331020</v>
      </c>
      <c r="E81" s="661" t="s">
        <v>3082</v>
      </c>
      <c r="F81" s="661" t="s">
        <v>2837</v>
      </c>
      <c r="G81" s="668">
        <v>0</v>
      </c>
      <c r="H81" s="668"/>
      <c r="I81" s="668"/>
      <c r="J81" s="668"/>
      <c r="K81" s="668">
        <f t="shared" si="7"/>
        <v>0</v>
      </c>
      <c r="L81" s="668"/>
    </row>
    <row r="82" spans="1:12" x14ac:dyDescent="0.25">
      <c r="A82" s="670">
        <v>331</v>
      </c>
      <c r="B82" s="658" t="str">
        <f t="shared" si="6"/>
        <v>331</v>
      </c>
      <c r="C82" s="661" t="s">
        <v>3030</v>
      </c>
      <c r="D82" s="661"/>
      <c r="E82" s="661"/>
      <c r="F82" s="661" t="s">
        <v>2837</v>
      </c>
      <c r="G82" s="668">
        <v>0</v>
      </c>
      <c r="H82" s="668"/>
      <c r="I82" s="668"/>
      <c r="J82" s="668"/>
      <c r="K82" s="668">
        <f t="shared" si="7"/>
        <v>0</v>
      </c>
      <c r="L82" s="668"/>
    </row>
    <row r="83" spans="1:12" x14ac:dyDescent="0.25">
      <c r="A83" s="658" t="s">
        <v>3084</v>
      </c>
      <c r="B83" s="658" t="str">
        <f t="shared" si="6"/>
        <v>K01</v>
      </c>
      <c r="C83" s="661" t="s">
        <v>2877</v>
      </c>
      <c r="D83" s="661">
        <v>333040</v>
      </c>
      <c r="E83" s="661" t="s">
        <v>2911</v>
      </c>
      <c r="F83" s="661" t="s">
        <v>2837</v>
      </c>
      <c r="G83" s="668">
        <v>0</v>
      </c>
      <c r="H83" s="668"/>
      <c r="I83" s="668"/>
      <c r="J83" s="668"/>
      <c r="K83" s="668">
        <f t="shared" si="7"/>
        <v>0</v>
      </c>
      <c r="L83" s="668"/>
    </row>
    <row r="84" spans="1:12" x14ac:dyDescent="0.25">
      <c r="A84" s="670">
        <v>333</v>
      </c>
      <c r="B84" s="658" t="str">
        <f t="shared" si="6"/>
        <v>333</v>
      </c>
      <c r="C84" s="661" t="s">
        <v>3031</v>
      </c>
      <c r="D84" s="661"/>
      <c r="E84" s="661"/>
      <c r="F84" s="661" t="s">
        <v>2837</v>
      </c>
      <c r="G84" s="668">
        <v>0</v>
      </c>
      <c r="H84" s="668"/>
      <c r="I84" s="668"/>
      <c r="J84" s="668"/>
      <c r="K84" s="668">
        <f t="shared" si="7"/>
        <v>0</v>
      </c>
      <c r="L84" s="668"/>
    </row>
    <row r="85" spans="1:12" x14ac:dyDescent="0.25">
      <c r="A85" s="658" t="s">
        <v>3084</v>
      </c>
      <c r="B85" s="658" t="str">
        <f t="shared" si="6"/>
        <v>K01</v>
      </c>
      <c r="C85" s="661" t="s">
        <v>2877</v>
      </c>
      <c r="D85" s="661">
        <v>335015</v>
      </c>
      <c r="E85" s="661" t="s">
        <v>2912</v>
      </c>
      <c r="F85" s="661" t="s">
        <v>2837</v>
      </c>
      <c r="G85" s="668">
        <v>0</v>
      </c>
      <c r="H85" s="668"/>
      <c r="I85" s="668"/>
      <c r="J85" s="668"/>
      <c r="K85" s="668">
        <f t="shared" si="7"/>
        <v>0</v>
      </c>
      <c r="L85" s="668"/>
    </row>
    <row r="86" spans="1:12" x14ac:dyDescent="0.25">
      <c r="A86" s="670">
        <v>335</v>
      </c>
      <c r="B86" s="658" t="str">
        <f t="shared" si="6"/>
        <v>335</v>
      </c>
      <c r="C86" s="661" t="s">
        <v>3032</v>
      </c>
      <c r="D86" s="661"/>
      <c r="E86" s="661"/>
      <c r="F86" s="661" t="s">
        <v>2837</v>
      </c>
      <c r="G86" s="668">
        <v>0</v>
      </c>
      <c r="H86" s="668"/>
      <c r="I86" s="668"/>
      <c r="J86" s="668"/>
      <c r="K86" s="668">
        <f t="shared" si="7"/>
        <v>0</v>
      </c>
      <c r="L86" s="668"/>
    </row>
    <row r="87" spans="1:12" x14ac:dyDescent="0.25">
      <c r="A87" s="670" t="s">
        <v>3084</v>
      </c>
      <c r="B87" s="658" t="str">
        <f t="shared" si="6"/>
        <v>K01</v>
      </c>
      <c r="C87" s="661" t="s">
        <v>2877</v>
      </c>
      <c r="D87" s="661">
        <v>336010</v>
      </c>
      <c r="E87" s="661" t="s">
        <v>2913</v>
      </c>
      <c r="F87" s="661" t="s">
        <v>2837</v>
      </c>
      <c r="G87" s="668">
        <v>0</v>
      </c>
      <c r="H87" s="668"/>
      <c r="I87" s="668"/>
      <c r="J87" s="668"/>
      <c r="K87" s="668">
        <f t="shared" si="7"/>
        <v>0</v>
      </c>
      <c r="L87" s="668"/>
    </row>
    <row r="88" spans="1:12" x14ac:dyDescent="0.25">
      <c r="A88" s="658" t="s">
        <v>3084</v>
      </c>
      <c r="B88" s="658" t="str">
        <f t="shared" si="6"/>
        <v>K01</v>
      </c>
      <c r="C88" s="661" t="s">
        <v>2877</v>
      </c>
      <c r="D88" s="661">
        <v>336011</v>
      </c>
      <c r="E88" s="661" t="s">
        <v>2914</v>
      </c>
      <c r="F88" s="661" t="s">
        <v>2837</v>
      </c>
      <c r="G88" s="668">
        <v>0</v>
      </c>
      <c r="H88" s="668"/>
      <c r="I88" s="668"/>
      <c r="J88" s="668"/>
      <c r="K88" s="668">
        <f t="shared" si="7"/>
        <v>0</v>
      </c>
      <c r="L88" s="668"/>
    </row>
    <row r="89" spans="1:12" x14ac:dyDescent="0.25">
      <c r="A89" s="670">
        <v>336</v>
      </c>
      <c r="B89" s="658" t="str">
        <f t="shared" si="6"/>
        <v>336</v>
      </c>
      <c r="C89" s="661" t="s">
        <v>3033</v>
      </c>
      <c r="D89" s="661"/>
      <c r="E89" s="661"/>
      <c r="F89" s="661" t="s">
        <v>2837</v>
      </c>
      <c r="G89" s="668">
        <v>0</v>
      </c>
      <c r="H89" s="668"/>
      <c r="I89" s="668"/>
      <c r="J89" s="668"/>
      <c r="K89" s="668">
        <f t="shared" si="7"/>
        <v>0</v>
      </c>
      <c r="L89" s="668"/>
    </row>
    <row r="90" spans="1:12" x14ac:dyDescent="0.25">
      <c r="A90" s="670" t="s">
        <v>3084</v>
      </c>
      <c r="B90" s="658" t="str">
        <f t="shared" si="6"/>
        <v>K01</v>
      </c>
      <c r="C90" s="661" t="s">
        <v>2877</v>
      </c>
      <c r="D90" s="661">
        <v>341020</v>
      </c>
      <c r="E90" s="661" t="s">
        <v>2915</v>
      </c>
      <c r="F90" s="661" t="s">
        <v>2837</v>
      </c>
      <c r="G90" s="668">
        <v>-2880</v>
      </c>
      <c r="H90" s="668"/>
      <c r="I90" s="668"/>
      <c r="J90" s="668">
        <v>960</v>
      </c>
      <c r="K90" s="668">
        <f t="shared" si="7"/>
        <v>-3840</v>
      </c>
      <c r="L90" s="668"/>
    </row>
    <row r="91" spans="1:12" x14ac:dyDescent="0.25">
      <c r="A91" s="670">
        <v>341</v>
      </c>
      <c r="B91" s="658" t="str">
        <f t="shared" si="6"/>
        <v>341</v>
      </c>
      <c r="C91" s="661" t="s">
        <v>3034</v>
      </c>
      <c r="D91" s="661"/>
      <c r="E91" s="661"/>
      <c r="F91" s="661" t="s">
        <v>2837</v>
      </c>
      <c r="G91" s="668">
        <f>SUM(G90)</f>
        <v>-2880</v>
      </c>
      <c r="H91" s="668">
        <f t="shared" ref="H91:K91" si="8">SUM(H90)</f>
        <v>0</v>
      </c>
      <c r="I91" s="668">
        <f t="shared" si="8"/>
        <v>0</v>
      </c>
      <c r="J91" s="668">
        <f t="shared" si="8"/>
        <v>960</v>
      </c>
      <c r="K91" s="668">
        <f t="shared" si="8"/>
        <v>-3840</v>
      </c>
      <c r="L91" s="668"/>
    </row>
    <row r="92" spans="1:12" x14ac:dyDescent="0.25">
      <c r="A92" s="670" t="s">
        <v>3084</v>
      </c>
      <c r="B92" s="658" t="str">
        <f t="shared" si="6"/>
        <v>K01</v>
      </c>
      <c r="C92" s="661" t="s">
        <v>2877</v>
      </c>
      <c r="D92" s="661">
        <v>342010</v>
      </c>
      <c r="E92" s="661" t="s">
        <v>2611</v>
      </c>
      <c r="F92" s="661" t="s">
        <v>2837</v>
      </c>
      <c r="G92" s="668">
        <v>-2967.1800000000003</v>
      </c>
      <c r="H92" s="668"/>
      <c r="I92" s="668"/>
      <c r="J92" s="668"/>
      <c r="K92" s="668">
        <f t="shared" si="7"/>
        <v>-2967.1800000000003</v>
      </c>
      <c r="L92" s="668"/>
    </row>
    <row r="93" spans="1:12" x14ac:dyDescent="0.25">
      <c r="A93" s="670">
        <v>342</v>
      </c>
      <c r="B93" s="658" t="str">
        <f t="shared" si="6"/>
        <v>342</v>
      </c>
      <c r="C93" s="661" t="s">
        <v>3035</v>
      </c>
      <c r="D93" s="661"/>
      <c r="E93" s="661"/>
      <c r="F93" s="661" t="s">
        <v>2837</v>
      </c>
      <c r="G93" s="668">
        <v>-2967.1800000000003</v>
      </c>
      <c r="H93" s="668">
        <f t="shared" ref="H93:K93" si="9">SUM(H92)</f>
        <v>0</v>
      </c>
      <c r="I93" s="668">
        <f t="shared" si="9"/>
        <v>0</v>
      </c>
      <c r="J93" s="668">
        <f t="shared" si="9"/>
        <v>0</v>
      </c>
      <c r="K93" s="668">
        <f t="shared" si="9"/>
        <v>-2967.1800000000003</v>
      </c>
      <c r="L93" s="668"/>
    </row>
    <row r="94" spans="1:12" x14ac:dyDescent="0.25">
      <c r="A94" s="658" t="s">
        <v>3084</v>
      </c>
      <c r="B94" s="658" t="str">
        <f t="shared" si="6"/>
        <v>K01</v>
      </c>
      <c r="C94" s="661" t="s">
        <v>2877</v>
      </c>
      <c r="D94" s="661">
        <v>343010</v>
      </c>
      <c r="E94" s="661" t="s">
        <v>2916</v>
      </c>
      <c r="F94" s="661" t="s">
        <v>2837</v>
      </c>
      <c r="G94" s="668">
        <v>60.73</v>
      </c>
      <c r="H94" s="668"/>
      <c r="I94" s="668"/>
      <c r="J94" s="668"/>
      <c r="K94" s="668">
        <f t="shared" si="7"/>
        <v>60.73</v>
      </c>
      <c r="L94" s="668"/>
    </row>
    <row r="95" spans="1:12" x14ac:dyDescent="0.25">
      <c r="A95" s="658" t="s">
        <v>3084</v>
      </c>
      <c r="B95" s="658" t="str">
        <f t="shared" si="6"/>
        <v>K01</v>
      </c>
      <c r="C95" s="661" t="s">
        <v>2877</v>
      </c>
      <c r="D95" s="661">
        <v>343019</v>
      </c>
      <c r="E95" s="661" t="s">
        <v>2917</v>
      </c>
      <c r="F95" s="661" t="s">
        <v>2837</v>
      </c>
      <c r="G95" s="851">
        <v>1457.59</v>
      </c>
      <c r="H95" s="668"/>
      <c r="I95" s="851">
        <f>info!D32</f>
        <v>69.160000000000011</v>
      </c>
      <c r="J95" s="668"/>
      <c r="K95" s="668">
        <f t="shared" si="7"/>
        <v>1526.75</v>
      </c>
      <c r="L95" s="668"/>
    </row>
    <row r="96" spans="1:12" x14ac:dyDescent="0.25">
      <c r="A96" s="658" t="s">
        <v>3084</v>
      </c>
      <c r="B96" s="658" t="str">
        <f t="shared" si="6"/>
        <v>K01</v>
      </c>
      <c r="C96" s="661" t="s">
        <v>2877</v>
      </c>
      <c r="D96" s="661">
        <v>343025</v>
      </c>
      <c r="E96" s="661" t="s">
        <v>3088</v>
      </c>
      <c r="F96" s="661" t="s">
        <v>2837</v>
      </c>
      <c r="G96" s="668">
        <v>0</v>
      </c>
      <c r="H96" s="668"/>
      <c r="I96" s="668"/>
      <c r="J96" s="668"/>
      <c r="K96" s="668">
        <f t="shared" si="7"/>
        <v>0</v>
      </c>
      <c r="L96" s="668"/>
    </row>
    <row r="97" spans="1:12" x14ac:dyDescent="0.25">
      <c r="A97" s="658" t="s">
        <v>3084</v>
      </c>
      <c r="B97" s="658" t="str">
        <f t="shared" si="6"/>
        <v>K01</v>
      </c>
      <c r="C97" s="661" t="s">
        <v>2877</v>
      </c>
      <c r="D97" s="661">
        <v>343100</v>
      </c>
      <c r="E97" s="661" t="s">
        <v>2918</v>
      </c>
      <c r="F97" s="661" t="s">
        <v>2837</v>
      </c>
      <c r="G97" s="668">
        <v>0</v>
      </c>
      <c r="H97" s="668"/>
      <c r="I97" s="668"/>
      <c r="J97" s="668"/>
      <c r="K97" s="668">
        <f t="shared" si="7"/>
        <v>0</v>
      </c>
      <c r="L97" s="668"/>
    </row>
    <row r="98" spans="1:12" x14ac:dyDescent="0.25">
      <c r="A98" s="658" t="s">
        <v>3084</v>
      </c>
      <c r="B98" s="658" t="str">
        <f t="shared" si="6"/>
        <v>K01</v>
      </c>
      <c r="C98" s="661" t="s">
        <v>2877</v>
      </c>
      <c r="D98" s="661">
        <v>343101</v>
      </c>
      <c r="E98" s="661" t="s">
        <v>2919</v>
      </c>
      <c r="F98" s="661" t="s">
        <v>2837</v>
      </c>
      <c r="G98" s="668">
        <v>0</v>
      </c>
      <c r="H98" s="668"/>
      <c r="I98" s="668"/>
      <c r="J98" s="668"/>
      <c r="K98" s="668">
        <f t="shared" si="7"/>
        <v>0</v>
      </c>
      <c r="L98" s="668"/>
    </row>
    <row r="99" spans="1:12" x14ac:dyDescent="0.25">
      <c r="A99" s="658" t="s">
        <v>3084</v>
      </c>
      <c r="B99" s="658" t="str">
        <f t="shared" si="6"/>
        <v>K01</v>
      </c>
      <c r="C99" s="661" t="s">
        <v>2877</v>
      </c>
      <c r="D99" s="661">
        <v>343223</v>
      </c>
      <c r="E99" s="661" t="s">
        <v>2920</v>
      </c>
      <c r="F99" s="661" t="s">
        <v>2837</v>
      </c>
      <c r="G99" s="851">
        <v>-1057.93</v>
      </c>
      <c r="H99" s="668"/>
      <c r="I99" s="668"/>
      <c r="J99" s="851"/>
      <c r="K99" s="668">
        <f t="shared" si="7"/>
        <v>-1057.93</v>
      </c>
      <c r="L99" s="668"/>
    </row>
    <row r="100" spans="1:12" x14ac:dyDescent="0.25">
      <c r="A100" s="658" t="s">
        <v>3084</v>
      </c>
      <c r="B100" s="658" t="str">
        <f t="shared" si="6"/>
        <v>K01</v>
      </c>
      <c r="C100" s="661" t="s">
        <v>2877</v>
      </c>
      <c r="D100" s="661">
        <v>343423</v>
      </c>
      <c r="E100" s="661" t="s">
        <v>2921</v>
      </c>
      <c r="F100" s="661" t="s">
        <v>2837</v>
      </c>
      <c r="G100" s="668">
        <v>0</v>
      </c>
      <c r="H100" s="668"/>
      <c r="I100" s="668"/>
      <c r="J100" s="668"/>
      <c r="K100" s="668">
        <f t="shared" si="7"/>
        <v>0</v>
      </c>
      <c r="L100" s="668"/>
    </row>
    <row r="101" spans="1:12" x14ac:dyDescent="0.25">
      <c r="A101" s="670" t="s">
        <v>3084</v>
      </c>
      <c r="B101" s="658" t="str">
        <f t="shared" si="6"/>
        <v>K01</v>
      </c>
      <c r="C101" s="661" t="s">
        <v>2877</v>
      </c>
      <c r="D101" s="661">
        <v>343823</v>
      </c>
      <c r="E101" s="661" t="s">
        <v>2922</v>
      </c>
      <c r="F101" s="661" t="s">
        <v>2837</v>
      </c>
      <c r="G101" s="668">
        <v>0</v>
      </c>
      <c r="H101" s="668"/>
      <c r="I101" s="668"/>
      <c r="J101" s="668"/>
      <c r="K101" s="668">
        <f t="shared" si="7"/>
        <v>0</v>
      </c>
      <c r="L101" s="668"/>
    </row>
    <row r="102" spans="1:12" x14ac:dyDescent="0.25">
      <c r="A102" s="670">
        <v>343</v>
      </c>
      <c r="B102" s="658" t="str">
        <f t="shared" si="6"/>
        <v>343</v>
      </c>
      <c r="C102" s="661" t="s">
        <v>3036</v>
      </c>
      <c r="D102" s="661"/>
      <c r="E102" s="661"/>
      <c r="F102" s="661" t="s">
        <v>2837</v>
      </c>
      <c r="G102" s="668">
        <f>SUM(G94:G101)</f>
        <v>460.38999999999987</v>
      </c>
      <c r="H102" s="668">
        <f t="shared" ref="H102:J102" si="10">SUM(H94:H101)</f>
        <v>0</v>
      </c>
      <c r="I102" s="668">
        <f t="shared" si="10"/>
        <v>69.160000000000011</v>
      </c>
      <c r="J102" s="668">
        <f t="shared" si="10"/>
        <v>0</v>
      </c>
      <c r="K102" s="668">
        <f t="shared" ref="K102" si="11">SUM(K94:K101)</f>
        <v>529.54999999999995</v>
      </c>
      <c r="L102" s="668"/>
    </row>
    <row r="103" spans="1:12" x14ac:dyDescent="0.25">
      <c r="A103" s="670" t="s">
        <v>3084</v>
      </c>
      <c r="B103" s="658" t="str">
        <f t="shared" si="6"/>
        <v>K01</v>
      </c>
      <c r="C103" s="661" t="s">
        <v>2877</v>
      </c>
      <c r="D103" s="661">
        <v>361010</v>
      </c>
      <c r="E103" s="661" t="s">
        <v>3037</v>
      </c>
      <c r="F103" s="661" t="s">
        <v>2837</v>
      </c>
      <c r="G103" s="668">
        <v>-1230</v>
      </c>
      <c r="H103" s="668"/>
      <c r="I103" s="668"/>
      <c r="J103" s="668">
        <v>560</v>
      </c>
      <c r="K103" s="668">
        <f t="shared" si="7"/>
        <v>-1790</v>
      </c>
      <c r="L103" s="668"/>
    </row>
    <row r="104" spans="1:12" x14ac:dyDescent="0.25">
      <c r="A104" s="670">
        <v>361</v>
      </c>
      <c r="B104" s="658" t="str">
        <f t="shared" si="6"/>
        <v>361</v>
      </c>
      <c r="C104" s="661" t="s">
        <v>3038</v>
      </c>
      <c r="D104" s="661"/>
      <c r="E104" s="661"/>
      <c r="F104" s="661" t="s">
        <v>2837</v>
      </c>
      <c r="G104" s="668">
        <f>SUM(G103)</f>
        <v>-1230</v>
      </c>
      <c r="H104" s="668">
        <f t="shared" ref="H104:K104" si="12">SUM(H103)</f>
        <v>0</v>
      </c>
      <c r="I104" s="668">
        <f t="shared" si="12"/>
        <v>0</v>
      </c>
      <c r="J104" s="668">
        <f t="shared" si="12"/>
        <v>560</v>
      </c>
      <c r="K104" s="668">
        <f t="shared" si="12"/>
        <v>-1790</v>
      </c>
      <c r="L104" s="668"/>
    </row>
    <row r="105" spans="1:12" x14ac:dyDescent="0.25">
      <c r="A105" s="670" t="s">
        <v>3084</v>
      </c>
      <c r="B105" s="658" t="str">
        <f t="shared" si="6"/>
        <v>K01</v>
      </c>
      <c r="C105" s="661" t="s">
        <v>2877</v>
      </c>
      <c r="D105" s="661">
        <v>378010</v>
      </c>
      <c r="E105" s="661" t="s">
        <v>2923</v>
      </c>
      <c r="F105" s="661" t="s">
        <v>2837</v>
      </c>
      <c r="G105" s="668">
        <v>0</v>
      </c>
      <c r="H105" s="668"/>
      <c r="I105" s="668"/>
      <c r="J105" s="668"/>
      <c r="K105" s="668">
        <f t="shared" si="7"/>
        <v>0</v>
      </c>
      <c r="L105" s="668"/>
    </row>
    <row r="106" spans="1:12" x14ac:dyDescent="0.25">
      <c r="A106" s="670">
        <v>378</v>
      </c>
      <c r="B106" s="658" t="str">
        <f t="shared" si="6"/>
        <v>378</v>
      </c>
      <c r="C106" s="661" t="s">
        <v>3039</v>
      </c>
      <c r="D106" s="661"/>
      <c r="E106" s="661"/>
      <c r="F106" s="661" t="s">
        <v>2837</v>
      </c>
      <c r="G106" s="668">
        <v>0</v>
      </c>
      <c r="H106" s="668"/>
      <c r="I106" s="668"/>
      <c r="J106" s="668"/>
      <c r="K106" s="668">
        <f t="shared" si="7"/>
        <v>0</v>
      </c>
      <c r="L106" s="668"/>
    </row>
    <row r="107" spans="1:12" x14ac:dyDescent="0.25">
      <c r="A107" s="670" t="s">
        <v>3084</v>
      </c>
      <c r="B107" s="658" t="str">
        <f t="shared" si="6"/>
        <v>K01</v>
      </c>
      <c r="C107" s="661" t="s">
        <v>2877</v>
      </c>
      <c r="D107" s="661">
        <v>379020</v>
      </c>
      <c r="E107" s="661" t="s">
        <v>2924</v>
      </c>
      <c r="F107" s="661" t="s">
        <v>2837</v>
      </c>
      <c r="G107" s="668">
        <v>0</v>
      </c>
      <c r="H107" s="668"/>
      <c r="I107" s="668"/>
      <c r="J107" s="668"/>
      <c r="K107" s="668">
        <f t="shared" si="7"/>
        <v>0</v>
      </c>
      <c r="L107" s="668"/>
    </row>
    <row r="108" spans="1:12" x14ac:dyDescent="0.25">
      <c r="A108" s="670" t="s">
        <v>3084</v>
      </c>
      <c r="B108" s="658" t="str">
        <f t="shared" si="6"/>
        <v>K01</v>
      </c>
      <c r="C108" s="661" t="s">
        <v>2877</v>
      </c>
      <c r="D108" s="661">
        <v>379030</v>
      </c>
      <c r="E108" s="661" t="s">
        <v>2925</v>
      </c>
      <c r="F108" s="661" t="s">
        <v>2837</v>
      </c>
      <c r="G108" s="668">
        <v>0</v>
      </c>
      <c r="H108" s="668"/>
      <c r="I108" s="668"/>
      <c r="J108" s="668"/>
      <c r="K108" s="668">
        <f t="shared" si="7"/>
        <v>0</v>
      </c>
      <c r="L108" s="668"/>
    </row>
    <row r="109" spans="1:12" x14ac:dyDescent="0.25">
      <c r="A109" s="670">
        <v>379</v>
      </c>
      <c r="B109" s="658" t="str">
        <f t="shared" si="6"/>
        <v>379</v>
      </c>
      <c r="C109" s="661" t="s">
        <v>3040</v>
      </c>
      <c r="D109" s="661"/>
      <c r="E109" s="661"/>
      <c r="F109" s="661" t="s">
        <v>2837</v>
      </c>
      <c r="G109" s="668">
        <v>0</v>
      </c>
      <c r="H109" s="668"/>
      <c r="I109" s="668"/>
      <c r="J109" s="668"/>
      <c r="K109" s="668">
        <f t="shared" si="7"/>
        <v>0</v>
      </c>
      <c r="L109" s="668"/>
    </row>
    <row r="110" spans="1:12" x14ac:dyDescent="0.25">
      <c r="A110" s="670" t="s">
        <v>3084</v>
      </c>
      <c r="B110" s="658" t="str">
        <f t="shared" si="6"/>
        <v>K01</v>
      </c>
      <c r="C110" s="661" t="s">
        <v>2877</v>
      </c>
      <c r="D110" s="661">
        <v>381030</v>
      </c>
      <c r="E110" s="661" t="s">
        <v>2926</v>
      </c>
      <c r="F110" s="661" t="s">
        <v>2837</v>
      </c>
      <c r="G110" s="851">
        <v>0</v>
      </c>
      <c r="H110" s="668"/>
      <c r="I110" s="668"/>
      <c r="J110" s="851"/>
      <c r="K110" s="668">
        <f t="shared" si="7"/>
        <v>0</v>
      </c>
      <c r="L110" s="668" t="s">
        <v>773</v>
      </c>
    </row>
    <row r="111" spans="1:12" x14ac:dyDescent="0.25">
      <c r="A111" s="670" t="s">
        <v>3084</v>
      </c>
      <c r="B111" s="658" t="str">
        <f t="shared" si="6"/>
        <v>K01</v>
      </c>
      <c r="C111" s="661" t="s">
        <v>2877</v>
      </c>
      <c r="D111" s="661">
        <v>381033</v>
      </c>
      <c r="E111" s="661" t="s">
        <v>2927</v>
      </c>
      <c r="F111" s="661" t="s">
        <v>2837</v>
      </c>
      <c r="G111" s="668">
        <v>0</v>
      </c>
      <c r="H111" s="668"/>
      <c r="I111" s="668"/>
      <c r="J111" s="668"/>
      <c r="K111" s="668">
        <f t="shared" si="7"/>
        <v>0</v>
      </c>
      <c r="L111" s="668"/>
    </row>
    <row r="112" spans="1:12" x14ac:dyDescent="0.25">
      <c r="A112" s="670">
        <v>381</v>
      </c>
      <c r="B112" s="658" t="str">
        <f t="shared" si="6"/>
        <v>381</v>
      </c>
      <c r="C112" s="661" t="s">
        <v>3041</v>
      </c>
      <c r="D112" s="661"/>
      <c r="E112" s="661"/>
      <c r="F112" s="661" t="s">
        <v>2837</v>
      </c>
      <c r="G112" s="668">
        <v>0</v>
      </c>
      <c r="H112" s="668">
        <f>SUM(H110:H111)</f>
        <v>0</v>
      </c>
      <c r="I112" s="668">
        <f>SUM(I110:I111)</f>
        <v>0</v>
      </c>
      <c r="J112" s="668">
        <f>SUM(J110:J111)</f>
        <v>0</v>
      </c>
      <c r="K112" s="668">
        <f>SUM(K110:K111)</f>
        <v>0</v>
      </c>
      <c r="L112" s="668"/>
    </row>
    <row r="113" spans="1:12" x14ac:dyDescent="0.25">
      <c r="A113" s="670" t="s">
        <v>3084</v>
      </c>
      <c r="B113" s="658" t="str">
        <f t="shared" si="6"/>
        <v>K01</v>
      </c>
      <c r="C113" s="661" t="s">
        <v>2877</v>
      </c>
      <c r="D113" s="661">
        <v>384010</v>
      </c>
      <c r="E113" s="661" t="s">
        <v>2928</v>
      </c>
      <c r="F113" s="661" t="s">
        <v>2837</v>
      </c>
      <c r="G113" s="668">
        <v>0</v>
      </c>
      <c r="H113" s="668"/>
      <c r="I113" s="668"/>
      <c r="J113" s="668"/>
      <c r="K113" s="668">
        <f t="shared" si="7"/>
        <v>0</v>
      </c>
      <c r="L113" s="668"/>
    </row>
    <row r="114" spans="1:12" x14ac:dyDescent="0.25">
      <c r="A114" s="670">
        <v>384</v>
      </c>
      <c r="B114" s="658" t="str">
        <f t="shared" si="6"/>
        <v>384</v>
      </c>
      <c r="C114" s="661" t="s">
        <v>3042</v>
      </c>
      <c r="D114" s="661"/>
      <c r="E114" s="661"/>
      <c r="F114" s="661" t="s">
        <v>2837</v>
      </c>
      <c r="G114" s="668">
        <v>0</v>
      </c>
      <c r="H114" s="668"/>
      <c r="I114" s="668"/>
      <c r="J114" s="668"/>
      <c r="K114" s="668">
        <f t="shared" si="7"/>
        <v>0</v>
      </c>
      <c r="L114" s="668"/>
    </row>
    <row r="115" spans="1:12" x14ac:dyDescent="0.25">
      <c r="A115" s="670" t="s">
        <v>3084</v>
      </c>
      <c r="B115" s="658" t="str">
        <f t="shared" si="6"/>
        <v>K01</v>
      </c>
      <c r="C115" s="661" t="s">
        <v>2877</v>
      </c>
      <c r="D115" s="661">
        <v>385010</v>
      </c>
      <c r="E115" s="661" t="s">
        <v>2929</v>
      </c>
      <c r="F115" s="661" t="s">
        <v>2837</v>
      </c>
      <c r="G115" s="668">
        <v>0</v>
      </c>
      <c r="H115" s="668"/>
      <c r="I115" s="668"/>
      <c r="J115" s="668"/>
      <c r="K115" s="668">
        <f t="shared" si="7"/>
        <v>0</v>
      </c>
      <c r="L115" s="668"/>
    </row>
    <row r="116" spans="1:12" x14ac:dyDescent="0.25">
      <c r="A116" s="670" t="s">
        <v>3084</v>
      </c>
      <c r="B116" s="658" t="str">
        <f t="shared" si="6"/>
        <v>K01</v>
      </c>
      <c r="C116" s="661" t="s">
        <v>2877</v>
      </c>
      <c r="D116" s="661">
        <v>385020</v>
      </c>
      <c r="E116" s="661" t="s">
        <v>2930</v>
      </c>
      <c r="F116" s="661" t="s">
        <v>2837</v>
      </c>
      <c r="G116" s="668">
        <v>0</v>
      </c>
      <c r="H116" s="668"/>
      <c r="I116" s="668"/>
      <c r="J116" s="668"/>
      <c r="K116" s="668">
        <f t="shared" si="7"/>
        <v>0</v>
      </c>
      <c r="L116" s="668"/>
    </row>
    <row r="117" spans="1:12" x14ac:dyDescent="0.25">
      <c r="A117" s="670">
        <v>385</v>
      </c>
      <c r="B117" s="658" t="str">
        <f t="shared" si="6"/>
        <v>385</v>
      </c>
      <c r="C117" s="661" t="s">
        <v>3043</v>
      </c>
      <c r="D117" s="661"/>
      <c r="E117" s="661"/>
      <c r="F117" s="661" t="s">
        <v>2837</v>
      </c>
      <c r="G117" s="668">
        <v>0</v>
      </c>
      <c r="H117" s="668"/>
      <c r="I117" s="668"/>
      <c r="J117" s="668"/>
      <c r="K117" s="668">
        <f t="shared" si="7"/>
        <v>0</v>
      </c>
      <c r="L117" s="668"/>
    </row>
    <row r="118" spans="1:12" x14ac:dyDescent="0.25">
      <c r="A118" s="670" t="s">
        <v>3084</v>
      </c>
      <c r="B118" s="658" t="str">
        <f t="shared" si="6"/>
        <v>K01</v>
      </c>
      <c r="C118" s="661" t="s">
        <v>2877</v>
      </c>
      <c r="D118" s="661">
        <v>391100</v>
      </c>
      <c r="E118" s="661" t="s">
        <v>2931</v>
      </c>
      <c r="F118" s="661" t="s">
        <v>2837</v>
      </c>
      <c r="G118" s="668">
        <v>0</v>
      </c>
      <c r="H118" s="668"/>
      <c r="I118" s="668"/>
      <c r="J118" s="668"/>
      <c r="K118" s="668">
        <f t="shared" si="7"/>
        <v>0</v>
      </c>
      <c r="L118" s="668"/>
    </row>
    <row r="119" spans="1:12" x14ac:dyDescent="0.25">
      <c r="A119" s="670">
        <v>391</v>
      </c>
      <c r="B119" s="658" t="str">
        <f t="shared" si="6"/>
        <v>391</v>
      </c>
      <c r="C119" s="661" t="s">
        <v>3044</v>
      </c>
      <c r="D119" s="661"/>
      <c r="E119" s="661"/>
      <c r="F119" s="661" t="s">
        <v>2837</v>
      </c>
      <c r="G119" s="668">
        <v>0</v>
      </c>
      <c r="H119" s="668"/>
      <c r="I119" s="668"/>
      <c r="J119" s="668"/>
      <c r="K119" s="668">
        <f t="shared" si="7"/>
        <v>0</v>
      </c>
      <c r="L119" s="668"/>
    </row>
    <row r="120" spans="1:12" x14ac:dyDescent="0.25">
      <c r="A120" s="670" t="s">
        <v>3084</v>
      </c>
      <c r="B120" s="658" t="str">
        <f t="shared" si="6"/>
        <v>K01</v>
      </c>
      <c r="C120" s="661" t="s">
        <v>2877</v>
      </c>
      <c r="D120" s="661">
        <v>395011</v>
      </c>
      <c r="E120" s="661" t="s">
        <v>2932</v>
      </c>
      <c r="F120" s="661" t="s">
        <v>2837</v>
      </c>
      <c r="G120" s="668">
        <v>0</v>
      </c>
      <c r="H120" s="668"/>
      <c r="I120" s="668"/>
      <c r="J120" s="668"/>
      <c r="K120" s="668">
        <f t="shared" si="7"/>
        <v>0</v>
      </c>
      <c r="L120" s="668"/>
    </row>
    <row r="121" spans="1:12" x14ac:dyDescent="0.25">
      <c r="A121" s="670">
        <v>395</v>
      </c>
      <c r="B121" s="658" t="str">
        <f t="shared" si="6"/>
        <v>395</v>
      </c>
      <c r="C121" s="661" t="s">
        <v>3045</v>
      </c>
      <c r="D121" s="661"/>
      <c r="E121" s="661"/>
      <c r="F121" s="661" t="s">
        <v>2837</v>
      </c>
      <c r="G121" s="668">
        <v>0</v>
      </c>
      <c r="H121" s="668"/>
      <c r="I121" s="668"/>
      <c r="J121" s="668"/>
      <c r="K121" s="668">
        <f t="shared" si="7"/>
        <v>0</v>
      </c>
      <c r="L121" s="668"/>
    </row>
    <row r="122" spans="1:12" x14ac:dyDescent="0.25">
      <c r="A122" s="670" t="s">
        <v>3084</v>
      </c>
      <c r="B122" s="658" t="str">
        <f t="shared" si="6"/>
        <v>K01</v>
      </c>
      <c r="C122" s="661" t="s">
        <v>2877</v>
      </c>
      <c r="D122" s="661">
        <v>411010</v>
      </c>
      <c r="E122" s="661" t="s">
        <v>2555</v>
      </c>
      <c r="F122" s="661" t="s">
        <v>2837</v>
      </c>
      <c r="G122" s="851">
        <v>-11618</v>
      </c>
      <c r="H122" s="668"/>
      <c r="I122" s="668"/>
      <c r="J122" s="668"/>
      <c r="K122" s="668">
        <f t="shared" si="7"/>
        <v>-11618</v>
      </c>
      <c r="L122" s="668"/>
    </row>
    <row r="123" spans="1:12" x14ac:dyDescent="0.25">
      <c r="A123" s="670">
        <v>411</v>
      </c>
      <c r="B123" s="658" t="str">
        <f t="shared" si="6"/>
        <v>411</v>
      </c>
      <c r="C123" s="661" t="s">
        <v>3046</v>
      </c>
      <c r="D123" s="661"/>
      <c r="E123" s="661"/>
      <c r="F123" s="661" t="s">
        <v>2837</v>
      </c>
      <c r="G123" s="668">
        <v>-11618</v>
      </c>
      <c r="H123" s="668">
        <f t="shared" ref="H123:K123" si="13">SUM(H122)</f>
        <v>0</v>
      </c>
      <c r="I123" s="668">
        <f t="shared" si="13"/>
        <v>0</v>
      </c>
      <c r="J123" s="668">
        <f t="shared" si="13"/>
        <v>0</v>
      </c>
      <c r="K123" s="668">
        <f t="shared" si="13"/>
        <v>-11618</v>
      </c>
      <c r="L123" s="668"/>
    </row>
    <row r="124" spans="1:12" x14ac:dyDescent="0.25">
      <c r="A124" s="670" t="s">
        <v>3084</v>
      </c>
      <c r="B124" s="658" t="str">
        <f t="shared" si="6"/>
        <v>K01</v>
      </c>
      <c r="C124" s="661" t="s">
        <v>2877</v>
      </c>
      <c r="D124" s="661">
        <v>421010</v>
      </c>
      <c r="E124" s="661" t="s">
        <v>2933</v>
      </c>
      <c r="F124" s="661" t="s">
        <v>2837</v>
      </c>
      <c r="G124" s="668">
        <v>0</v>
      </c>
      <c r="H124" s="668"/>
      <c r="I124" s="668"/>
      <c r="J124" s="668"/>
      <c r="K124" s="668">
        <f t="shared" si="7"/>
        <v>0</v>
      </c>
      <c r="L124" s="668"/>
    </row>
    <row r="125" spans="1:12" x14ac:dyDescent="0.25">
      <c r="A125" s="670">
        <v>421</v>
      </c>
      <c r="B125" s="658" t="str">
        <f t="shared" si="6"/>
        <v>421</v>
      </c>
      <c r="C125" s="661" t="s">
        <v>3047</v>
      </c>
      <c r="D125" s="661"/>
      <c r="E125" s="661"/>
      <c r="F125" s="661" t="s">
        <v>2837</v>
      </c>
      <c r="G125" s="668">
        <v>0</v>
      </c>
      <c r="H125" s="668"/>
      <c r="I125" s="668"/>
      <c r="J125" s="668"/>
      <c r="K125" s="668">
        <f t="shared" si="7"/>
        <v>0</v>
      </c>
      <c r="L125" s="668"/>
    </row>
    <row r="126" spans="1:12" x14ac:dyDescent="0.25">
      <c r="A126" s="670" t="s">
        <v>3084</v>
      </c>
      <c r="B126" s="658" t="str">
        <f t="shared" si="6"/>
        <v>K01</v>
      </c>
      <c r="C126" s="661" t="s">
        <v>2877</v>
      </c>
      <c r="D126" s="661">
        <v>428010</v>
      </c>
      <c r="E126" s="661" t="s">
        <v>2934</v>
      </c>
      <c r="F126" s="661" t="s">
        <v>2837</v>
      </c>
      <c r="G126" s="668">
        <v>0</v>
      </c>
      <c r="H126" s="668"/>
      <c r="I126" s="668"/>
      <c r="J126" s="668"/>
      <c r="K126" s="668">
        <f t="shared" si="7"/>
        <v>0</v>
      </c>
      <c r="L126" s="668"/>
    </row>
    <row r="127" spans="1:12" x14ac:dyDescent="0.25">
      <c r="A127" s="670" t="s">
        <v>3084</v>
      </c>
      <c r="B127" s="658" t="str">
        <f t="shared" si="6"/>
        <v>K01</v>
      </c>
      <c r="C127" s="661" t="s">
        <v>2877</v>
      </c>
      <c r="D127" s="661">
        <v>428010</v>
      </c>
      <c r="E127" s="661" t="s">
        <v>2934</v>
      </c>
      <c r="F127" s="661" t="s">
        <v>2837</v>
      </c>
      <c r="G127" s="668">
        <v>0</v>
      </c>
      <c r="H127" s="668"/>
      <c r="I127" s="668"/>
      <c r="J127" s="668"/>
      <c r="K127" s="668">
        <f t="shared" si="7"/>
        <v>0</v>
      </c>
      <c r="L127" s="668"/>
    </row>
    <row r="128" spans="1:12" x14ac:dyDescent="0.25">
      <c r="A128" s="670">
        <v>428</v>
      </c>
      <c r="B128" s="658" t="str">
        <f t="shared" si="6"/>
        <v>428</v>
      </c>
      <c r="C128" s="661" t="s">
        <v>3048</v>
      </c>
      <c r="D128" s="661"/>
      <c r="E128" s="661"/>
      <c r="F128" s="661" t="s">
        <v>2837</v>
      </c>
      <c r="G128" s="668">
        <v>0</v>
      </c>
      <c r="H128" s="668"/>
      <c r="I128" s="668"/>
      <c r="J128" s="668"/>
      <c r="K128" s="668">
        <f t="shared" si="7"/>
        <v>0</v>
      </c>
      <c r="L128" s="668"/>
    </row>
    <row r="129" spans="1:12" x14ac:dyDescent="0.25">
      <c r="A129" s="670" t="s">
        <v>3084</v>
      </c>
      <c r="B129" s="658" t="str">
        <f t="shared" ref="B129:B130" si="14">RIGHT(C129,3)</f>
        <v>K01</v>
      </c>
      <c r="C129" s="661" t="s">
        <v>2877</v>
      </c>
      <c r="D129" s="661">
        <v>429010</v>
      </c>
      <c r="E129" s="661" t="s">
        <v>3094</v>
      </c>
      <c r="F129" s="661" t="s">
        <v>2837</v>
      </c>
      <c r="G129" s="851">
        <v>7736.89</v>
      </c>
      <c r="H129" s="668"/>
      <c r="I129" s="668">
        <v>2032.48</v>
      </c>
      <c r="J129" s="668"/>
      <c r="K129" s="668">
        <f t="shared" ref="K129" si="15">G129+I129-J129</f>
        <v>9769.3700000000008</v>
      </c>
      <c r="L129" s="668"/>
    </row>
    <row r="130" spans="1:12" x14ac:dyDescent="0.25">
      <c r="A130" s="670">
        <v>429</v>
      </c>
      <c r="B130" s="658" t="str">
        <f t="shared" si="14"/>
        <v>429</v>
      </c>
      <c r="C130" s="661" t="s">
        <v>3095</v>
      </c>
      <c r="D130" s="661"/>
      <c r="E130" s="661"/>
      <c r="F130" s="661" t="s">
        <v>2837</v>
      </c>
      <c r="G130" s="668">
        <v>4689.8900000000003</v>
      </c>
      <c r="H130" s="668">
        <f t="shared" ref="H130:K130" si="16">SUM(H129)</f>
        <v>0</v>
      </c>
      <c r="I130" s="668">
        <f t="shared" si="16"/>
        <v>2032.48</v>
      </c>
      <c r="J130" s="668">
        <f t="shared" si="16"/>
        <v>0</v>
      </c>
      <c r="K130" s="668">
        <f t="shared" si="16"/>
        <v>9769.3700000000008</v>
      </c>
      <c r="L130" s="668"/>
    </row>
    <row r="131" spans="1:12" x14ac:dyDescent="0.25">
      <c r="A131" s="670" t="s">
        <v>3084</v>
      </c>
      <c r="B131" s="658" t="str">
        <f t="shared" si="6"/>
        <v>K01</v>
      </c>
      <c r="C131" s="661" t="s">
        <v>2877</v>
      </c>
      <c r="D131" s="661">
        <v>431010</v>
      </c>
      <c r="E131" s="661" t="s">
        <v>2935</v>
      </c>
      <c r="F131" s="661" t="s">
        <v>2837</v>
      </c>
      <c r="G131" s="668">
        <v>2032.48</v>
      </c>
      <c r="H131" s="668"/>
      <c r="I131" s="668"/>
      <c r="J131" s="668">
        <v>2032.48</v>
      </c>
      <c r="K131" s="668">
        <f t="shared" si="7"/>
        <v>0</v>
      </c>
      <c r="L131" s="668" t="s">
        <v>774</v>
      </c>
    </row>
    <row r="132" spans="1:12" x14ac:dyDescent="0.25">
      <c r="A132" s="670">
        <v>431</v>
      </c>
      <c r="B132" s="658" t="str">
        <f t="shared" si="6"/>
        <v>431</v>
      </c>
      <c r="C132" s="661" t="s">
        <v>3049</v>
      </c>
      <c r="D132" s="661"/>
      <c r="E132" s="661"/>
      <c r="F132" s="661" t="s">
        <v>2837</v>
      </c>
      <c r="G132" s="668">
        <f>SUM(G131)</f>
        <v>2032.48</v>
      </c>
      <c r="H132" s="668">
        <f t="shared" ref="H132:J132" si="17">SUM(H131)</f>
        <v>0</v>
      </c>
      <c r="I132" s="668">
        <f t="shared" si="17"/>
        <v>0</v>
      </c>
      <c r="J132" s="668">
        <f t="shared" si="17"/>
        <v>2032.48</v>
      </c>
      <c r="K132" s="668">
        <f t="shared" ref="K132" si="18">SUM(K131)</f>
        <v>0</v>
      </c>
      <c r="L132" s="668"/>
    </row>
    <row r="133" spans="1:12" x14ac:dyDescent="0.25">
      <c r="A133" s="670" t="s">
        <v>3084</v>
      </c>
      <c r="B133" s="658" t="str">
        <f t="shared" si="6"/>
        <v>K01</v>
      </c>
      <c r="C133" s="661" t="s">
        <v>2877</v>
      </c>
      <c r="D133" s="661">
        <v>459010</v>
      </c>
      <c r="E133" s="661" t="s">
        <v>2936</v>
      </c>
      <c r="F133" s="661" t="s">
        <v>2837</v>
      </c>
      <c r="G133" s="668">
        <v>0</v>
      </c>
      <c r="H133" s="668"/>
      <c r="I133" s="668"/>
      <c r="J133" s="668"/>
      <c r="K133" s="668">
        <f t="shared" si="7"/>
        <v>0</v>
      </c>
      <c r="L133" s="668"/>
    </row>
    <row r="134" spans="1:12" x14ac:dyDescent="0.25">
      <c r="A134" s="670" t="s">
        <v>3084</v>
      </c>
      <c r="B134" s="658" t="str">
        <f t="shared" si="6"/>
        <v>K01</v>
      </c>
      <c r="C134" s="661" t="s">
        <v>2877</v>
      </c>
      <c r="D134" s="661">
        <v>459030</v>
      </c>
      <c r="E134" s="661" t="s">
        <v>2937</v>
      </c>
      <c r="F134" s="661" t="s">
        <v>2837</v>
      </c>
      <c r="G134" s="668">
        <v>0</v>
      </c>
      <c r="H134" s="668"/>
      <c r="I134" s="668"/>
      <c r="J134" s="668"/>
      <c r="K134" s="668">
        <f t="shared" si="7"/>
        <v>0</v>
      </c>
      <c r="L134" s="668"/>
    </row>
    <row r="135" spans="1:12" x14ac:dyDescent="0.25">
      <c r="A135" s="670">
        <v>459</v>
      </c>
      <c r="B135" s="658" t="str">
        <f t="shared" si="6"/>
        <v>459</v>
      </c>
      <c r="C135" s="661" t="s">
        <v>3050</v>
      </c>
      <c r="D135" s="661"/>
      <c r="E135" s="661"/>
      <c r="F135" s="661" t="s">
        <v>2837</v>
      </c>
      <c r="G135" s="668">
        <v>0</v>
      </c>
      <c r="H135" s="668"/>
      <c r="I135" s="668"/>
      <c r="J135" s="668"/>
      <c r="K135" s="668">
        <f t="shared" si="7"/>
        <v>0</v>
      </c>
      <c r="L135" s="668"/>
    </row>
    <row r="136" spans="1:12" x14ac:dyDescent="0.25">
      <c r="A136" s="670" t="s">
        <v>3084</v>
      </c>
      <c r="B136" s="658" t="str">
        <f t="shared" si="6"/>
        <v>K01</v>
      </c>
      <c r="C136" s="661" t="s">
        <v>2877</v>
      </c>
      <c r="D136" s="661">
        <v>472010</v>
      </c>
      <c r="E136" s="661" t="s">
        <v>2938</v>
      </c>
      <c r="F136" s="661" t="s">
        <v>2837</v>
      </c>
      <c r="G136" s="668">
        <v>0</v>
      </c>
      <c r="H136" s="668"/>
      <c r="I136" s="668"/>
      <c r="J136" s="668"/>
      <c r="K136" s="668">
        <f t="shared" si="7"/>
        <v>0</v>
      </c>
      <c r="L136" s="668"/>
    </row>
    <row r="137" spans="1:12" x14ac:dyDescent="0.25">
      <c r="A137" s="670">
        <v>472</v>
      </c>
      <c r="B137" s="658" t="str">
        <f t="shared" si="6"/>
        <v>472</v>
      </c>
      <c r="C137" s="661" t="s">
        <v>3051</v>
      </c>
      <c r="D137" s="661"/>
      <c r="E137" s="661"/>
      <c r="F137" s="661" t="s">
        <v>2837</v>
      </c>
      <c r="G137" s="668">
        <v>0</v>
      </c>
      <c r="H137" s="668"/>
      <c r="I137" s="668"/>
      <c r="J137" s="668"/>
      <c r="K137" s="668">
        <f t="shared" si="7"/>
        <v>0</v>
      </c>
      <c r="L137" s="668"/>
    </row>
    <row r="138" spans="1:12" x14ac:dyDescent="0.25">
      <c r="A138" s="670" t="s">
        <v>3084</v>
      </c>
      <c r="B138" s="658" t="str">
        <f t="shared" si="6"/>
        <v>K01</v>
      </c>
      <c r="C138" s="661" t="s">
        <v>2877</v>
      </c>
      <c r="D138" s="661">
        <v>481012</v>
      </c>
      <c r="E138" s="661" t="s">
        <v>2939</v>
      </c>
      <c r="F138" s="661" t="s">
        <v>2837</v>
      </c>
      <c r="G138" s="668">
        <v>0</v>
      </c>
      <c r="H138" s="668"/>
      <c r="I138" s="668"/>
      <c r="J138" s="668"/>
      <c r="K138" s="668">
        <f t="shared" si="7"/>
        <v>0</v>
      </c>
      <c r="L138" s="668"/>
    </row>
    <row r="139" spans="1:12" x14ac:dyDescent="0.25">
      <c r="A139" s="670">
        <v>481</v>
      </c>
      <c r="B139" s="658" t="str">
        <f t="shared" si="6"/>
        <v>481</v>
      </c>
      <c r="C139" s="661" t="s">
        <v>3052</v>
      </c>
      <c r="D139" s="661"/>
      <c r="E139" s="661"/>
      <c r="F139" s="661" t="s">
        <v>2837</v>
      </c>
      <c r="G139" s="668">
        <v>0</v>
      </c>
      <c r="H139" s="668"/>
      <c r="I139" s="668"/>
      <c r="J139" s="668"/>
      <c r="K139" s="668">
        <f t="shared" si="7"/>
        <v>0</v>
      </c>
      <c r="L139" s="668"/>
    </row>
    <row r="140" spans="1:12" x14ac:dyDescent="0.25">
      <c r="A140" s="658" t="s">
        <v>3084</v>
      </c>
      <c r="B140" s="658" t="str">
        <f t="shared" si="6"/>
        <v>K01</v>
      </c>
      <c r="C140" s="661" t="s">
        <v>2877</v>
      </c>
      <c r="D140" s="661">
        <v>501010</v>
      </c>
      <c r="E140" s="661" t="s">
        <v>2487</v>
      </c>
      <c r="F140" s="661" t="s">
        <v>2837</v>
      </c>
      <c r="G140" s="668">
        <v>0</v>
      </c>
      <c r="H140" s="668"/>
      <c r="I140" s="851">
        <f>info!D31</f>
        <v>6.75</v>
      </c>
      <c r="J140" s="668"/>
      <c r="K140" s="668">
        <f t="shared" si="7"/>
        <v>6.75</v>
      </c>
      <c r="L140" s="668"/>
    </row>
    <row r="141" spans="1:12" x14ac:dyDescent="0.25">
      <c r="A141" s="658" t="s">
        <v>3084</v>
      </c>
      <c r="B141" s="658" t="str">
        <f t="shared" ref="B141:B165" si="19">RIGHT(C141,3)</f>
        <v>K01</v>
      </c>
      <c r="C141" s="661" t="s">
        <v>2877</v>
      </c>
      <c r="D141" s="661">
        <v>501020</v>
      </c>
      <c r="E141" s="661" t="s">
        <v>2940</v>
      </c>
      <c r="F141" s="661" t="s">
        <v>2837</v>
      </c>
      <c r="G141" s="668">
        <v>0</v>
      </c>
      <c r="H141" s="668"/>
      <c r="I141" s="668"/>
      <c r="J141" s="668"/>
      <c r="K141" s="668">
        <f t="shared" si="7"/>
        <v>0</v>
      </c>
      <c r="L141" s="668"/>
    </row>
    <row r="142" spans="1:12" x14ac:dyDescent="0.25">
      <c r="A142" s="658" t="s">
        <v>3084</v>
      </c>
      <c r="B142" s="658" t="str">
        <f t="shared" si="19"/>
        <v>K01</v>
      </c>
      <c r="C142" s="661" t="s">
        <v>2877</v>
      </c>
      <c r="D142" s="661">
        <v>501023</v>
      </c>
      <c r="E142" s="661" t="s">
        <v>2941</v>
      </c>
      <c r="F142" s="661" t="s">
        <v>2837</v>
      </c>
      <c r="G142" s="668">
        <v>0</v>
      </c>
      <c r="H142" s="668"/>
      <c r="I142" s="668"/>
      <c r="J142" s="668"/>
      <c r="K142" s="668">
        <f t="shared" ref="K142:K165" si="20">G142+I142-J142</f>
        <v>0</v>
      </c>
      <c r="L142" s="668"/>
    </row>
    <row r="143" spans="1:12" x14ac:dyDescent="0.25">
      <c r="A143" s="670">
        <v>501</v>
      </c>
      <c r="B143" s="658" t="str">
        <f t="shared" si="19"/>
        <v>501</v>
      </c>
      <c r="C143" s="661" t="s">
        <v>3053</v>
      </c>
      <c r="D143" s="661"/>
      <c r="E143" s="661"/>
      <c r="F143" s="661" t="s">
        <v>2837</v>
      </c>
      <c r="G143" s="668">
        <f t="shared" ref="G143" si="21">SUM(G140:G142)</f>
        <v>0</v>
      </c>
      <c r="H143" s="668"/>
      <c r="I143" s="668">
        <f>SUM(I140:I142)</f>
        <v>6.75</v>
      </c>
      <c r="J143" s="668">
        <f t="shared" ref="J143" si="22">SUM(J140:J142)</f>
        <v>0</v>
      </c>
      <c r="K143" s="668">
        <f t="shared" ref="K143" si="23">SUM(K140:K142)</f>
        <v>6.75</v>
      </c>
      <c r="L143" s="668"/>
    </row>
    <row r="144" spans="1:12" x14ac:dyDescent="0.25">
      <c r="A144" s="658" t="s">
        <v>3084</v>
      </c>
      <c r="B144" s="658" t="str">
        <f t="shared" si="19"/>
        <v>K01</v>
      </c>
      <c r="C144" s="661" t="s">
        <v>2877</v>
      </c>
      <c r="D144" s="661">
        <v>502011</v>
      </c>
      <c r="E144" s="661" t="s">
        <v>2942</v>
      </c>
      <c r="F144" s="661" t="s">
        <v>2837</v>
      </c>
      <c r="G144" s="668">
        <v>0</v>
      </c>
      <c r="H144" s="668"/>
      <c r="I144" s="668"/>
      <c r="J144" s="668"/>
      <c r="K144" s="668">
        <f t="shared" si="20"/>
        <v>0</v>
      </c>
      <c r="L144" s="668"/>
    </row>
    <row r="145" spans="1:12" x14ac:dyDescent="0.25">
      <c r="A145" s="670" t="s">
        <v>3084</v>
      </c>
      <c r="B145" s="658" t="str">
        <f t="shared" si="19"/>
        <v>K01</v>
      </c>
      <c r="C145" s="661" t="s">
        <v>2877</v>
      </c>
      <c r="D145" s="661">
        <v>502012</v>
      </c>
      <c r="E145" s="661" t="s">
        <v>2943</v>
      </c>
      <c r="F145" s="661" t="s">
        <v>2837</v>
      </c>
      <c r="G145" s="668">
        <v>0</v>
      </c>
      <c r="H145" s="668"/>
      <c r="I145" s="668"/>
      <c r="J145" s="668"/>
      <c r="K145" s="668">
        <f t="shared" si="20"/>
        <v>0</v>
      </c>
      <c r="L145" s="668"/>
    </row>
    <row r="146" spans="1:12" x14ac:dyDescent="0.25">
      <c r="A146" s="670" t="s">
        <v>3084</v>
      </c>
      <c r="B146" s="658" t="str">
        <f t="shared" si="19"/>
        <v>K01</v>
      </c>
      <c r="C146" s="661" t="s">
        <v>2877</v>
      </c>
      <c r="D146" s="661">
        <v>502013</v>
      </c>
      <c r="E146" s="661" t="s">
        <v>2944</v>
      </c>
      <c r="F146" s="661" t="s">
        <v>2837</v>
      </c>
      <c r="G146" s="668">
        <v>0</v>
      </c>
      <c r="H146" s="668"/>
      <c r="I146" s="668"/>
      <c r="J146" s="668"/>
      <c r="K146" s="668">
        <f t="shared" si="20"/>
        <v>0</v>
      </c>
      <c r="L146" s="668"/>
    </row>
    <row r="147" spans="1:12" x14ac:dyDescent="0.25">
      <c r="A147" s="670">
        <v>502</v>
      </c>
      <c r="B147" s="658" t="str">
        <f t="shared" si="19"/>
        <v>502</v>
      </c>
      <c r="C147" s="661" t="s">
        <v>3054</v>
      </c>
      <c r="D147" s="661"/>
      <c r="E147" s="661"/>
      <c r="F147" s="661" t="s">
        <v>2837</v>
      </c>
      <c r="G147" s="668">
        <v>0</v>
      </c>
      <c r="H147" s="668"/>
      <c r="I147" s="668"/>
      <c r="J147" s="668"/>
      <c r="K147" s="668">
        <f t="shared" si="20"/>
        <v>0</v>
      </c>
      <c r="L147" s="668"/>
    </row>
    <row r="148" spans="1:12" x14ac:dyDescent="0.25">
      <c r="A148" s="670" t="s">
        <v>3084</v>
      </c>
      <c r="B148" s="658" t="str">
        <f t="shared" si="19"/>
        <v>K01</v>
      </c>
      <c r="C148" s="661" t="s">
        <v>2877</v>
      </c>
      <c r="D148" s="661">
        <v>503010</v>
      </c>
      <c r="E148" s="661" t="s">
        <v>2945</v>
      </c>
      <c r="F148" s="661" t="s">
        <v>2837</v>
      </c>
      <c r="G148" s="668">
        <v>0</v>
      </c>
      <c r="H148" s="668"/>
      <c r="I148" s="668"/>
      <c r="J148" s="668"/>
      <c r="K148" s="668">
        <f t="shared" si="20"/>
        <v>0</v>
      </c>
      <c r="L148" s="668"/>
    </row>
    <row r="149" spans="1:12" x14ac:dyDescent="0.25">
      <c r="A149" s="670">
        <v>503</v>
      </c>
      <c r="B149" s="658" t="str">
        <f t="shared" si="19"/>
        <v>503</v>
      </c>
      <c r="C149" s="661" t="s">
        <v>3055</v>
      </c>
      <c r="D149" s="661"/>
      <c r="E149" s="661"/>
      <c r="F149" s="661" t="s">
        <v>2837</v>
      </c>
      <c r="G149" s="668">
        <v>0</v>
      </c>
      <c r="H149" s="668"/>
      <c r="I149" s="668"/>
      <c r="J149" s="668"/>
      <c r="K149" s="668">
        <f t="shared" si="20"/>
        <v>0</v>
      </c>
      <c r="L149" s="668"/>
    </row>
    <row r="150" spans="1:12" x14ac:dyDescent="0.25">
      <c r="A150" s="658" t="s">
        <v>3084</v>
      </c>
      <c r="B150" s="658" t="str">
        <f t="shared" si="19"/>
        <v>K01</v>
      </c>
      <c r="C150" s="661" t="s">
        <v>2877</v>
      </c>
      <c r="D150" s="661">
        <v>504013</v>
      </c>
      <c r="E150" s="661" t="s">
        <v>2946</v>
      </c>
      <c r="F150" s="661" t="s">
        <v>2837</v>
      </c>
      <c r="G150" s="668">
        <v>0</v>
      </c>
      <c r="H150" s="668"/>
      <c r="I150" s="852"/>
      <c r="J150" s="668"/>
      <c r="K150" s="668">
        <f t="shared" si="20"/>
        <v>0</v>
      </c>
      <c r="L150" s="668"/>
    </row>
    <row r="151" spans="1:12" x14ac:dyDescent="0.25">
      <c r="A151" s="658" t="s">
        <v>3084</v>
      </c>
      <c r="B151" s="658" t="str">
        <f t="shared" si="19"/>
        <v>K01</v>
      </c>
      <c r="C151" s="661" t="s">
        <v>2877</v>
      </c>
      <c r="D151" s="661">
        <v>504080</v>
      </c>
      <c r="E151" s="661" t="s">
        <v>2947</v>
      </c>
      <c r="F151" s="661" t="s">
        <v>2837</v>
      </c>
      <c r="G151" s="668">
        <v>0</v>
      </c>
      <c r="H151" s="668"/>
      <c r="I151" s="668"/>
      <c r="J151" s="668"/>
      <c r="K151" s="668">
        <f t="shared" si="20"/>
        <v>0</v>
      </c>
      <c r="L151" s="668"/>
    </row>
    <row r="152" spans="1:12" x14ac:dyDescent="0.25">
      <c r="A152" s="670" t="s">
        <v>3084</v>
      </c>
      <c r="B152" s="658" t="str">
        <f t="shared" si="19"/>
        <v>K01</v>
      </c>
      <c r="C152" s="661" t="s">
        <v>2877</v>
      </c>
      <c r="D152" s="661">
        <v>504503</v>
      </c>
      <c r="E152" s="661" t="s">
        <v>3114</v>
      </c>
      <c r="F152" s="661" t="s">
        <v>2837</v>
      </c>
      <c r="G152" s="668">
        <v>0</v>
      </c>
      <c r="H152" s="668"/>
      <c r="I152" s="851"/>
      <c r="J152" s="668"/>
      <c r="K152" s="668">
        <f t="shared" si="20"/>
        <v>0</v>
      </c>
      <c r="L152" s="668" t="s">
        <v>642</v>
      </c>
    </row>
    <row r="153" spans="1:12" x14ac:dyDescent="0.25">
      <c r="A153" s="670">
        <v>504</v>
      </c>
      <c r="B153" s="658" t="str">
        <f t="shared" si="19"/>
        <v>504</v>
      </c>
      <c r="C153" s="661" t="s">
        <v>3056</v>
      </c>
      <c r="D153" s="661"/>
      <c r="E153" s="661"/>
      <c r="F153" s="661" t="s">
        <v>2837</v>
      </c>
      <c r="G153" s="668">
        <v>0</v>
      </c>
      <c r="H153" s="668">
        <f>SUM(H150:H152)</f>
        <v>0</v>
      </c>
      <c r="I153" s="668">
        <f>SUM(I150:I152)</f>
        <v>0</v>
      </c>
      <c r="J153" s="668">
        <f>SUM(J150:J152)</f>
        <v>0</v>
      </c>
      <c r="K153" s="668">
        <f>SUM(K150:K152)</f>
        <v>0</v>
      </c>
      <c r="L153" s="668"/>
    </row>
    <row r="154" spans="1:12" x14ac:dyDescent="0.25">
      <c r="A154" s="670" t="s">
        <v>3084</v>
      </c>
      <c r="B154" s="658" t="str">
        <f t="shared" si="19"/>
        <v>K01</v>
      </c>
      <c r="C154" s="661" t="s">
        <v>2877</v>
      </c>
      <c r="D154" s="661">
        <v>505010</v>
      </c>
      <c r="E154" s="661" t="s">
        <v>2948</v>
      </c>
      <c r="F154" s="661" t="s">
        <v>2837</v>
      </c>
      <c r="G154" s="668">
        <v>0</v>
      </c>
      <c r="H154" s="668"/>
      <c r="I154" s="668"/>
      <c r="J154" s="668"/>
      <c r="K154" s="668">
        <f t="shared" si="20"/>
        <v>0</v>
      </c>
      <c r="L154" s="668"/>
    </row>
    <row r="155" spans="1:12" x14ac:dyDescent="0.25">
      <c r="A155" s="670">
        <v>505</v>
      </c>
      <c r="B155" s="658" t="str">
        <f t="shared" si="19"/>
        <v>505</v>
      </c>
      <c r="C155" s="661" t="s">
        <v>3057</v>
      </c>
      <c r="D155" s="661"/>
      <c r="E155" s="661"/>
      <c r="F155" s="661" t="s">
        <v>2837</v>
      </c>
      <c r="G155" s="668">
        <v>0</v>
      </c>
      <c r="H155" s="668"/>
      <c r="I155" s="668"/>
      <c r="J155" s="668"/>
      <c r="K155" s="668">
        <f t="shared" si="20"/>
        <v>0</v>
      </c>
      <c r="L155" s="668"/>
    </row>
    <row r="156" spans="1:12" x14ac:dyDescent="0.25">
      <c r="A156" s="658" t="s">
        <v>3084</v>
      </c>
      <c r="B156" s="658" t="str">
        <f t="shared" si="19"/>
        <v>K01</v>
      </c>
      <c r="C156" s="661" t="s">
        <v>2877</v>
      </c>
      <c r="D156" s="661">
        <v>511200</v>
      </c>
      <c r="E156" s="661" t="s">
        <v>2949</v>
      </c>
      <c r="F156" s="661" t="s">
        <v>2837</v>
      </c>
      <c r="G156" s="668">
        <v>0</v>
      </c>
      <c r="H156" s="668"/>
      <c r="I156" s="668"/>
      <c r="J156" s="668"/>
      <c r="K156" s="668">
        <f t="shared" si="20"/>
        <v>0</v>
      </c>
      <c r="L156" s="668"/>
    </row>
    <row r="157" spans="1:12" x14ac:dyDescent="0.25">
      <c r="A157" s="658" t="s">
        <v>3084</v>
      </c>
      <c r="B157" s="658" t="str">
        <f t="shared" si="19"/>
        <v>K01</v>
      </c>
      <c r="C157" s="661" t="s">
        <v>2877</v>
      </c>
      <c r="D157" s="661">
        <v>511510</v>
      </c>
      <c r="E157" s="661" t="s">
        <v>2950</v>
      </c>
      <c r="F157" s="661" t="s">
        <v>2837</v>
      </c>
      <c r="G157" s="668">
        <v>0</v>
      </c>
      <c r="H157" s="668"/>
      <c r="I157" s="668"/>
      <c r="J157" s="668"/>
      <c r="K157" s="668">
        <f t="shared" si="20"/>
        <v>0</v>
      </c>
      <c r="L157" s="668"/>
    </row>
    <row r="158" spans="1:12" x14ac:dyDescent="0.25">
      <c r="A158" s="670">
        <v>511</v>
      </c>
      <c r="B158" s="658" t="str">
        <f t="shared" si="19"/>
        <v>511</v>
      </c>
      <c r="C158" s="661" t="s">
        <v>3058</v>
      </c>
      <c r="D158" s="661"/>
      <c r="E158" s="661"/>
      <c r="F158" s="661" t="s">
        <v>2837</v>
      </c>
      <c r="G158" s="668">
        <v>0</v>
      </c>
      <c r="H158" s="668"/>
      <c r="I158" s="668"/>
      <c r="J158" s="668"/>
      <c r="K158" s="668">
        <f t="shared" si="20"/>
        <v>0</v>
      </c>
      <c r="L158" s="668"/>
    </row>
    <row r="159" spans="1:12" x14ac:dyDescent="0.25">
      <c r="A159" s="658" t="s">
        <v>3084</v>
      </c>
      <c r="B159" s="658" t="str">
        <f t="shared" si="19"/>
        <v>K01</v>
      </c>
      <c r="C159" s="661" t="s">
        <v>2877</v>
      </c>
      <c r="D159" s="661">
        <v>512100</v>
      </c>
      <c r="E159" s="661" t="s">
        <v>2951</v>
      </c>
      <c r="F159" s="661" t="s">
        <v>2837</v>
      </c>
      <c r="G159" s="668">
        <v>0</v>
      </c>
      <c r="H159" s="668"/>
      <c r="I159" s="668"/>
      <c r="J159" s="668"/>
      <c r="K159" s="668">
        <f t="shared" si="20"/>
        <v>0</v>
      </c>
      <c r="L159" s="668"/>
    </row>
    <row r="160" spans="1:12" x14ac:dyDescent="0.25">
      <c r="A160" s="670" t="s">
        <v>3084</v>
      </c>
      <c r="B160" s="658" t="str">
        <f t="shared" si="19"/>
        <v>K01</v>
      </c>
      <c r="C160" s="661" t="s">
        <v>2877</v>
      </c>
      <c r="D160" s="661">
        <v>512110</v>
      </c>
      <c r="E160" s="661" t="s">
        <v>2952</v>
      </c>
      <c r="F160" s="661" t="s">
        <v>2837</v>
      </c>
      <c r="G160" s="668">
        <v>0</v>
      </c>
      <c r="H160" s="668"/>
      <c r="I160" s="668"/>
      <c r="J160" s="668"/>
      <c r="K160" s="668">
        <f t="shared" si="20"/>
        <v>0</v>
      </c>
      <c r="L160" s="668"/>
    </row>
    <row r="161" spans="1:12" x14ac:dyDescent="0.25">
      <c r="A161" s="658" t="s">
        <v>3084</v>
      </c>
      <c r="B161" s="658" t="str">
        <f t="shared" si="19"/>
        <v>K01</v>
      </c>
      <c r="C161" s="661" t="s">
        <v>2877</v>
      </c>
      <c r="D161" s="661">
        <v>512120</v>
      </c>
      <c r="E161" s="661" t="s">
        <v>2953</v>
      </c>
      <c r="F161" s="661" t="s">
        <v>2837</v>
      </c>
      <c r="G161" s="668">
        <v>0</v>
      </c>
      <c r="H161" s="668"/>
      <c r="I161" s="668"/>
      <c r="J161" s="668"/>
      <c r="K161" s="668">
        <f t="shared" si="20"/>
        <v>0</v>
      </c>
      <c r="L161" s="668"/>
    </row>
    <row r="162" spans="1:12" x14ac:dyDescent="0.25">
      <c r="A162" s="670" t="s">
        <v>3084</v>
      </c>
      <c r="B162" s="658" t="str">
        <f t="shared" si="19"/>
        <v>K01</v>
      </c>
      <c r="C162" s="661" t="s">
        <v>2877</v>
      </c>
      <c r="D162" s="661">
        <v>512140</v>
      </c>
      <c r="E162" s="661" t="s">
        <v>2954</v>
      </c>
      <c r="F162" s="661" t="s">
        <v>2837</v>
      </c>
      <c r="G162" s="668">
        <v>0</v>
      </c>
      <c r="H162" s="668"/>
      <c r="I162" s="668"/>
      <c r="J162" s="668"/>
      <c r="K162" s="668">
        <f t="shared" si="20"/>
        <v>0</v>
      </c>
      <c r="L162" s="668"/>
    </row>
    <row r="163" spans="1:12" x14ac:dyDescent="0.25">
      <c r="A163" s="658" t="s">
        <v>3084</v>
      </c>
      <c r="B163" s="658" t="str">
        <f t="shared" si="19"/>
        <v>K01</v>
      </c>
      <c r="C163" s="661" t="s">
        <v>2877</v>
      </c>
      <c r="D163" s="661">
        <v>512999</v>
      </c>
      <c r="E163" s="661" t="s">
        <v>2955</v>
      </c>
      <c r="F163" s="661" t="s">
        <v>2837</v>
      </c>
      <c r="G163" s="668">
        <v>0</v>
      </c>
      <c r="H163" s="668"/>
      <c r="I163" s="668"/>
      <c r="J163" s="668"/>
      <c r="K163" s="668">
        <f t="shared" si="20"/>
        <v>0</v>
      </c>
      <c r="L163" s="668"/>
    </row>
    <row r="164" spans="1:12" x14ac:dyDescent="0.25">
      <c r="A164" s="670">
        <v>512</v>
      </c>
      <c r="B164" s="658" t="str">
        <f t="shared" si="19"/>
        <v>512</v>
      </c>
      <c r="C164" s="661" t="s">
        <v>3059</v>
      </c>
      <c r="D164" s="661"/>
      <c r="E164" s="661"/>
      <c r="F164" s="661" t="s">
        <v>2837</v>
      </c>
      <c r="G164" s="668">
        <v>0</v>
      </c>
      <c r="H164" s="668"/>
      <c r="I164" s="668"/>
      <c r="J164" s="668"/>
      <c r="K164" s="668">
        <f t="shared" si="20"/>
        <v>0</v>
      </c>
      <c r="L164" s="668"/>
    </row>
    <row r="165" spans="1:12" x14ac:dyDescent="0.25">
      <c r="A165" s="658" t="s">
        <v>3084</v>
      </c>
      <c r="B165" s="658" t="str">
        <f t="shared" si="19"/>
        <v>K01</v>
      </c>
      <c r="C165" s="661" t="s">
        <v>2877</v>
      </c>
      <c r="D165" s="661">
        <v>513010</v>
      </c>
      <c r="E165" s="661" t="s">
        <v>2956</v>
      </c>
      <c r="F165" s="661" t="s">
        <v>2837</v>
      </c>
      <c r="G165" s="668">
        <v>0</v>
      </c>
      <c r="H165" s="668"/>
      <c r="I165" s="668"/>
      <c r="J165" s="668"/>
      <c r="K165" s="668">
        <f t="shared" si="20"/>
        <v>0</v>
      </c>
      <c r="L165" s="668"/>
    </row>
    <row r="166" spans="1:12" x14ac:dyDescent="0.25">
      <c r="A166" s="670">
        <v>513</v>
      </c>
      <c r="B166" s="658" t="str">
        <f t="shared" ref="B166:B195" si="24">RIGHT(C166,3)</f>
        <v>513</v>
      </c>
      <c r="C166" s="661" t="s">
        <v>3060</v>
      </c>
      <c r="D166" s="661"/>
      <c r="E166" s="661"/>
      <c r="F166" s="661" t="s">
        <v>2837</v>
      </c>
      <c r="G166" s="668">
        <v>0</v>
      </c>
      <c r="H166" s="668"/>
      <c r="I166" s="668"/>
      <c r="J166" s="668"/>
      <c r="K166" s="668">
        <f t="shared" ref="K166:K195" si="25">G166+I166-J166</f>
        <v>0</v>
      </c>
      <c r="L166" s="668"/>
    </row>
    <row r="167" spans="1:12" x14ac:dyDescent="0.25">
      <c r="A167" s="658" t="s">
        <v>3084</v>
      </c>
      <c r="B167" s="658" t="str">
        <f t="shared" si="24"/>
        <v>K01</v>
      </c>
      <c r="C167" s="661" t="s">
        <v>2877</v>
      </c>
      <c r="D167" s="661">
        <v>518020</v>
      </c>
      <c r="E167" s="661" t="s">
        <v>2957</v>
      </c>
      <c r="F167" s="661" t="s">
        <v>2837</v>
      </c>
      <c r="G167" s="668">
        <v>0</v>
      </c>
      <c r="H167" s="668"/>
      <c r="I167" s="668"/>
      <c r="J167" s="668"/>
      <c r="K167" s="668">
        <f t="shared" si="25"/>
        <v>0</v>
      </c>
      <c r="L167" s="668"/>
    </row>
    <row r="168" spans="1:12" x14ac:dyDescent="0.25">
      <c r="A168" s="658" t="s">
        <v>3084</v>
      </c>
      <c r="B168" s="658" t="str">
        <f t="shared" si="24"/>
        <v>K01</v>
      </c>
      <c r="C168" s="661" t="s">
        <v>2877</v>
      </c>
      <c r="D168" s="661">
        <v>518041</v>
      </c>
      <c r="E168" s="661" t="s">
        <v>2958</v>
      </c>
      <c r="F168" s="661" t="s">
        <v>2837</v>
      </c>
      <c r="G168" s="668">
        <v>0</v>
      </c>
      <c r="H168" s="668"/>
      <c r="I168" s="668"/>
      <c r="J168" s="668"/>
      <c r="K168" s="668">
        <f t="shared" si="25"/>
        <v>0</v>
      </c>
      <c r="L168" s="668"/>
    </row>
    <row r="169" spans="1:12" x14ac:dyDescent="0.25">
      <c r="A169" s="658" t="s">
        <v>3084</v>
      </c>
      <c r="B169" s="658" t="str">
        <f t="shared" si="24"/>
        <v>K01</v>
      </c>
      <c r="C169" s="661" t="s">
        <v>2877</v>
      </c>
      <c r="D169" s="661">
        <v>518042</v>
      </c>
      <c r="E169" s="661" t="s">
        <v>2959</v>
      </c>
      <c r="F169" s="661" t="s">
        <v>2837</v>
      </c>
      <c r="G169" s="668">
        <v>0</v>
      </c>
      <c r="H169" s="668"/>
      <c r="I169" s="668"/>
      <c r="J169" s="668"/>
      <c r="K169" s="668">
        <f t="shared" si="25"/>
        <v>0</v>
      </c>
      <c r="L169" s="668"/>
    </row>
    <row r="170" spans="1:12" x14ac:dyDescent="0.25">
      <c r="A170" s="658" t="s">
        <v>3084</v>
      </c>
      <c r="B170" s="658" t="str">
        <f t="shared" si="24"/>
        <v>K01</v>
      </c>
      <c r="C170" s="661" t="s">
        <v>2877</v>
      </c>
      <c r="D170" s="661">
        <v>518080</v>
      </c>
      <c r="E170" s="661" t="s">
        <v>2960</v>
      </c>
      <c r="F170" s="661" t="s">
        <v>2837</v>
      </c>
      <c r="G170" s="668">
        <v>0</v>
      </c>
      <c r="H170" s="668"/>
      <c r="I170" s="668"/>
      <c r="J170" s="668"/>
      <c r="K170" s="668">
        <f t="shared" si="25"/>
        <v>0</v>
      </c>
      <c r="L170" s="668"/>
    </row>
    <row r="171" spans="1:12" x14ac:dyDescent="0.25">
      <c r="A171" s="658" t="s">
        <v>3084</v>
      </c>
      <c r="B171" s="658" t="str">
        <f t="shared" si="24"/>
        <v>K01</v>
      </c>
      <c r="C171" s="661" t="s">
        <v>2877</v>
      </c>
      <c r="D171" s="661">
        <v>518090</v>
      </c>
      <c r="E171" s="661" t="s">
        <v>2961</v>
      </c>
      <c r="F171" s="661" t="s">
        <v>2837</v>
      </c>
      <c r="G171" s="668">
        <v>0</v>
      </c>
      <c r="H171" s="668"/>
      <c r="I171" s="668"/>
      <c r="J171" s="668"/>
      <c r="K171" s="668">
        <f t="shared" si="25"/>
        <v>0</v>
      </c>
      <c r="L171" s="668"/>
    </row>
    <row r="172" spans="1:12" x14ac:dyDescent="0.25">
      <c r="A172" s="658" t="s">
        <v>3084</v>
      </c>
      <c r="B172" s="658" t="str">
        <f t="shared" si="24"/>
        <v>K01</v>
      </c>
      <c r="C172" s="661" t="s">
        <v>2877</v>
      </c>
      <c r="D172" s="661">
        <v>518091</v>
      </c>
      <c r="E172" s="661" t="s">
        <v>2962</v>
      </c>
      <c r="F172" s="661" t="s">
        <v>2837</v>
      </c>
      <c r="G172" s="668">
        <v>0</v>
      </c>
      <c r="H172" s="668"/>
      <c r="I172" s="668"/>
      <c r="J172" s="668"/>
      <c r="K172" s="668">
        <f t="shared" si="25"/>
        <v>0</v>
      </c>
      <c r="L172" s="668"/>
    </row>
    <row r="173" spans="1:12" x14ac:dyDescent="0.25">
      <c r="A173" s="670" t="s">
        <v>3084</v>
      </c>
      <c r="B173" s="658" t="str">
        <f t="shared" si="24"/>
        <v>K01</v>
      </c>
      <c r="C173" s="661" t="s">
        <v>2877</v>
      </c>
      <c r="D173" s="661">
        <v>518100</v>
      </c>
      <c r="E173" s="661" t="s">
        <v>2963</v>
      </c>
      <c r="F173" s="661" t="s">
        <v>2837</v>
      </c>
      <c r="G173" s="668">
        <v>0</v>
      </c>
      <c r="H173" s="668"/>
      <c r="I173" s="668"/>
      <c r="J173" s="668"/>
      <c r="K173" s="668">
        <f t="shared" si="25"/>
        <v>0</v>
      </c>
      <c r="L173" s="668"/>
    </row>
    <row r="174" spans="1:12" x14ac:dyDescent="0.25">
      <c r="A174" s="658" t="s">
        <v>3084</v>
      </c>
      <c r="B174" s="658" t="str">
        <f t="shared" si="24"/>
        <v>K01</v>
      </c>
      <c r="C174" s="661" t="s">
        <v>2877</v>
      </c>
      <c r="D174" s="661">
        <v>518131</v>
      </c>
      <c r="E174" s="661" t="s">
        <v>2964</v>
      </c>
      <c r="F174" s="661" t="s">
        <v>2837</v>
      </c>
      <c r="G174" s="668">
        <v>0</v>
      </c>
      <c r="H174" s="668"/>
      <c r="I174" s="851">
        <f>info!D29</f>
        <v>401.84</v>
      </c>
      <c r="J174" s="668"/>
      <c r="K174" s="668">
        <f t="shared" si="25"/>
        <v>401.84</v>
      </c>
      <c r="L174" s="668" t="s">
        <v>773</v>
      </c>
    </row>
    <row r="175" spans="1:12" x14ac:dyDescent="0.25">
      <c r="A175" s="670" t="s">
        <v>3084</v>
      </c>
      <c r="B175" s="658" t="str">
        <f t="shared" si="24"/>
        <v>K01</v>
      </c>
      <c r="C175" s="661" t="s">
        <v>2877</v>
      </c>
      <c r="D175" s="661">
        <v>518140</v>
      </c>
      <c r="E175" s="661" t="s">
        <v>2965</v>
      </c>
      <c r="F175" s="661" t="s">
        <v>2837</v>
      </c>
      <c r="G175" s="668">
        <v>0</v>
      </c>
      <c r="H175" s="668"/>
      <c r="I175" s="668"/>
      <c r="J175" s="668"/>
      <c r="K175" s="668">
        <f t="shared" si="25"/>
        <v>0</v>
      </c>
      <c r="L175" s="668"/>
    </row>
    <row r="176" spans="1:12" x14ac:dyDescent="0.25">
      <c r="A176" s="670" t="s">
        <v>3084</v>
      </c>
      <c r="B176" s="658" t="str">
        <f t="shared" si="24"/>
        <v>K01</v>
      </c>
      <c r="C176" s="661" t="s">
        <v>2877</v>
      </c>
      <c r="D176" s="661">
        <v>518900</v>
      </c>
      <c r="E176" s="661" t="s">
        <v>2966</v>
      </c>
      <c r="F176" s="661" t="s">
        <v>2837</v>
      </c>
      <c r="G176" s="668">
        <v>0</v>
      </c>
      <c r="H176" s="668"/>
      <c r="I176" s="668"/>
      <c r="J176" s="668"/>
      <c r="K176" s="668">
        <f t="shared" si="25"/>
        <v>0</v>
      </c>
      <c r="L176" s="668"/>
    </row>
    <row r="177" spans="1:12" x14ac:dyDescent="0.25">
      <c r="A177" s="670">
        <v>518</v>
      </c>
      <c r="B177" s="658" t="str">
        <f t="shared" si="24"/>
        <v>518</v>
      </c>
      <c r="C177" s="661" t="s">
        <v>3061</v>
      </c>
      <c r="D177" s="661"/>
      <c r="E177" s="661"/>
      <c r="F177" s="661" t="s">
        <v>2837</v>
      </c>
      <c r="G177" s="668">
        <v>0</v>
      </c>
      <c r="H177" s="668">
        <f>SUM(H167:H176)</f>
        <v>0</v>
      </c>
      <c r="I177" s="668">
        <f>SUM(I167:I176)</f>
        <v>401.84</v>
      </c>
      <c r="J177" s="668">
        <f>SUM(J167:J176)</f>
        <v>0</v>
      </c>
      <c r="K177" s="668">
        <f>SUM(K167:K176)</f>
        <v>401.84</v>
      </c>
      <c r="L177" s="668"/>
    </row>
    <row r="178" spans="1:12" x14ac:dyDescent="0.25">
      <c r="A178" s="670" t="s">
        <v>3084</v>
      </c>
      <c r="B178" s="658" t="str">
        <f t="shared" si="24"/>
        <v>K01</v>
      </c>
      <c r="C178" s="661" t="s">
        <v>2877</v>
      </c>
      <c r="D178" s="661">
        <v>521010</v>
      </c>
      <c r="E178" s="661" t="s">
        <v>2967</v>
      </c>
      <c r="F178" s="661" t="s">
        <v>2837</v>
      </c>
      <c r="G178" s="668">
        <v>0</v>
      </c>
      <c r="H178" s="668"/>
      <c r="I178" s="668"/>
      <c r="J178" s="668"/>
      <c r="K178" s="668">
        <f t="shared" si="25"/>
        <v>0</v>
      </c>
      <c r="L178" s="668"/>
    </row>
    <row r="179" spans="1:12" x14ac:dyDescent="0.25">
      <c r="A179" s="670">
        <v>521</v>
      </c>
      <c r="B179" s="658" t="str">
        <f t="shared" si="24"/>
        <v>521</v>
      </c>
      <c r="C179" s="661" t="s">
        <v>3062</v>
      </c>
      <c r="D179" s="661"/>
      <c r="E179" s="661"/>
      <c r="F179" s="661" t="s">
        <v>2837</v>
      </c>
      <c r="G179" s="668">
        <v>0</v>
      </c>
      <c r="H179" s="668"/>
      <c r="I179" s="668"/>
      <c r="J179" s="668"/>
      <c r="K179" s="668">
        <f t="shared" si="25"/>
        <v>0</v>
      </c>
      <c r="L179" s="668"/>
    </row>
    <row r="180" spans="1:12" x14ac:dyDescent="0.25">
      <c r="A180" s="670" t="s">
        <v>3084</v>
      </c>
      <c r="B180" s="658" t="str">
        <f t="shared" si="24"/>
        <v>K01</v>
      </c>
      <c r="C180" s="661" t="s">
        <v>2877</v>
      </c>
      <c r="D180" s="661">
        <v>524010</v>
      </c>
      <c r="E180" s="661" t="s">
        <v>2968</v>
      </c>
      <c r="F180" s="661" t="s">
        <v>2837</v>
      </c>
      <c r="G180" s="668">
        <v>0</v>
      </c>
      <c r="H180" s="668"/>
      <c r="I180" s="668"/>
      <c r="J180" s="668"/>
      <c r="K180" s="668">
        <f t="shared" si="25"/>
        <v>0</v>
      </c>
      <c r="L180" s="668"/>
    </row>
    <row r="181" spans="1:12" x14ac:dyDescent="0.25">
      <c r="A181" s="670">
        <v>524</v>
      </c>
      <c r="B181" s="658" t="str">
        <f t="shared" si="24"/>
        <v>524</v>
      </c>
      <c r="C181" s="661" t="s">
        <v>3063</v>
      </c>
      <c r="D181" s="661"/>
      <c r="E181" s="661"/>
      <c r="F181" s="661" t="s">
        <v>2837</v>
      </c>
      <c r="G181" s="668">
        <v>0</v>
      </c>
      <c r="H181" s="668"/>
      <c r="I181" s="668"/>
      <c r="J181" s="668"/>
      <c r="K181" s="668">
        <f t="shared" si="25"/>
        <v>0</v>
      </c>
      <c r="L181" s="668"/>
    </row>
    <row r="182" spans="1:12" x14ac:dyDescent="0.25">
      <c r="A182" s="670" t="s">
        <v>3084</v>
      </c>
      <c r="B182" s="658" t="str">
        <f t="shared" si="24"/>
        <v>K01</v>
      </c>
      <c r="C182" s="661" t="s">
        <v>2877</v>
      </c>
      <c r="D182" s="661">
        <v>527010</v>
      </c>
      <c r="E182" s="661" t="s">
        <v>2969</v>
      </c>
      <c r="F182" s="661" t="s">
        <v>2837</v>
      </c>
      <c r="G182" s="668">
        <v>0</v>
      </c>
      <c r="H182" s="668"/>
      <c r="I182" s="668"/>
      <c r="J182" s="668"/>
      <c r="K182" s="668">
        <f t="shared" si="25"/>
        <v>0</v>
      </c>
      <c r="L182" s="668"/>
    </row>
    <row r="183" spans="1:12" x14ac:dyDescent="0.25">
      <c r="A183" s="658" t="s">
        <v>3084</v>
      </c>
      <c r="B183" s="658" t="str">
        <f t="shared" si="24"/>
        <v>K01</v>
      </c>
      <c r="C183" s="661" t="s">
        <v>2877</v>
      </c>
      <c r="D183" s="661">
        <v>527020</v>
      </c>
      <c r="E183" s="661" t="s">
        <v>2970</v>
      </c>
      <c r="F183" s="661" t="s">
        <v>2837</v>
      </c>
      <c r="G183" s="668">
        <v>0</v>
      </c>
      <c r="H183" s="668"/>
      <c r="I183" s="668"/>
      <c r="J183" s="668"/>
      <c r="K183" s="668">
        <f t="shared" si="25"/>
        <v>0</v>
      </c>
      <c r="L183" s="668"/>
    </row>
    <row r="184" spans="1:12" x14ac:dyDescent="0.25">
      <c r="A184" s="670">
        <v>527</v>
      </c>
      <c r="B184" s="658" t="str">
        <f t="shared" si="24"/>
        <v>527</v>
      </c>
      <c r="C184" s="661" t="s">
        <v>3064</v>
      </c>
      <c r="D184" s="661"/>
      <c r="E184" s="661"/>
      <c r="F184" s="661" t="s">
        <v>2837</v>
      </c>
      <c r="G184" s="668">
        <v>0</v>
      </c>
      <c r="H184" s="668"/>
      <c r="I184" s="668"/>
      <c r="J184" s="668"/>
      <c r="K184" s="668">
        <f t="shared" si="25"/>
        <v>0</v>
      </c>
      <c r="L184" s="668"/>
    </row>
    <row r="185" spans="1:12" x14ac:dyDescent="0.25">
      <c r="A185" s="658" t="s">
        <v>3084</v>
      </c>
      <c r="B185" s="658" t="str">
        <f t="shared" si="24"/>
        <v>K01</v>
      </c>
      <c r="C185" s="661" t="s">
        <v>2877</v>
      </c>
      <c r="D185" s="661">
        <v>528900</v>
      </c>
      <c r="E185" s="661" t="s">
        <v>2971</v>
      </c>
      <c r="F185" s="661" t="s">
        <v>2837</v>
      </c>
      <c r="G185" s="668">
        <v>0</v>
      </c>
      <c r="H185" s="668"/>
      <c r="I185" s="668"/>
      <c r="J185" s="668"/>
      <c r="K185" s="668">
        <f t="shared" si="25"/>
        <v>0</v>
      </c>
      <c r="L185" s="668"/>
    </row>
    <row r="186" spans="1:12" x14ac:dyDescent="0.25">
      <c r="A186" s="670">
        <v>528</v>
      </c>
      <c r="B186" s="658" t="str">
        <f t="shared" si="24"/>
        <v>528</v>
      </c>
      <c r="C186" s="661" t="s">
        <v>3065</v>
      </c>
      <c r="D186" s="661"/>
      <c r="E186" s="661"/>
      <c r="F186" s="661" t="s">
        <v>2837</v>
      </c>
      <c r="G186" s="668">
        <v>0</v>
      </c>
      <c r="H186" s="668"/>
      <c r="I186" s="668"/>
      <c r="J186" s="668"/>
      <c r="K186" s="668">
        <f t="shared" si="25"/>
        <v>0</v>
      </c>
      <c r="L186" s="668"/>
    </row>
    <row r="187" spans="1:12" x14ac:dyDescent="0.25">
      <c r="A187" s="670" t="s">
        <v>3084</v>
      </c>
      <c r="B187" s="658" t="str">
        <f t="shared" si="24"/>
        <v>K01</v>
      </c>
      <c r="C187" s="661" t="s">
        <v>2877</v>
      </c>
      <c r="D187" s="661">
        <v>538020</v>
      </c>
      <c r="E187" s="661" t="s">
        <v>2972</v>
      </c>
      <c r="F187" s="661" t="s">
        <v>2837</v>
      </c>
      <c r="G187" s="668">
        <v>0</v>
      </c>
      <c r="H187" s="668"/>
      <c r="I187" s="668"/>
      <c r="J187" s="668"/>
      <c r="K187" s="668">
        <f t="shared" si="25"/>
        <v>0</v>
      </c>
      <c r="L187" s="668"/>
    </row>
    <row r="188" spans="1:12" x14ac:dyDescent="0.25">
      <c r="A188" s="658" t="s">
        <v>3084</v>
      </c>
      <c r="B188" s="658" t="str">
        <f t="shared" si="24"/>
        <v>K01</v>
      </c>
      <c r="C188" s="661" t="s">
        <v>2877</v>
      </c>
      <c r="D188" s="661">
        <v>538090</v>
      </c>
      <c r="E188" s="661" t="s">
        <v>2973</v>
      </c>
      <c r="F188" s="661" t="s">
        <v>2837</v>
      </c>
      <c r="G188" s="668">
        <v>0</v>
      </c>
      <c r="H188" s="668"/>
      <c r="I188" s="668"/>
      <c r="J188" s="668"/>
      <c r="K188" s="668">
        <f t="shared" si="25"/>
        <v>0</v>
      </c>
      <c r="L188" s="668"/>
    </row>
    <row r="189" spans="1:12" x14ac:dyDescent="0.25">
      <c r="A189" s="670">
        <v>538</v>
      </c>
      <c r="B189" s="658" t="str">
        <f t="shared" si="24"/>
        <v>538</v>
      </c>
      <c r="C189" s="661" t="s">
        <v>3066</v>
      </c>
      <c r="D189" s="661"/>
      <c r="E189" s="661"/>
      <c r="F189" s="661" t="s">
        <v>2837</v>
      </c>
      <c r="G189" s="668">
        <v>0</v>
      </c>
      <c r="H189" s="668"/>
      <c r="I189" s="668"/>
      <c r="J189" s="668"/>
      <c r="K189" s="668">
        <f t="shared" si="25"/>
        <v>0</v>
      </c>
      <c r="L189" s="668"/>
    </row>
    <row r="190" spans="1:12" x14ac:dyDescent="0.25">
      <c r="A190" s="670" t="s">
        <v>3084</v>
      </c>
      <c r="B190" s="658" t="str">
        <f t="shared" si="24"/>
        <v>K01</v>
      </c>
      <c r="C190" s="661" t="s">
        <v>2877</v>
      </c>
      <c r="D190" s="661" t="s">
        <v>3092</v>
      </c>
      <c r="E190" s="661" t="s">
        <v>2974</v>
      </c>
      <c r="F190" s="661" t="s">
        <v>2837</v>
      </c>
      <c r="G190" s="668">
        <v>0</v>
      </c>
      <c r="H190" s="668"/>
      <c r="I190" s="851">
        <f>info!D30</f>
        <v>20</v>
      </c>
      <c r="J190" s="668"/>
      <c r="K190" s="668">
        <f t="shared" si="25"/>
        <v>20</v>
      </c>
      <c r="L190" s="668"/>
    </row>
    <row r="191" spans="1:12" x14ac:dyDescent="0.25">
      <c r="A191" s="670">
        <v>544</v>
      </c>
      <c r="B191" s="658" t="str">
        <f t="shared" si="24"/>
        <v>544</v>
      </c>
      <c r="C191" s="661" t="s">
        <v>3093</v>
      </c>
      <c r="D191" s="661"/>
      <c r="E191" s="661"/>
      <c r="F191" s="661" t="s">
        <v>2837</v>
      </c>
      <c r="G191" s="668">
        <v>0</v>
      </c>
      <c r="H191" s="668">
        <f t="shared" ref="H191:K191" si="26">SUM(H190)</f>
        <v>0</v>
      </c>
      <c r="I191" s="668">
        <f t="shared" si="26"/>
        <v>20</v>
      </c>
      <c r="J191" s="668">
        <f t="shared" si="26"/>
        <v>0</v>
      </c>
      <c r="K191" s="668">
        <f t="shared" si="26"/>
        <v>20</v>
      </c>
      <c r="L191" s="668"/>
    </row>
    <row r="192" spans="1:12" x14ac:dyDescent="0.25">
      <c r="A192" s="670" t="s">
        <v>3084</v>
      </c>
      <c r="B192" s="658" t="str">
        <f t="shared" si="24"/>
        <v>K01</v>
      </c>
      <c r="C192" s="661" t="s">
        <v>2877</v>
      </c>
      <c r="D192" s="661">
        <v>546010</v>
      </c>
      <c r="E192" s="661" t="s">
        <v>2975</v>
      </c>
      <c r="F192" s="661" t="s">
        <v>2837</v>
      </c>
      <c r="G192" s="668">
        <v>0</v>
      </c>
      <c r="H192" s="668"/>
      <c r="I192" s="668"/>
      <c r="J192" s="668"/>
      <c r="K192" s="668">
        <f t="shared" si="25"/>
        <v>0</v>
      </c>
      <c r="L192" s="668"/>
    </row>
    <row r="193" spans="1:12" x14ac:dyDescent="0.25">
      <c r="A193" s="670">
        <v>546</v>
      </c>
      <c r="B193" s="658" t="str">
        <f t="shared" si="24"/>
        <v>546</v>
      </c>
      <c r="C193" s="661" t="s">
        <v>3098</v>
      </c>
      <c r="D193" s="661"/>
      <c r="E193" s="661"/>
      <c r="F193" s="661" t="s">
        <v>2837</v>
      </c>
      <c r="G193" s="668">
        <v>0</v>
      </c>
      <c r="H193" s="668">
        <f t="shared" ref="H193:K193" si="27">SUM(H192)</f>
        <v>0</v>
      </c>
      <c r="I193" s="668">
        <f t="shared" si="27"/>
        <v>0</v>
      </c>
      <c r="J193" s="668">
        <f t="shared" si="27"/>
        <v>0</v>
      </c>
      <c r="K193" s="668">
        <f t="shared" si="27"/>
        <v>0</v>
      </c>
      <c r="L193" s="668"/>
    </row>
    <row r="194" spans="1:12" x14ac:dyDescent="0.25">
      <c r="A194" s="658" t="s">
        <v>3084</v>
      </c>
      <c r="B194" s="658" t="str">
        <f t="shared" si="24"/>
        <v>K01</v>
      </c>
      <c r="C194" s="661" t="s">
        <v>2877</v>
      </c>
      <c r="D194" s="661">
        <v>548010</v>
      </c>
      <c r="E194" s="661" t="s">
        <v>2976</v>
      </c>
      <c r="F194" s="661" t="s">
        <v>2837</v>
      </c>
      <c r="G194" s="668">
        <v>0</v>
      </c>
      <c r="H194" s="668"/>
      <c r="I194" s="668"/>
      <c r="J194" s="668"/>
      <c r="K194" s="668">
        <f t="shared" si="25"/>
        <v>0</v>
      </c>
      <c r="L194" s="668"/>
    </row>
    <row r="195" spans="1:12" x14ac:dyDescent="0.25">
      <c r="A195" s="658" t="s">
        <v>3084</v>
      </c>
      <c r="B195" s="658" t="str">
        <f t="shared" si="24"/>
        <v>K01</v>
      </c>
      <c r="C195" s="661" t="s">
        <v>2877</v>
      </c>
      <c r="D195" s="661">
        <v>548040</v>
      </c>
      <c r="E195" s="661" t="s">
        <v>3121</v>
      </c>
      <c r="F195" s="661" t="s">
        <v>2837</v>
      </c>
      <c r="G195" s="668">
        <v>0</v>
      </c>
      <c r="H195" s="668"/>
      <c r="I195" s="851"/>
      <c r="J195" s="668"/>
      <c r="K195" s="668">
        <f t="shared" si="25"/>
        <v>0</v>
      </c>
      <c r="L195" s="668"/>
    </row>
    <row r="196" spans="1:12" x14ac:dyDescent="0.25">
      <c r="A196" s="670">
        <v>548</v>
      </c>
      <c r="B196" s="658" t="str">
        <f t="shared" ref="B196:B236" si="28">RIGHT(C196,3)</f>
        <v>548</v>
      </c>
      <c r="C196" s="661" t="s">
        <v>3067</v>
      </c>
      <c r="D196" s="661"/>
      <c r="E196" s="661"/>
      <c r="F196" s="661" t="s">
        <v>2837</v>
      </c>
      <c r="G196" s="668">
        <v>0</v>
      </c>
      <c r="H196" s="668">
        <f>SUM(H194:H195)</f>
        <v>0</v>
      </c>
      <c r="I196" s="668">
        <f>SUM(I194:I195)</f>
        <v>0</v>
      </c>
      <c r="J196" s="668">
        <f>SUM(J194:J195)</f>
        <v>0</v>
      </c>
      <c r="K196" s="668">
        <f>SUM(K194:K195)</f>
        <v>0</v>
      </c>
      <c r="L196" s="668"/>
    </row>
    <row r="197" spans="1:12" x14ac:dyDescent="0.25">
      <c r="A197" s="658" t="s">
        <v>3084</v>
      </c>
      <c r="B197" s="658" t="str">
        <f t="shared" si="28"/>
        <v>K01</v>
      </c>
      <c r="C197" s="661" t="s">
        <v>2877</v>
      </c>
      <c r="D197" s="661">
        <v>549010</v>
      </c>
      <c r="E197" s="661" t="s">
        <v>2978</v>
      </c>
      <c r="F197" s="661" t="s">
        <v>2837</v>
      </c>
      <c r="G197" s="668">
        <v>0</v>
      </c>
      <c r="H197" s="668"/>
      <c r="I197" s="668"/>
      <c r="J197" s="668"/>
      <c r="K197" s="668">
        <f t="shared" ref="K197:K236" si="29">G197+I197-J197</f>
        <v>0</v>
      </c>
      <c r="L197" s="668"/>
    </row>
    <row r="198" spans="1:12" x14ac:dyDescent="0.25">
      <c r="A198" s="670">
        <v>549</v>
      </c>
      <c r="B198" s="658" t="str">
        <f t="shared" si="28"/>
        <v>549</v>
      </c>
      <c r="C198" s="661" t="s">
        <v>3068</v>
      </c>
      <c r="D198" s="661"/>
      <c r="E198" s="661"/>
      <c r="F198" s="661" t="s">
        <v>2837</v>
      </c>
      <c r="G198" s="668">
        <v>0</v>
      </c>
      <c r="H198" s="668"/>
      <c r="I198" s="668"/>
      <c r="J198" s="668"/>
      <c r="K198" s="668">
        <f t="shared" si="29"/>
        <v>0</v>
      </c>
      <c r="L198" s="668"/>
    </row>
    <row r="199" spans="1:12" x14ac:dyDescent="0.25">
      <c r="A199" s="658" t="s">
        <v>3084</v>
      </c>
      <c r="B199" s="658" t="str">
        <f t="shared" si="28"/>
        <v>K01</v>
      </c>
      <c r="C199" s="661" t="s">
        <v>2877</v>
      </c>
      <c r="D199" s="661">
        <v>551100</v>
      </c>
      <c r="E199" s="661" t="s">
        <v>2979</v>
      </c>
      <c r="F199" s="661" t="s">
        <v>2837</v>
      </c>
      <c r="G199" s="668">
        <v>0</v>
      </c>
      <c r="H199" s="668"/>
      <c r="I199" s="668"/>
      <c r="J199" s="668"/>
      <c r="K199" s="668">
        <f t="shared" si="29"/>
        <v>0</v>
      </c>
      <c r="L199" s="668"/>
    </row>
    <row r="200" spans="1:12" x14ac:dyDescent="0.25">
      <c r="A200" s="670" t="s">
        <v>3084</v>
      </c>
      <c r="B200" s="658" t="str">
        <f t="shared" si="28"/>
        <v>K01</v>
      </c>
      <c r="C200" s="661" t="s">
        <v>2877</v>
      </c>
      <c r="D200" s="661">
        <v>551101</v>
      </c>
      <c r="E200" s="661" t="s">
        <v>3091</v>
      </c>
      <c r="F200" s="661" t="s">
        <v>2837</v>
      </c>
      <c r="G200" s="668">
        <v>0</v>
      </c>
      <c r="H200" s="668"/>
      <c r="I200" s="668"/>
      <c r="J200" s="668"/>
      <c r="K200" s="668">
        <f t="shared" si="29"/>
        <v>0</v>
      </c>
      <c r="L200" s="668"/>
    </row>
    <row r="201" spans="1:12" x14ac:dyDescent="0.25">
      <c r="A201" s="670" t="s">
        <v>3084</v>
      </c>
      <c r="B201" s="658" t="str">
        <f t="shared" si="28"/>
        <v>K01</v>
      </c>
      <c r="C201" s="661" t="s">
        <v>2877</v>
      </c>
      <c r="D201" s="661">
        <v>551200</v>
      </c>
      <c r="E201" s="661" t="s">
        <v>2980</v>
      </c>
      <c r="F201" s="661" t="s">
        <v>2837</v>
      </c>
      <c r="G201" s="668">
        <v>0</v>
      </c>
      <c r="H201" s="668"/>
      <c r="I201" s="668"/>
      <c r="J201" s="668"/>
      <c r="K201" s="668">
        <f t="shared" si="29"/>
        <v>0</v>
      </c>
      <c r="L201" s="668"/>
    </row>
    <row r="202" spans="1:12" x14ac:dyDescent="0.25">
      <c r="A202" s="658" t="s">
        <v>3084</v>
      </c>
      <c r="B202" s="658" t="str">
        <f t="shared" si="28"/>
        <v>K01</v>
      </c>
      <c r="C202" s="661" t="s">
        <v>2877</v>
      </c>
      <c r="D202" s="661">
        <v>551204</v>
      </c>
      <c r="E202" s="661" t="s">
        <v>2981</v>
      </c>
      <c r="F202" s="661" t="s">
        <v>2837</v>
      </c>
      <c r="G202" s="668">
        <v>0</v>
      </c>
      <c r="H202" s="668"/>
      <c r="I202" s="668"/>
      <c r="J202" s="668"/>
      <c r="K202" s="668">
        <f t="shared" si="29"/>
        <v>0</v>
      </c>
      <c r="L202" s="668"/>
    </row>
    <row r="203" spans="1:12" x14ac:dyDescent="0.25">
      <c r="A203" s="670" t="s">
        <v>3084</v>
      </c>
      <c r="B203" s="658" t="str">
        <f t="shared" si="28"/>
        <v>K01</v>
      </c>
      <c r="C203" s="661" t="s">
        <v>2877</v>
      </c>
      <c r="D203" s="661">
        <v>551205</v>
      </c>
      <c r="E203" s="661" t="s">
        <v>2982</v>
      </c>
      <c r="F203" s="661" t="s">
        <v>2837</v>
      </c>
      <c r="G203" s="668">
        <v>0</v>
      </c>
      <c r="H203" s="668"/>
      <c r="I203" s="668"/>
      <c r="J203" s="668"/>
      <c r="K203" s="668">
        <f t="shared" si="29"/>
        <v>0</v>
      </c>
      <c r="L203" s="668"/>
    </row>
    <row r="204" spans="1:12" x14ac:dyDescent="0.25">
      <c r="A204" s="670" t="s">
        <v>3084</v>
      </c>
      <c r="B204" s="658" t="str">
        <f t="shared" si="28"/>
        <v>K01</v>
      </c>
      <c r="C204" s="661" t="s">
        <v>2877</v>
      </c>
      <c r="D204" s="661">
        <v>551208</v>
      </c>
      <c r="E204" s="661" t="s">
        <v>3081</v>
      </c>
      <c r="F204" s="661" t="s">
        <v>2837</v>
      </c>
      <c r="G204" s="668">
        <v>0</v>
      </c>
      <c r="H204" s="668"/>
      <c r="I204" s="668"/>
      <c r="J204" s="668"/>
      <c r="K204" s="668">
        <f t="shared" si="29"/>
        <v>0</v>
      </c>
      <c r="L204" s="668"/>
    </row>
    <row r="205" spans="1:12" x14ac:dyDescent="0.25">
      <c r="A205" s="670" t="s">
        <v>3084</v>
      </c>
      <c r="B205" s="658" t="str">
        <f t="shared" si="28"/>
        <v>K01</v>
      </c>
      <c r="C205" s="661" t="s">
        <v>2877</v>
      </c>
      <c r="D205" s="661">
        <v>551211</v>
      </c>
      <c r="E205" s="661" t="s">
        <v>2983</v>
      </c>
      <c r="F205" s="661" t="s">
        <v>2837</v>
      </c>
      <c r="G205" s="668">
        <v>0</v>
      </c>
      <c r="H205" s="668"/>
      <c r="I205" s="668"/>
      <c r="J205" s="668"/>
      <c r="K205" s="668">
        <f t="shared" si="29"/>
        <v>0</v>
      </c>
      <c r="L205" s="668"/>
    </row>
    <row r="206" spans="1:12" x14ac:dyDescent="0.25">
      <c r="A206" s="670">
        <v>551</v>
      </c>
      <c r="B206" s="658" t="str">
        <f t="shared" si="28"/>
        <v>551</v>
      </c>
      <c r="C206" s="661" t="s">
        <v>3069</v>
      </c>
      <c r="D206" s="661"/>
      <c r="E206" s="661"/>
      <c r="F206" s="661" t="s">
        <v>2837</v>
      </c>
      <c r="G206" s="668">
        <v>0</v>
      </c>
      <c r="H206" s="668"/>
      <c r="I206" s="668"/>
      <c r="J206" s="668"/>
      <c r="K206" s="668">
        <f t="shared" si="29"/>
        <v>0</v>
      </c>
      <c r="L206" s="668"/>
    </row>
    <row r="207" spans="1:12" x14ac:dyDescent="0.25">
      <c r="A207" s="670" t="s">
        <v>3084</v>
      </c>
      <c r="B207" s="658" t="str">
        <f t="shared" si="28"/>
        <v>K01</v>
      </c>
      <c r="C207" s="661" t="s">
        <v>2877</v>
      </c>
      <c r="D207" s="661">
        <v>562020</v>
      </c>
      <c r="E207" s="661" t="s">
        <v>2627</v>
      </c>
      <c r="F207" s="661" t="s">
        <v>2837</v>
      </c>
      <c r="G207" s="668">
        <v>0</v>
      </c>
      <c r="H207" s="668"/>
      <c r="I207" s="668"/>
      <c r="J207" s="668"/>
      <c r="K207" s="668">
        <f t="shared" si="29"/>
        <v>0</v>
      </c>
      <c r="L207" s="668"/>
    </row>
    <row r="208" spans="1:12" x14ac:dyDescent="0.25">
      <c r="A208" s="670">
        <v>562</v>
      </c>
      <c r="B208" s="658" t="str">
        <f t="shared" si="28"/>
        <v>562</v>
      </c>
      <c r="C208" s="661" t="s">
        <v>3070</v>
      </c>
      <c r="D208" s="661"/>
      <c r="E208" s="661"/>
      <c r="F208" s="661" t="s">
        <v>2837</v>
      </c>
      <c r="G208" s="668">
        <v>0</v>
      </c>
      <c r="H208" s="668"/>
      <c r="I208" s="668"/>
      <c r="J208" s="668"/>
      <c r="K208" s="668">
        <f t="shared" si="29"/>
        <v>0</v>
      </c>
      <c r="L208" s="668"/>
    </row>
    <row r="209" spans="1:12" x14ac:dyDescent="0.25">
      <c r="A209" s="658" t="s">
        <v>3084</v>
      </c>
      <c r="B209" s="658" t="str">
        <f t="shared" si="28"/>
        <v>K01</v>
      </c>
      <c r="C209" s="661" t="s">
        <v>2877</v>
      </c>
      <c r="D209" s="661">
        <v>563010</v>
      </c>
      <c r="E209" s="661" t="s">
        <v>2629</v>
      </c>
      <c r="F209" s="661" t="s">
        <v>2837</v>
      </c>
      <c r="G209" s="668">
        <v>0</v>
      </c>
      <c r="H209" s="668"/>
      <c r="I209" s="668"/>
      <c r="J209" s="668"/>
      <c r="K209" s="668">
        <f t="shared" si="29"/>
        <v>0</v>
      </c>
      <c r="L209" s="668"/>
    </row>
    <row r="210" spans="1:12" x14ac:dyDescent="0.25">
      <c r="A210" s="670">
        <v>563</v>
      </c>
      <c r="B210" s="658" t="str">
        <f t="shared" si="28"/>
        <v>563</v>
      </c>
      <c r="C210" s="661" t="s">
        <v>3071</v>
      </c>
      <c r="D210" s="661"/>
      <c r="E210" s="661"/>
      <c r="F210" s="661" t="s">
        <v>2837</v>
      </c>
      <c r="G210" s="668">
        <v>0</v>
      </c>
      <c r="H210" s="668"/>
      <c r="I210" s="668"/>
      <c r="J210" s="668"/>
      <c r="K210" s="668">
        <f t="shared" si="29"/>
        <v>0</v>
      </c>
      <c r="L210" s="668"/>
    </row>
    <row r="211" spans="1:12" x14ac:dyDescent="0.25">
      <c r="A211" s="670" t="s">
        <v>3084</v>
      </c>
      <c r="B211" s="658" t="str">
        <f t="shared" si="28"/>
        <v>K01</v>
      </c>
      <c r="C211" s="661" t="s">
        <v>2877</v>
      </c>
      <c r="D211" s="661">
        <v>568020</v>
      </c>
      <c r="E211" s="661" t="s">
        <v>2984</v>
      </c>
      <c r="F211" s="661" t="s">
        <v>2837</v>
      </c>
      <c r="G211" s="668">
        <v>0</v>
      </c>
      <c r="H211" s="668"/>
      <c r="I211" s="668"/>
      <c r="J211" s="668"/>
      <c r="K211" s="668">
        <f t="shared" si="29"/>
        <v>0</v>
      </c>
      <c r="L211" s="668"/>
    </row>
    <row r="212" spans="1:12" x14ac:dyDescent="0.25">
      <c r="A212" s="658" t="s">
        <v>3084</v>
      </c>
      <c r="B212" s="658" t="str">
        <f t="shared" si="28"/>
        <v>K01</v>
      </c>
      <c r="C212" s="661" t="s">
        <v>2877</v>
      </c>
      <c r="D212" s="661">
        <v>568035</v>
      </c>
      <c r="E212" s="661" t="s">
        <v>2985</v>
      </c>
      <c r="F212" s="661" t="s">
        <v>2837</v>
      </c>
      <c r="G212" s="668">
        <v>0</v>
      </c>
      <c r="H212" s="668"/>
      <c r="I212" s="668"/>
      <c r="J212" s="668"/>
      <c r="K212" s="668">
        <f t="shared" si="29"/>
        <v>0</v>
      </c>
      <c r="L212" s="668"/>
    </row>
    <row r="213" spans="1:12" x14ac:dyDescent="0.25">
      <c r="A213" s="670">
        <v>568</v>
      </c>
      <c r="B213" s="658" t="str">
        <f t="shared" si="28"/>
        <v>568</v>
      </c>
      <c r="C213" s="661" t="s">
        <v>3072</v>
      </c>
      <c r="D213" s="661"/>
      <c r="E213" s="661"/>
      <c r="F213" s="661" t="s">
        <v>2837</v>
      </c>
      <c r="G213" s="668">
        <v>0</v>
      </c>
      <c r="H213" s="668"/>
      <c r="I213" s="668"/>
      <c r="J213" s="668"/>
      <c r="K213" s="668">
        <f t="shared" si="29"/>
        <v>0</v>
      </c>
      <c r="L213" s="668"/>
    </row>
    <row r="214" spans="1:12" x14ac:dyDescent="0.25">
      <c r="A214" s="670" t="s">
        <v>3084</v>
      </c>
      <c r="B214" s="658" t="str">
        <f t="shared" si="28"/>
        <v>K01</v>
      </c>
      <c r="C214" s="661" t="s">
        <v>2877</v>
      </c>
      <c r="D214" s="661">
        <v>591100</v>
      </c>
      <c r="E214" s="661" t="s">
        <v>3083</v>
      </c>
      <c r="F214" s="661" t="s">
        <v>2837</v>
      </c>
      <c r="G214" s="668">
        <v>0</v>
      </c>
      <c r="H214" s="668"/>
      <c r="I214" s="668">
        <v>960</v>
      </c>
      <c r="J214" s="668"/>
      <c r="K214" s="668">
        <f t="shared" si="29"/>
        <v>960</v>
      </c>
      <c r="L214" s="668"/>
    </row>
    <row r="215" spans="1:12" x14ac:dyDescent="0.25">
      <c r="A215" s="670">
        <v>591</v>
      </c>
      <c r="B215" s="658" t="str">
        <f t="shared" si="28"/>
        <v>591</v>
      </c>
      <c r="C215" s="661" t="s">
        <v>3085</v>
      </c>
      <c r="D215" s="661"/>
      <c r="E215" s="661"/>
      <c r="F215" s="661" t="s">
        <v>2837</v>
      </c>
      <c r="G215" s="668">
        <v>0</v>
      </c>
      <c r="H215" s="668">
        <f t="shared" ref="H215:K215" si="30">SUM(H214)</f>
        <v>0</v>
      </c>
      <c r="I215" s="668">
        <f t="shared" si="30"/>
        <v>960</v>
      </c>
      <c r="J215" s="668">
        <f t="shared" si="30"/>
        <v>0</v>
      </c>
      <c r="K215" s="668">
        <f t="shared" si="30"/>
        <v>960</v>
      </c>
      <c r="L215" s="668"/>
    </row>
    <row r="216" spans="1:12" x14ac:dyDescent="0.25">
      <c r="A216" s="658" t="s">
        <v>3084</v>
      </c>
      <c r="B216" s="658" t="str">
        <f t="shared" si="28"/>
        <v>K01</v>
      </c>
      <c r="C216" s="661" t="s">
        <v>2877</v>
      </c>
      <c r="D216" s="661">
        <v>601010</v>
      </c>
      <c r="E216" s="661" t="s">
        <v>2986</v>
      </c>
      <c r="F216" s="661" t="s">
        <v>2837</v>
      </c>
      <c r="G216" s="668">
        <v>0</v>
      </c>
      <c r="H216" s="668"/>
      <c r="I216" s="668"/>
      <c r="J216" s="668"/>
      <c r="K216" s="668">
        <f t="shared" si="29"/>
        <v>0</v>
      </c>
      <c r="L216" s="668"/>
    </row>
    <row r="217" spans="1:12" x14ac:dyDescent="0.25">
      <c r="A217" s="670">
        <v>601</v>
      </c>
      <c r="B217" s="658" t="str">
        <f t="shared" si="28"/>
        <v>601</v>
      </c>
      <c r="C217" s="661" t="s">
        <v>3073</v>
      </c>
      <c r="D217" s="661"/>
      <c r="E217" s="661"/>
      <c r="F217" s="661" t="s">
        <v>2837</v>
      </c>
      <c r="G217" s="668">
        <v>0</v>
      </c>
      <c r="H217" s="668"/>
      <c r="I217" s="668"/>
      <c r="J217" s="668"/>
      <c r="K217" s="668">
        <f t="shared" si="29"/>
        <v>0</v>
      </c>
      <c r="L217" s="668"/>
    </row>
    <row r="218" spans="1:12" x14ac:dyDescent="0.25">
      <c r="A218" s="670" t="s">
        <v>3084</v>
      </c>
      <c r="B218" s="658" t="str">
        <f t="shared" si="28"/>
        <v>K01</v>
      </c>
      <c r="C218" s="661" t="s">
        <v>2877</v>
      </c>
      <c r="D218" s="661">
        <v>602020</v>
      </c>
      <c r="E218" s="661" t="s">
        <v>2987</v>
      </c>
      <c r="F218" s="661" t="s">
        <v>2837</v>
      </c>
      <c r="G218" s="668">
        <v>0</v>
      </c>
      <c r="H218" s="668"/>
      <c r="I218" s="668"/>
      <c r="J218" s="668"/>
      <c r="K218" s="668">
        <f t="shared" si="29"/>
        <v>0</v>
      </c>
      <c r="L218" s="668"/>
    </row>
    <row r="219" spans="1:12" x14ac:dyDescent="0.25">
      <c r="A219" s="658" t="s">
        <v>3084</v>
      </c>
      <c r="B219" s="658" t="str">
        <f t="shared" si="28"/>
        <v>K01</v>
      </c>
      <c r="C219" s="661" t="s">
        <v>2877</v>
      </c>
      <c r="D219" s="661">
        <v>602040</v>
      </c>
      <c r="E219" s="661" t="s">
        <v>2988</v>
      </c>
      <c r="F219" s="661" t="s">
        <v>2837</v>
      </c>
      <c r="G219" s="668">
        <v>0</v>
      </c>
      <c r="H219" s="668"/>
      <c r="I219" s="668"/>
      <c r="J219" s="668"/>
      <c r="K219" s="668">
        <f t="shared" si="29"/>
        <v>0</v>
      </c>
      <c r="L219" s="668"/>
    </row>
    <row r="220" spans="1:12" x14ac:dyDescent="0.25">
      <c r="A220" s="670">
        <v>602</v>
      </c>
      <c r="B220" s="658" t="str">
        <f t="shared" si="28"/>
        <v>602</v>
      </c>
      <c r="C220" s="661" t="s">
        <v>3074</v>
      </c>
      <c r="D220" s="661"/>
      <c r="E220" s="661"/>
      <c r="F220" s="661" t="s">
        <v>2837</v>
      </c>
      <c r="G220" s="668">
        <v>0</v>
      </c>
      <c r="H220" s="668"/>
      <c r="I220" s="668"/>
      <c r="J220" s="668"/>
      <c r="K220" s="668">
        <f t="shared" si="29"/>
        <v>0</v>
      </c>
      <c r="L220" s="668"/>
    </row>
    <row r="221" spans="1:12" x14ac:dyDescent="0.25">
      <c r="A221" s="670" t="s">
        <v>3084</v>
      </c>
      <c r="B221" s="658" t="str">
        <f t="shared" si="28"/>
        <v>K01</v>
      </c>
      <c r="C221" s="661" t="s">
        <v>2877</v>
      </c>
      <c r="D221" s="661">
        <v>604010</v>
      </c>
      <c r="E221" s="661" t="s">
        <v>2989</v>
      </c>
      <c r="F221" s="661" t="s">
        <v>2837</v>
      </c>
      <c r="G221" s="668">
        <v>0</v>
      </c>
      <c r="H221" s="668"/>
      <c r="I221" s="668"/>
      <c r="J221" s="852"/>
      <c r="K221" s="668">
        <f t="shared" si="29"/>
        <v>0</v>
      </c>
      <c r="L221" s="668"/>
    </row>
    <row r="222" spans="1:12" x14ac:dyDescent="0.25">
      <c r="A222" s="670" t="s">
        <v>3084</v>
      </c>
      <c r="B222" s="658" t="str">
        <f t="shared" si="28"/>
        <v>K01</v>
      </c>
      <c r="C222" s="661" t="s">
        <v>2877</v>
      </c>
      <c r="D222" s="661">
        <v>604050</v>
      </c>
      <c r="E222" s="661" t="s">
        <v>2990</v>
      </c>
      <c r="F222" s="661" t="s">
        <v>2837</v>
      </c>
      <c r="G222" s="668">
        <v>0</v>
      </c>
      <c r="H222" s="668"/>
      <c r="I222" s="668"/>
      <c r="J222" s="668"/>
      <c r="K222" s="668">
        <f t="shared" si="29"/>
        <v>0</v>
      </c>
      <c r="L222" s="668"/>
    </row>
    <row r="223" spans="1:12" x14ac:dyDescent="0.25">
      <c r="A223" s="670">
        <v>604</v>
      </c>
      <c r="B223" s="658" t="str">
        <f t="shared" si="28"/>
        <v>604</v>
      </c>
      <c r="C223" s="661" t="s">
        <v>3075</v>
      </c>
      <c r="D223" s="661"/>
      <c r="E223" s="661"/>
      <c r="F223" s="661" t="s">
        <v>2837</v>
      </c>
      <c r="G223" s="668">
        <v>0</v>
      </c>
      <c r="H223" s="668">
        <f>SUM(H221:H222)</f>
        <v>0</v>
      </c>
      <c r="I223" s="668">
        <f>SUM(I221:I222)</f>
        <v>0</v>
      </c>
      <c r="J223" s="668">
        <f>SUM(J221:J222)</f>
        <v>0</v>
      </c>
      <c r="K223" s="668">
        <f>SUM(K221:K222)</f>
        <v>0</v>
      </c>
      <c r="L223" s="668"/>
    </row>
    <row r="224" spans="1:12" x14ac:dyDescent="0.25">
      <c r="A224" s="658" t="s">
        <v>3084</v>
      </c>
      <c r="B224" s="658" t="str">
        <f t="shared" si="28"/>
        <v>K01</v>
      </c>
      <c r="C224" s="661" t="s">
        <v>2877</v>
      </c>
      <c r="D224" s="661">
        <v>611300</v>
      </c>
      <c r="E224" s="661" t="s">
        <v>2991</v>
      </c>
      <c r="F224" s="661" t="s">
        <v>2837</v>
      </c>
      <c r="G224" s="668">
        <v>0</v>
      </c>
      <c r="H224" s="668"/>
      <c r="I224" s="668"/>
      <c r="J224" s="668"/>
      <c r="K224" s="668">
        <f t="shared" si="29"/>
        <v>0</v>
      </c>
      <c r="L224" s="668"/>
    </row>
    <row r="225" spans="1:12" x14ac:dyDescent="0.25">
      <c r="A225" s="670">
        <v>611</v>
      </c>
      <c r="B225" s="658" t="str">
        <f t="shared" si="28"/>
        <v>611</v>
      </c>
      <c r="C225" s="661" t="s">
        <v>3076</v>
      </c>
      <c r="D225" s="661"/>
      <c r="E225" s="661"/>
      <c r="F225" s="661" t="s">
        <v>2837</v>
      </c>
      <c r="G225" s="668">
        <v>0</v>
      </c>
      <c r="H225" s="668"/>
      <c r="I225" s="668"/>
      <c r="J225" s="668"/>
      <c r="K225" s="668">
        <f t="shared" si="29"/>
        <v>0</v>
      </c>
      <c r="L225" s="668"/>
    </row>
    <row r="226" spans="1:12" x14ac:dyDescent="0.25">
      <c r="A226" s="670" t="s">
        <v>3084</v>
      </c>
      <c r="B226" s="658" t="str">
        <f t="shared" si="28"/>
        <v>K01</v>
      </c>
      <c r="C226" s="661" t="s">
        <v>2877</v>
      </c>
      <c r="D226" s="661">
        <v>613010</v>
      </c>
      <c r="E226" s="661" t="s">
        <v>2992</v>
      </c>
      <c r="F226" s="661" t="s">
        <v>2837</v>
      </c>
      <c r="G226" s="668">
        <v>0</v>
      </c>
      <c r="H226" s="668"/>
      <c r="I226" s="668"/>
      <c r="J226" s="668"/>
      <c r="K226" s="668">
        <f t="shared" si="29"/>
        <v>0</v>
      </c>
      <c r="L226" s="668"/>
    </row>
    <row r="227" spans="1:12" x14ac:dyDescent="0.25">
      <c r="A227" s="658" t="s">
        <v>3084</v>
      </c>
      <c r="B227" s="658" t="str">
        <f t="shared" si="28"/>
        <v>K01</v>
      </c>
      <c r="C227" s="661" t="s">
        <v>2877</v>
      </c>
      <c r="D227" s="661">
        <v>613990</v>
      </c>
      <c r="E227" s="661" t="s">
        <v>2993</v>
      </c>
      <c r="F227" s="661" t="s">
        <v>2837</v>
      </c>
      <c r="G227" s="668">
        <v>0</v>
      </c>
      <c r="H227" s="668"/>
      <c r="I227" s="668"/>
      <c r="J227" s="668"/>
      <c r="K227" s="668">
        <f t="shared" si="29"/>
        <v>0</v>
      </c>
      <c r="L227" s="668"/>
    </row>
    <row r="228" spans="1:12" x14ac:dyDescent="0.25">
      <c r="A228" s="670">
        <v>613</v>
      </c>
      <c r="B228" s="658" t="str">
        <f t="shared" si="28"/>
        <v>613</v>
      </c>
      <c r="C228" s="661" t="s">
        <v>3077</v>
      </c>
      <c r="D228" s="661"/>
      <c r="E228" s="661"/>
      <c r="F228" s="661" t="s">
        <v>2837</v>
      </c>
      <c r="G228" s="668">
        <v>0</v>
      </c>
      <c r="H228" s="668"/>
      <c r="I228" s="668"/>
      <c r="J228" s="668"/>
      <c r="K228" s="668">
        <f t="shared" si="29"/>
        <v>0</v>
      </c>
      <c r="L228" s="668"/>
    </row>
    <row r="229" spans="1:12" x14ac:dyDescent="0.25">
      <c r="A229" s="658" t="s">
        <v>3084</v>
      </c>
      <c r="B229" s="658" t="str">
        <f t="shared" si="28"/>
        <v>K01</v>
      </c>
      <c r="C229" s="658" t="s">
        <v>2877</v>
      </c>
      <c r="D229" s="658">
        <v>648011</v>
      </c>
      <c r="E229" s="658" t="s">
        <v>2994</v>
      </c>
      <c r="F229" s="658" t="s">
        <v>2837</v>
      </c>
      <c r="G229" s="668">
        <v>0</v>
      </c>
      <c r="H229" s="661"/>
      <c r="I229" s="661"/>
      <c r="J229" s="661"/>
      <c r="K229" s="668">
        <f t="shared" si="29"/>
        <v>0</v>
      </c>
    </row>
    <row r="230" spans="1:12" x14ac:dyDescent="0.25">
      <c r="A230" s="670" t="s">
        <v>3084</v>
      </c>
      <c r="B230" s="658" t="str">
        <f t="shared" si="28"/>
        <v>K01</v>
      </c>
      <c r="C230" s="658" t="s">
        <v>2877</v>
      </c>
      <c r="D230" s="658">
        <v>648069</v>
      </c>
      <c r="E230" s="658" t="s">
        <v>2977</v>
      </c>
      <c r="F230" s="658" t="s">
        <v>2837</v>
      </c>
      <c r="G230" s="668">
        <v>0</v>
      </c>
      <c r="H230" s="661"/>
      <c r="I230" s="661"/>
      <c r="J230" s="661"/>
      <c r="K230" s="668">
        <f t="shared" si="29"/>
        <v>0</v>
      </c>
    </row>
    <row r="231" spans="1:12" x14ac:dyDescent="0.25">
      <c r="A231" s="658" t="s">
        <v>3084</v>
      </c>
      <c r="B231" s="658" t="str">
        <f t="shared" si="28"/>
        <v>K01</v>
      </c>
      <c r="C231" s="658" t="s">
        <v>2877</v>
      </c>
      <c r="D231" s="658">
        <v>648081</v>
      </c>
      <c r="E231" s="658" t="s">
        <v>2995</v>
      </c>
      <c r="F231" s="658" t="s">
        <v>2837</v>
      </c>
      <c r="G231" s="668">
        <v>0</v>
      </c>
      <c r="H231" s="661"/>
      <c r="I231" s="661"/>
      <c r="J231" s="661"/>
      <c r="K231" s="668">
        <f t="shared" si="29"/>
        <v>0</v>
      </c>
    </row>
    <row r="232" spans="1:12" x14ac:dyDescent="0.25">
      <c r="A232" s="670">
        <v>648</v>
      </c>
      <c r="B232" s="658" t="str">
        <f t="shared" si="28"/>
        <v>648</v>
      </c>
      <c r="C232" s="658" t="s">
        <v>3078</v>
      </c>
      <c r="F232" s="658" t="s">
        <v>2837</v>
      </c>
      <c r="G232" s="668">
        <v>0</v>
      </c>
      <c r="H232" s="661">
        <f t="shared" ref="H232:K232" si="31">SUM(H229:H231)</f>
        <v>0</v>
      </c>
      <c r="I232" s="661">
        <f t="shared" si="31"/>
        <v>0</v>
      </c>
      <c r="J232" s="661">
        <f t="shared" si="31"/>
        <v>0</v>
      </c>
      <c r="K232" s="661">
        <f t="shared" si="31"/>
        <v>0</v>
      </c>
    </row>
    <row r="233" spans="1:12" x14ac:dyDescent="0.25">
      <c r="A233" s="658" t="s">
        <v>3084</v>
      </c>
      <c r="B233" s="658" t="str">
        <f t="shared" si="28"/>
        <v>K01</v>
      </c>
      <c r="C233" s="658" t="s">
        <v>2877</v>
      </c>
      <c r="D233" s="658">
        <v>662030</v>
      </c>
      <c r="E233" s="658" t="s">
        <v>2996</v>
      </c>
      <c r="F233" s="658" t="s">
        <v>2837</v>
      </c>
      <c r="G233" s="668">
        <v>0</v>
      </c>
      <c r="H233" s="661"/>
      <c r="I233" s="661"/>
      <c r="J233" s="661"/>
      <c r="K233" s="668">
        <f t="shared" si="29"/>
        <v>0</v>
      </c>
    </row>
    <row r="234" spans="1:12" x14ac:dyDescent="0.25">
      <c r="A234" s="670">
        <v>662</v>
      </c>
      <c r="B234" s="658" t="str">
        <f t="shared" si="28"/>
        <v>662</v>
      </c>
      <c r="C234" s="658" t="s">
        <v>3079</v>
      </c>
      <c r="F234" s="658" t="s">
        <v>2837</v>
      </c>
      <c r="G234" s="668">
        <v>0</v>
      </c>
      <c r="H234" s="661"/>
      <c r="I234" s="661"/>
      <c r="J234" s="661"/>
      <c r="K234" s="668">
        <f t="shared" si="29"/>
        <v>0</v>
      </c>
    </row>
    <row r="235" spans="1:12" x14ac:dyDescent="0.25">
      <c r="A235" s="658" t="s">
        <v>3084</v>
      </c>
      <c r="B235" s="658" t="str">
        <f t="shared" si="28"/>
        <v>K01</v>
      </c>
      <c r="C235" s="658" t="s">
        <v>2877</v>
      </c>
      <c r="D235" s="658">
        <v>663010</v>
      </c>
      <c r="E235" s="658" t="s">
        <v>2426</v>
      </c>
      <c r="F235" s="658" t="s">
        <v>2837</v>
      </c>
      <c r="G235" s="668">
        <v>0</v>
      </c>
      <c r="H235" s="661"/>
      <c r="I235" s="661"/>
      <c r="J235" s="661"/>
      <c r="K235" s="668">
        <f t="shared" si="29"/>
        <v>0</v>
      </c>
    </row>
    <row r="236" spans="1:12" x14ac:dyDescent="0.25">
      <c r="A236" s="670">
        <v>663</v>
      </c>
      <c r="B236" s="658" t="str">
        <f t="shared" si="28"/>
        <v>663</v>
      </c>
      <c r="C236" s="658" t="s">
        <v>3080</v>
      </c>
      <c r="F236" s="658" t="s">
        <v>2837</v>
      </c>
      <c r="G236" s="668">
        <v>0</v>
      </c>
      <c r="H236" s="661"/>
      <c r="I236" s="661"/>
      <c r="J236" s="661"/>
      <c r="K236" s="668">
        <f t="shared" si="29"/>
        <v>0</v>
      </c>
    </row>
    <row r="237" spans="1:12" x14ac:dyDescent="0.25">
      <c r="A237" s="658" t="s">
        <v>3084</v>
      </c>
      <c r="B237" s="658" t="str">
        <f t="shared" ref="B237" si="32">RIGHT(C237,3)</f>
        <v>K01</v>
      </c>
      <c r="C237" s="658" t="s">
        <v>2877</v>
      </c>
      <c r="F237" s="658" t="s">
        <v>2837</v>
      </c>
      <c r="G237" s="661">
        <v>-0.30000000000109139</v>
      </c>
      <c r="H237" s="661"/>
      <c r="I237" s="661"/>
      <c r="J237" s="661"/>
      <c r="K237" s="668">
        <f>SUM(K6:K236)</f>
        <v>-2.2737367544323206E-13</v>
      </c>
      <c r="L237" s="858">
        <f>K237/2</f>
        <v>-1.1368683772161603E-13</v>
      </c>
    </row>
  </sheetData>
  <autoFilter ref="A5:M237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10"/>
  </sheetPr>
  <dimension ref="A1:J591"/>
  <sheetViews>
    <sheetView zoomScale="80" zoomScaleNormal="80" workbookViewId="0">
      <pane xSplit="1" ySplit="7" topLeftCell="B521" activePane="bottomRight" state="frozen"/>
      <selection pane="topRight" activeCell="B1" sqref="B1"/>
      <selection pane="bottomLeft" activeCell="A8" sqref="A8"/>
      <selection pane="bottomRight" activeCell="E234" sqref="E234"/>
    </sheetView>
  </sheetViews>
  <sheetFormatPr defaultColWidth="9.109375" defaultRowHeight="13.2" x14ac:dyDescent="0.25"/>
  <cols>
    <col min="1" max="1" width="0.109375" style="4" customWidth="1"/>
    <col min="2" max="2" width="10.5546875" style="280" customWidth="1"/>
    <col min="3" max="3" width="43.33203125" style="8" customWidth="1"/>
    <col min="4" max="4" width="61.33203125" style="8" customWidth="1"/>
    <col min="5" max="5" width="10" style="10" customWidth="1"/>
    <col min="6" max="7" width="11.6640625" style="9" customWidth="1"/>
    <col min="8" max="8" width="10.5546875" style="416" bestFit="1" customWidth="1"/>
    <col min="9" max="9" width="9.6640625" style="4" customWidth="1"/>
    <col min="10" max="16384" width="9.109375" style="4"/>
  </cols>
  <sheetData>
    <row r="1" spans="1:9" s="1" customFormat="1" ht="17.399999999999999" x14ac:dyDescent="0.25">
      <c r="B1" s="273" t="s">
        <v>3143</v>
      </c>
      <c r="C1" s="3"/>
      <c r="D1" s="3"/>
      <c r="E1" s="10"/>
      <c r="F1" s="10"/>
      <c r="G1" s="9"/>
      <c r="H1" s="416"/>
      <c r="I1" s="4"/>
    </row>
    <row r="2" spans="1:9" s="1" customFormat="1" ht="15.6" x14ac:dyDescent="0.3">
      <c r="B2" s="274" t="s">
        <v>2842</v>
      </c>
      <c r="C2" s="65" t="e">
        <f>'IS-SK format'!E2</f>
        <v>#REF!</v>
      </c>
      <c r="D2" s="5"/>
      <c r="F2" s="10"/>
      <c r="G2" s="9"/>
      <c r="H2" s="416"/>
      <c r="I2" s="4"/>
    </row>
    <row r="3" spans="1:9" s="1" customFormat="1" x14ac:dyDescent="0.2">
      <c r="B3" s="275" t="s">
        <v>2018</v>
      </c>
      <c r="C3" s="62" t="e">
        <f>'IS-SK format'!E3</f>
        <v>#REF!</v>
      </c>
      <c r="D3" s="5"/>
      <c r="F3" s="10"/>
      <c r="G3" s="9"/>
      <c r="H3" s="416"/>
      <c r="I3" s="4"/>
    </row>
    <row r="4" spans="1:9" s="1" customFormat="1" x14ac:dyDescent="0.25">
      <c r="B4" s="276"/>
      <c r="E4" s="10"/>
      <c r="F4" s="10"/>
      <c r="G4" s="9"/>
      <c r="H4" s="416"/>
      <c r="I4" s="4"/>
    </row>
    <row r="5" spans="1:9" s="1" customFormat="1" ht="20.399999999999999" x14ac:dyDescent="0.25">
      <c r="B5" s="277"/>
      <c r="C5" s="57"/>
      <c r="D5" s="57"/>
      <c r="E5" s="58" t="s">
        <v>1449</v>
      </c>
      <c r="F5" s="59" t="s">
        <v>3086</v>
      </c>
      <c r="G5" s="60" t="s">
        <v>1450</v>
      </c>
      <c r="H5" s="60" t="s">
        <v>539</v>
      </c>
      <c r="I5" s="4"/>
    </row>
    <row r="6" spans="1:9" s="1" customFormat="1" x14ac:dyDescent="0.25">
      <c r="B6" s="278" t="s">
        <v>2718</v>
      </c>
      <c r="C6" s="49" t="s">
        <v>2719</v>
      </c>
      <c r="D6" s="49" t="s">
        <v>2719</v>
      </c>
      <c r="E6" s="565" t="e">
        <f>#REF!</f>
        <v>#REF!</v>
      </c>
      <c r="F6" s="90" t="e">
        <f>#REF!</f>
        <v>#REF!</v>
      </c>
      <c r="G6" s="91" t="e">
        <f>#REF!</f>
        <v>#REF!</v>
      </c>
      <c r="H6" s="417" t="e">
        <f>G6-1</f>
        <v>#REF!</v>
      </c>
      <c r="I6" s="4"/>
    </row>
    <row r="7" spans="1:9" s="1" customFormat="1" x14ac:dyDescent="0.25">
      <c r="B7" s="279" t="s">
        <v>2720</v>
      </c>
      <c r="C7" s="92" t="s">
        <v>2721</v>
      </c>
      <c r="D7" s="92" t="s">
        <v>2722</v>
      </c>
      <c r="E7" s="561" t="s">
        <v>2837</v>
      </c>
      <c r="F7" s="562" t="s">
        <v>2837</v>
      </c>
      <c r="G7" s="563" t="s">
        <v>2837</v>
      </c>
      <c r="H7" s="563" t="s">
        <v>2837</v>
      </c>
      <c r="I7" s="651" t="s">
        <v>2999</v>
      </c>
    </row>
    <row r="8" spans="1:9" s="1" customFormat="1" x14ac:dyDescent="0.25">
      <c r="B8" s="622" t="s">
        <v>3087</v>
      </c>
      <c r="C8" s="623"/>
      <c r="D8" s="623"/>
      <c r="E8" s="624"/>
      <c r="F8" s="625"/>
      <c r="G8" s="626"/>
      <c r="H8" s="627"/>
      <c r="I8" s="629"/>
    </row>
    <row r="9" spans="1:9" s="50" customFormat="1" ht="12.75" customHeight="1" x14ac:dyDescent="0.25">
      <c r="B9" s="652" t="s">
        <v>1230</v>
      </c>
      <c r="C9" s="653" t="s">
        <v>1231</v>
      </c>
      <c r="D9" s="653" t="s">
        <v>1653</v>
      </c>
      <c r="E9" s="820">
        <f>E11+E19+E26+E30+E35+E40+E53+E61+E68</f>
        <v>0</v>
      </c>
      <c r="F9" s="821">
        <f>F11+F19+F26+F30+F35+F40+F53+F61+F68</f>
        <v>0</v>
      </c>
      <c r="G9" s="822">
        <f>E9+F9</f>
        <v>0</v>
      </c>
      <c r="H9" s="673">
        <f>H11+H19+H26+H30+H35+H40+H53+H61+H68</f>
        <v>0</v>
      </c>
      <c r="I9" s="630"/>
    </row>
    <row r="10" spans="1:9" s="51" customFormat="1" ht="12.75" customHeight="1" x14ac:dyDescent="0.25">
      <c r="B10" s="631" t="s">
        <v>3087</v>
      </c>
      <c r="C10" s="623"/>
      <c r="D10" s="623"/>
      <c r="E10" s="823"/>
      <c r="F10" s="824"/>
      <c r="G10" s="825"/>
      <c r="H10" s="632"/>
      <c r="I10" s="633"/>
    </row>
    <row r="11" spans="1:9" s="52" customFormat="1" ht="12.75" customHeight="1" x14ac:dyDescent="0.25">
      <c r="B11" s="656" t="s">
        <v>2695</v>
      </c>
      <c r="C11" s="657" t="s">
        <v>2696</v>
      </c>
      <c r="D11" s="657" t="s">
        <v>1652</v>
      </c>
      <c r="E11" s="826">
        <f>SUM(E12:E17)</f>
        <v>0</v>
      </c>
      <c r="F11" s="827">
        <f>SUM(F12:F17)</f>
        <v>0</v>
      </c>
      <c r="G11" s="828">
        <f>E11+F11</f>
        <v>0</v>
      </c>
      <c r="H11" s="674">
        <f>SUM(H12:H17)</f>
        <v>0</v>
      </c>
      <c r="I11" s="634"/>
    </row>
    <row r="12" spans="1:9" s="51" customFormat="1" ht="12.75" customHeight="1" x14ac:dyDescent="0.25">
      <c r="A12" s="51">
        <f t="shared" ref="A12:A17" si="0">VALUE(B12)</f>
        <v>11</v>
      </c>
      <c r="B12" s="635">
        <v>11</v>
      </c>
      <c r="C12" s="623" t="s">
        <v>2698</v>
      </c>
      <c r="D12" s="623" t="s">
        <v>1654</v>
      </c>
      <c r="E12" s="829">
        <f>IFERROR(VLOOKUP(B12,'vstupne udaje'!$A$6:$K$236,11,FALSE),0)</f>
        <v>0</v>
      </c>
      <c r="F12" s="830"/>
      <c r="G12" s="831">
        <f t="shared" ref="G12:G75" si="1">E12+F12</f>
        <v>0</v>
      </c>
      <c r="H12" s="636">
        <f>IFERROR(VLOOKUP(B12,#REF!,11,FALSE),0)</f>
        <v>0</v>
      </c>
      <c r="I12" s="633"/>
    </row>
    <row r="13" spans="1:9" s="51" customFormat="1" ht="12.75" customHeight="1" x14ac:dyDescent="0.25">
      <c r="A13" s="51">
        <f t="shared" si="0"/>
        <v>12</v>
      </c>
      <c r="B13" s="635">
        <v>12</v>
      </c>
      <c r="C13" s="623" t="s">
        <v>2700</v>
      </c>
      <c r="D13" s="623" t="s">
        <v>2701</v>
      </c>
      <c r="E13" s="829">
        <f>IFERROR(VLOOKUP(B13,'vstupne udaje'!$A$6:$K$236,11,FALSE),0)</f>
        <v>0</v>
      </c>
      <c r="F13" s="830"/>
      <c r="G13" s="831">
        <f t="shared" si="1"/>
        <v>0</v>
      </c>
      <c r="H13" s="636">
        <f>IFERROR(VLOOKUP(B13,#REF!,11,FALSE),0)</f>
        <v>0</v>
      </c>
      <c r="I13" s="633"/>
    </row>
    <row r="14" spans="1:9" s="51" customFormat="1" ht="12.75" customHeight="1" x14ac:dyDescent="0.25">
      <c r="A14" s="51">
        <f t="shared" si="0"/>
        <v>13</v>
      </c>
      <c r="B14" s="635">
        <v>13</v>
      </c>
      <c r="C14" s="623" t="s">
        <v>2766</v>
      </c>
      <c r="D14" s="623" t="s">
        <v>1865</v>
      </c>
      <c r="E14" s="829">
        <f>IFERROR(VLOOKUP(B14,'vstupne udaje'!$A$6:$K$236,11,FALSE),0)</f>
        <v>0</v>
      </c>
      <c r="F14" s="830"/>
      <c r="G14" s="831">
        <f t="shared" si="1"/>
        <v>0</v>
      </c>
      <c r="H14" s="636">
        <f>IFERROR(VLOOKUP(B14,#REF!,11,FALSE),0)</f>
        <v>0</v>
      </c>
      <c r="I14" s="633"/>
    </row>
    <row r="15" spans="1:9" s="51" customFormat="1" ht="12.75" customHeight="1" x14ac:dyDescent="0.25">
      <c r="A15" s="51">
        <f t="shared" si="0"/>
        <v>14</v>
      </c>
      <c r="B15" s="635">
        <v>14</v>
      </c>
      <c r="C15" s="623" t="s">
        <v>2768</v>
      </c>
      <c r="D15" s="623" t="s">
        <v>2769</v>
      </c>
      <c r="E15" s="829">
        <f>IFERROR(VLOOKUP(B15,'vstupne udaje'!$A$6:$K$236,11,FALSE),0)</f>
        <v>0</v>
      </c>
      <c r="F15" s="830"/>
      <c r="G15" s="831">
        <f t="shared" si="1"/>
        <v>0</v>
      </c>
      <c r="H15" s="636">
        <f>IFERROR(VLOOKUP(B15,#REF!,11,FALSE),0)</f>
        <v>0</v>
      </c>
      <c r="I15" s="633"/>
    </row>
    <row r="16" spans="1:9" s="51" customFormat="1" ht="12.75" customHeight="1" x14ac:dyDescent="0.25">
      <c r="A16" s="51">
        <f t="shared" si="0"/>
        <v>15</v>
      </c>
      <c r="B16" s="637">
        <v>15</v>
      </c>
      <c r="C16" s="623" t="s">
        <v>1655</v>
      </c>
      <c r="D16" s="623" t="s">
        <v>1655</v>
      </c>
      <c r="E16" s="829">
        <f>IFERROR(VLOOKUP(B16,'vstupne udaje'!$A$6:$K$236,11,FALSE),0)</f>
        <v>0</v>
      </c>
      <c r="F16" s="830"/>
      <c r="G16" s="831">
        <f t="shared" si="1"/>
        <v>0</v>
      </c>
      <c r="H16" s="636">
        <f>IFERROR(VLOOKUP(B16,#REF!,11,FALSE),0)</f>
        <v>0</v>
      </c>
      <c r="I16" s="633"/>
    </row>
    <row r="17" spans="1:9" s="51" customFormat="1" ht="12.75" customHeight="1" x14ac:dyDescent="0.25">
      <c r="A17" s="51">
        <f t="shared" si="0"/>
        <v>19</v>
      </c>
      <c r="B17" s="635">
        <v>19</v>
      </c>
      <c r="C17" s="623" t="s">
        <v>2772</v>
      </c>
      <c r="D17" s="623" t="s">
        <v>1656</v>
      </c>
      <c r="E17" s="829">
        <f>IFERROR(VLOOKUP(B17,'vstupne udaje'!$A$6:$K$236,11,FALSE),0)</f>
        <v>0</v>
      </c>
      <c r="F17" s="830"/>
      <c r="G17" s="831">
        <f t="shared" si="1"/>
        <v>0</v>
      </c>
      <c r="H17" s="636">
        <f>IFERROR(VLOOKUP(B17,#REF!,11,FALSE),0)</f>
        <v>0</v>
      </c>
      <c r="I17" s="633"/>
    </row>
    <row r="18" spans="1:9" s="51" customFormat="1" ht="12.75" customHeight="1" x14ac:dyDescent="0.25">
      <c r="B18" s="631" t="s">
        <v>3087</v>
      </c>
      <c r="C18" s="623"/>
      <c r="D18" s="623"/>
      <c r="E18" s="829"/>
      <c r="F18" s="824"/>
      <c r="G18" s="831"/>
      <c r="H18" s="636"/>
      <c r="I18" s="633"/>
    </row>
    <row r="19" spans="1:9" s="52" customFormat="1" ht="12.75" customHeight="1" x14ac:dyDescent="0.25">
      <c r="B19" s="688" t="s">
        <v>2773</v>
      </c>
      <c r="C19" s="657" t="s">
        <v>2774</v>
      </c>
      <c r="D19" s="657" t="s">
        <v>1657</v>
      </c>
      <c r="E19" s="826">
        <f>SUM(E20:E24)</f>
        <v>0</v>
      </c>
      <c r="F19" s="827">
        <f>SUM(F20:F24)</f>
        <v>0</v>
      </c>
      <c r="G19" s="828">
        <f t="shared" si="1"/>
        <v>0</v>
      </c>
      <c r="H19" s="674">
        <f>SUM(H20:H24)</f>
        <v>0</v>
      </c>
      <c r="I19" s="634"/>
    </row>
    <row r="20" spans="1:9" s="51" customFormat="1" ht="12.75" customHeight="1" x14ac:dyDescent="0.25">
      <c r="A20" s="51">
        <f>VALUE(B20)</f>
        <v>21</v>
      </c>
      <c r="B20" s="638">
        <v>21</v>
      </c>
      <c r="C20" s="623" t="s">
        <v>2317</v>
      </c>
      <c r="D20" s="623" t="s">
        <v>2183</v>
      </c>
      <c r="E20" s="829">
        <f>IFERROR(VLOOKUP(B20,'vstupne udaje'!$A$6:$K$236,11,FALSE),0)</f>
        <v>0</v>
      </c>
      <c r="F20" s="830"/>
      <c r="G20" s="831">
        <f t="shared" si="1"/>
        <v>0</v>
      </c>
      <c r="H20" s="636">
        <f>IFERROR(VLOOKUP(B20,#REF!,11,FALSE),0)</f>
        <v>0</v>
      </c>
      <c r="I20" s="633"/>
    </row>
    <row r="21" spans="1:9" s="51" customFormat="1" ht="12.75" customHeight="1" x14ac:dyDescent="0.25">
      <c r="A21" s="51">
        <f t="shared" ref="A21:A84" si="2">VALUE(B21)</f>
        <v>22</v>
      </c>
      <c r="B21" s="638">
        <v>22</v>
      </c>
      <c r="C21" s="623" t="s">
        <v>2318</v>
      </c>
      <c r="D21" s="623" t="s">
        <v>1216</v>
      </c>
      <c r="E21" s="829">
        <f>IFERROR(VLOOKUP(B21,'vstupne udaje'!$A$6:$K$236,11,FALSE),0)</f>
        <v>0</v>
      </c>
      <c r="F21" s="830"/>
      <c r="G21" s="831">
        <f t="shared" si="1"/>
        <v>0</v>
      </c>
      <c r="H21" s="636">
        <f>IFERROR(VLOOKUP(B21,#REF!,11,FALSE),0)</f>
        <v>0</v>
      </c>
      <c r="I21" s="633"/>
    </row>
    <row r="22" spans="1:9" s="51" customFormat="1" ht="12.75" customHeight="1" x14ac:dyDescent="0.25">
      <c r="A22" s="51">
        <f t="shared" si="2"/>
        <v>25</v>
      </c>
      <c r="B22" s="638">
        <v>25</v>
      </c>
      <c r="C22" s="623" t="s">
        <v>1039</v>
      </c>
      <c r="D22" s="623" t="s">
        <v>1040</v>
      </c>
      <c r="E22" s="829">
        <f>IFERROR(VLOOKUP(B22,'vstupne udaje'!$A$6:$K$236,11,FALSE),0)</f>
        <v>0</v>
      </c>
      <c r="F22" s="830"/>
      <c r="G22" s="831">
        <f t="shared" si="1"/>
        <v>0</v>
      </c>
      <c r="H22" s="636">
        <f>IFERROR(VLOOKUP(B22,#REF!,11,FALSE),0)</f>
        <v>0</v>
      </c>
      <c r="I22" s="628"/>
    </row>
    <row r="23" spans="1:9" s="51" customFormat="1" ht="12.75" customHeight="1" x14ac:dyDescent="0.25">
      <c r="A23" s="51">
        <f t="shared" si="2"/>
        <v>26</v>
      </c>
      <c r="B23" s="638">
        <v>26</v>
      </c>
      <c r="C23" s="623" t="s">
        <v>2632</v>
      </c>
      <c r="D23" s="623" t="s">
        <v>2184</v>
      </c>
      <c r="E23" s="829">
        <f>IFERROR(VLOOKUP(B23,'vstupne udaje'!$A$6:$K$236,11,FALSE),0)</f>
        <v>0</v>
      </c>
      <c r="F23" s="830"/>
      <c r="G23" s="831">
        <f t="shared" si="1"/>
        <v>0</v>
      </c>
      <c r="H23" s="636">
        <f>IFERROR(VLOOKUP(B23,#REF!,11,FALSE),0)</f>
        <v>0</v>
      </c>
      <c r="I23" s="628"/>
    </row>
    <row r="24" spans="1:9" s="51" customFormat="1" ht="12.75" customHeight="1" x14ac:dyDescent="0.25">
      <c r="A24" s="51">
        <f t="shared" si="2"/>
        <v>29</v>
      </c>
      <c r="B24" s="638">
        <v>29</v>
      </c>
      <c r="C24" s="623" t="s">
        <v>309</v>
      </c>
      <c r="D24" s="623" t="s">
        <v>2079</v>
      </c>
      <c r="E24" s="829">
        <f>IFERROR(VLOOKUP(B24,'vstupne udaje'!$A$6:$K$236,11,FALSE),0)</f>
        <v>0</v>
      </c>
      <c r="F24" s="830"/>
      <c r="G24" s="831">
        <f t="shared" si="1"/>
        <v>0</v>
      </c>
      <c r="H24" s="636">
        <f>IFERROR(VLOOKUP(B24,#REF!,11,FALSE),0)</f>
        <v>0</v>
      </c>
      <c r="I24" s="628"/>
    </row>
    <row r="25" spans="1:9" s="51" customFormat="1" ht="12.75" customHeight="1" x14ac:dyDescent="0.25">
      <c r="A25" s="51" t="e">
        <f t="shared" si="2"/>
        <v>#VALUE!</v>
      </c>
      <c r="B25" s="631" t="s">
        <v>3087</v>
      </c>
      <c r="C25" s="623"/>
      <c r="D25" s="623"/>
      <c r="E25" s="829"/>
      <c r="F25" s="824"/>
      <c r="G25" s="831"/>
      <c r="H25" s="636"/>
      <c r="I25" s="628"/>
    </row>
    <row r="26" spans="1:9" s="52" customFormat="1" ht="12.75" customHeight="1" x14ac:dyDescent="0.25">
      <c r="A26" s="51"/>
      <c r="B26" s="652" t="s">
        <v>310</v>
      </c>
      <c r="C26" s="653" t="s">
        <v>311</v>
      </c>
      <c r="D26" s="653" t="s">
        <v>1448</v>
      </c>
      <c r="E26" s="826">
        <f>SUM(E27:E28)</f>
        <v>0</v>
      </c>
      <c r="F26" s="827">
        <f>SUM(F27:F28)</f>
        <v>0</v>
      </c>
      <c r="G26" s="828">
        <f t="shared" si="1"/>
        <v>0</v>
      </c>
      <c r="H26" s="674">
        <f>SUM(H27:H28)</f>
        <v>0</v>
      </c>
      <c r="I26" s="628"/>
    </row>
    <row r="27" spans="1:9" s="51" customFormat="1" ht="12.75" customHeight="1" x14ac:dyDescent="0.25">
      <c r="A27" s="51">
        <f t="shared" si="2"/>
        <v>31</v>
      </c>
      <c r="B27" s="638">
        <v>31</v>
      </c>
      <c r="C27" s="623" t="s">
        <v>313</v>
      </c>
      <c r="D27" s="623" t="s">
        <v>314</v>
      </c>
      <c r="E27" s="829">
        <f>IFERROR(VLOOKUP(B27,'vstupne udaje'!$A$6:$K$236,11,FALSE),0)</f>
        <v>0</v>
      </c>
      <c r="F27" s="830"/>
      <c r="G27" s="831">
        <f t="shared" si="1"/>
        <v>0</v>
      </c>
      <c r="H27" s="636">
        <f>IFERROR(VLOOKUP(B27,#REF!,11,FALSE),0)</f>
        <v>0</v>
      </c>
      <c r="I27" s="628"/>
    </row>
    <row r="28" spans="1:9" s="51" customFormat="1" ht="12.75" customHeight="1" x14ac:dyDescent="0.25">
      <c r="A28" s="51">
        <f t="shared" si="2"/>
        <v>32</v>
      </c>
      <c r="B28" s="638">
        <v>32</v>
      </c>
      <c r="C28" s="623" t="s">
        <v>316</v>
      </c>
      <c r="D28" s="623" t="s">
        <v>317</v>
      </c>
      <c r="E28" s="829">
        <f>IFERROR(VLOOKUP(B28,'vstupne udaje'!$A$6:$K$236,11,FALSE),0)</f>
        <v>0</v>
      </c>
      <c r="F28" s="830"/>
      <c r="G28" s="831">
        <f t="shared" si="1"/>
        <v>0</v>
      </c>
      <c r="H28" s="636">
        <f>IFERROR(VLOOKUP(B28,#REF!,11,FALSE),0)</f>
        <v>0</v>
      </c>
      <c r="I28" s="628"/>
    </row>
    <row r="29" spans="1:9" s="51" customFormat="1" ht="12.75" customHeight="1" x14ac:dyDescent="0.25">
      <c r="A29" s="51" t="e">
        <f t="shared" si="2"/>
        <v>#VALUE!</v>
      </c>
      <c r="B29" s="631" t="s">
        <v>3087</v>
      </c>
      <c r="C29" s="623"/>
      <c r="D29" s="623"/>
      <c r="E29" s="829"/>
      <c r="F29" s="824"/>
      <c r="G29" s="831"/>
      <c r="H29" s="636"/>
      <c r="I29" s="628"/>
    </row>
    <row r="30" spans="1:9" s="52" customFormat="1" ht="12.75" customHeight="1" x14ac:dyDescent="0.25">
      <c r="A30" s="51"/>
      <c r="B30" s="654" t="s">
        <v>318</v>
      </c>
      <c r="C30" s="653" t="s">
        <v>384</v>
      </c>
      <c r="D30" s="653" t="s">
        <v>976</v>
      </c>
      <c r="E30" s="826">
        <f>SUM(E31:E33)</f>
        <v>0</v>
      </c>
      <c r="F30" s="827">
        <f>IFERROR(VLOOKUP(C30,'vstupne udaje'!$A$6:$K$228,11,FALSE),0)</f>
        <v>0</v>
      </c>
      <c r="G30" s="828">
        <f t="shared" si="1"/>
        <v>0</v>
      </c>
      <c r="H30" s="674">
        <f>SUM(H31:H33)</f>
        <v>0</v>
      </c>
      <c r="I30" s="628"/>
    </row>
    <row r="31" spans="1:9" s="51" customFormat="1" ht="12.75" customHeight="1" x14ac:dyDescent="0.25">
      <c r="A31" s="51">
        <f t="shared" si="2"/>
        <v>41</v>
      </c>
      <c r="B31" s="638">
        <v>41</v>
      </c>
      <c r="C31" s="623" t="s">
        <v>386</v>
      </c>
      <c r="D31" s="623" t="s">
        <v>977</v>
      </c>
      <c r="E31" s="829">
        <f>IFERROR(VLOOKUP(B31,'vstupne udaje'!$A$6:$K$236,11,FALSE),0)</f>
        <v>0</v>
      </c>
      <c r="F31" s="830"/>
      <c r="G31" s="831">
        <f t="shared" si="1"/>
        <v>0</v>
      </c>
      <c r="H31" s="636">
        <f>IFERROR(VLOOKUP(B31,#REF!,11,FALSE),0)</f>
        <v>0</v>
      </c>
      <c r="I31" s="639"/>
    </row>
    <row r="32" spans="1:9" s="51" customFormat="1" ht="12.75" customHeight="1" x14ac:dyDescent="0.25">
      <c r="A32" s="51">
        <f t="shared" si="2"/>
        <v>42</v>
      </c>
      <c r="B32" s="638">
        <v>42</v>
      </c>
      <c r="C32" s="623" t="s">
        <v>388</v>
      </c>
      <c r="D32" s="623" t="s">
        <v>2742</v>
      </c>
      <c r="E32" s="829">
        <f>IFERROR(VLOOKUP(B32,'vstupne udaje'!$A$6:$K$236,11,FALSE),0)</f>
        <v>0</v>
      </c>
      <c r="F32" s="830"/>
      <c r="G32" s="831">
        <f t="shared" si="1"/>
        <v>0</v>
      </c>
      <c r="H32" s="636">
        <f>IFERROR(VLOOKUP(B32,#REF!,11,FALSE),0)</f>
        <v>0</v>
      </c>
      <c r="I32" s="639"/>
    </row>
    <row r="33" spans="1:9" s="51" customFormat="1" ht="12.75" customHeight="1" x14ac:dyDescent="0.25">
      <c r="A33" s="51">
        <f t="shared" si="2"/>
        <v>43</v>
      </c>
      <c r="B33" s="638">
        <v>43</v>
      </c>
      <c r="C33" s="623" t="s">
        <v>2185</v>
      </c>
      <c r="D33" s="623" t="s">
        <v>2186</v>
      </c>
      <c r="E33" s="829">
        <f>IFERROR(VLOOKUP(B33,'vstupne udaje'!$A$6:$K$236,11,FALSE),0)</f>
        <v>0</v>
      </c>
      <c r="F33" s="824"/>
      <c r="G33" s="831">
        <f t="shared" si="1"/>
        <v>0</v>
      </c>
      <c r="H33" s="636">
        <f>IFERROR(VLOOKUP(B33,#REF!,11,FALSE),0)</f>
        <v>0</v>
      </c>
      <c r="I33" s="639"/>
    </row>
    <row r="34" spans="1:9" s="52" customFormat="1" ht="12.75" customHeight="1" x14ac:dyDescent="0.25">
      <c r="A34" s="51" t="e">
        <f t="shared" si="2"/>
        <v>#VALUE!</v>
      </c>
      <c r="B34" s="631" t="s">
        <v>3087</v>
      </c>
      <c r="C34" s="623"/>
      <c r="D34" s="623"/>
      <c r="E34" s="829"/>
      <c r="F34" s="824"/>
      <c r="G34" s="831"/>
      <c r="H34" s="636"/>
      <c r="I34" s="639"/>
    </row>
    <row r="35" spans="1:9" s="51" customFormat="1" ht="12.75" customHeight="1" x14ac:dyDescent="0.25">
      <c r="B35" s="654" t="s">
        <v>389</v>
      </c>
      <c r="C35" s="653" t="s">
        <v>390</v>
      </c>
      <c r="D35" s="653" t="s">
        <v>2743</v>
      </c>
      <c r="E35" s="826">
        <f>SUM(E36:E38)</f>
        <v>0</v>
      </c>
      <c r="F35" s="827">
        <f>SUM(F36:F38)</f>
        <v>0</v>
      </c>
      <c r="G35" s="828">
        <f t="shared" si="1"/>
        <v>0</v>
      </c>
      <c r="H35" s="674">
        <f>SUM(H36:H38)</f>
        <v>0</v>
      </c>
      <c r="I35" s="639"/>
    </row>
    <row r="36" spans="1:9" s="51" customFormat="1" ht="12.75" customHeight="1" x14ac:dyDescent="0.25">
      <c r="A36" s="51">
        <f t="shared" si="2"/>
        <v>51</v>
      </c>
      <c r="B36" s="638">
        <v>51</v>
      </c>
      <c r="C36" s="623" t="s">
        <v>1475</v>
      </c>
      <c r="D36" s="623" t="s">
        <v>1497</v>
      </c>
      <c r="E36" s="829">
        <f>IFERROR(VLOOKUP(B36,'vstupne udaje'!$A$6:$K$236,11,FALSE),0)</f>
        <v>0</v>
      </c>
      <c r="F36" s="830"/>
      <c r="G36" s="831">
        <f t="shared" si="1"/>
        <v>0</v>
      </c>
      <c r="H36" s="636">
        <f>IFERROR(VLOOKUP(B36,#REF!,11,FALSE),0)</f>
        <v>0</v>
      </c>
      <c r="I36" s="639"/>
    </row>
    <row r="37" spans="1:9" s="51" customFormat="1" ht="12.75" customHeight="1" x14ac:dyDescent="0.25">
      <c r="A37" s="51">
        <f t="shared" si="2"/>
        <v>52</v>
      </c>
      <c r="B37" s="638">
        <v>52</v>
      </c>
      <c r="C37" s="623" t="s">
        <v>1477</v>
      </c>
      <c r="D37" s="623" t="s">
        <v>1232</v>
      </c>
      <c r="E37" s="829">
        <f>IFERROR(VLOOKUP(B37,'vstupne udaje'!$A$6:$K$236,11,FALSE),0)</f>
        <v>0</v>
      </c>
      <c r="F37" s="824"/>
      <c r="G37" s="831">
        <f t="shared" si="1"/>
        <v>0</v>
      </c>
      <c r="H37" s="636">
        <f>IFERROR(VLOOKUP(B37,#REF!,11,FALSE),0)</f>
        <v>0</v>
      </c>
      <c r="I37" s="639"/>
    </row>
    <row r="38" spans="1:9" s="52" customFormat="1" ht="12.75" customHeight="1" x14ac:dyDescent="0.25">
      <c r="A38" s="51">
        <f t="shared" si="2"/>
        <v>53</v>
      </c>
      <c r="B38" s="638">
        <v>53</v>
      </c>
      <c r="C38" s="623" t="s">
        <v>2187</v>
      </c>
      <c r="D38" s="623" t="s">
        <v>2188</v>
      </c>
      <c r="E38" s="829">
        <f>IFERROR(VLOOKUP(B38,'vstupne udaje'!$A$6:$K$236,11,FALSE),0)</f>
        <v>0</v>
      </c>
      <c r="F38" s="824"/>
      <c r="G38" s="831">
        <f t="shared" si="1"/>
        <v>0</v>
      </c>
      <c r="H38" s="636">
        <f>IFERROR(VLOOKUP(B38,#REF!,11,FALSE),0)</f>
        <v>0</v>
      </c>
      <c r="I38" s="639"/>
    </row>
    <row r="39" spans="1:9" s="51" customFormat="1" ht="12.75" customHeight="1" x14ac:dyDescent="0.25">
      <c r="A39" s="51" t="e">
        <f t="shared" si="2"/>
        <v>#VALUE!</v>
      </c>
      <c r="B39" s="631" t="s">
        <v>3087</v>
      </c>
      <c r="C39" s="623"/>
      <c r="D39" s="623"/>
      <c r="E39" s="829"/>
      <c r="F39" s="830"/>
      <c r="G39" s="831"/>
      <c r="H39" s="636"/>
      <c r="I39" s="639"/>
    </row>
    <row r="40" spans="1:9" s="51" customFormat="1" ht="12.75" customHeight="1" x14ac:dyDescent="0.25">
      <c r="B40" s="655" t="s">
        <v>302</v>
      </c>
      <c r="C40" s="653" t="s">
        <v>303</v>
      </c>
      <c r="D40" s="653" t="s">
        <v>304</v>
      </c>
      <c r="E40" s="826">
        <f>SUM(E42:E51)</f>
        <v>0</v>
      </c>
      <c r="F40" s="827">
        <f>SUM(F41:F45)+F48+F51</f>
        <v>0</v>
      </c>
      <c r="G40" s="828">
        <f t="shared" si="1"/>
        <v>0</v>
      </c>
      <c r="H40" s="674">
        <f>SUM(H42:H51)</f>
        <v>0</v>
      </c>
      <c r="I40" s="639"/>
    </row>
    <row r="41" spans="1:9" s="51" customFormat="1" ht="12.75" customHeight="1" x14ac:dyDescent="0.25">
      <c r="A41" s="51">
        <f t="shared" si="2"/>
        <v>61</v>
      </c>
      <c r="B41" s="638">
        <v>61</v>
      </c>
      <c r="C41" s="623" t="s">
        <v>225</v>
      </c>
      <c r="D41" s="623" t="s">
        <v>2189</v>
      </c>
      <c r="E41" s="829">
        <f>IFERROR(VLOOKUP(B41,'vstupne udaje'!$A$6:$K$236,11,FALSE),0)</f>
        <v>0</v>
      </c>
      <c r="F41" s="830"/>
      <c r="G41" s="831">
        <f t="shared" si="1"/>
        <v>0</v>
      </c>
      <c r="H41" s="636">
        <f>IFERROR(VLOOKUP(B41,#REF!,11,FALSE),0)</f>
        <v>0</v>
      </c>
      <c r="I41" s="639"/>
    </row>
    <row r="42" spans="1:9" s="51" customFormat="1" ht="12.75" customHeight="1" x14ac:dyDescent="0.25">
      <c r="A42" s="51">
        <f t="shared" si="2"/>
        <v>62</v>
      </c>
      <c r="B42" s="638">
        <v>62</v>
      </c>
      <c r="C42" s="623" t="s">
        <v>227</v>
      </c>
      <c r="D42" s="623" t="s">
        <v>2206</v>
      </c>
      <c r="E42" s="829">
        <f>IFERROR(VLOOKUP(B42,'vstupne udaje'!$A$6:$K$236,11,FALSE),0)</f>
        <v>0</v>
      </c>
      <c r="F42" s="830"/>
      <c r="G42" s="831">
        <f t="shared" si="1"/>
        <v>0</v>
      </c>
      <c r="H42" s="636">
        <f>IFERROR(VLOOKUP(B42,#REF!,11,FALSE),0)</f>
        <v>0</v>
      </c>
      <c r="I42" s="639"/>
    </row>
    <row r="43" spans="1:9" s="51" customFormat="1" ht="12.75" customHeight="1" x14ac:dyDescent="0.25">
      <c r="A43" s="51">
        <f t="shared" si="2"/>
        <v>63</v>
      </c>
      <c r="B43" s="638">
        <v>63</v>
      </c>
      <c r="C43" s="623" t="s">
        <v>2053</v>
      </c>
      <c r="D43" s="623" t="s">
        <v>2207</v>
      </c>
      <c r="E43" s="829">
        <f>IFERROR(VLOOKUP(B43,'vstupne udaje'!$A$6:$K$236,11,FALSE),0)</f>
        <v>0</v>
      </c>
      <c r="F43" s="830"/>
      <c r="G43" s="831">
        <f t="shared" si="1"/>
        <v>0</v>
      </c>
      <c r="H43" s="636">
        <f>IFERROR(VLOOKUP(B43,#REF!,11,FALSE),0)</f>
        <v>0</v>
      </c>
      <c r="I43" s="639"/>
    </row>
    <row r="44" spans="1:9" s="51" customFormat="1" ht="12.75" customHeight="1" x14ac:dyDescent="0.25">
      <c r="A44" s="51">
        <f t="shared" si="2"/>
        <v>65</v>
      </c>
      <c r="B44" s="638">
        <v>65</v>
      </c>
      <c r="C44" s="623" t="s">
        <v>2054</v>
      </c>
      <c r="D44" s="623" t="s">
        <v>1316</v>
      </c>
      <c r="E44" s="829">
        <f>IFERROR(VLOOKUP(B44,'vstupne udaje'!$A$6:$K$236,11,FALSE),0)</f>
        <v>0</v>
      </c>
      <c r="F44" s="830"/>
      <c r="G44" s="831">
        <f t="shared" si="1"/>
        <v>0</v>
      </c>
      <c r="H44" s="636">
        <f>IFERROR(VLOOKUP(B44,#REF!,11,FALSE),0)</f>
        <v>0</v>
      </c>
      <c r="I44" s="639"/>
    </row>
    <row r="45" spans="1:9" s="51" customFormat="1" ht="12.75" customHeight="1" x14ac:dyDescent="0.25">
      <c r="A45" s="51">
        <f t="shared" si="2"/>
        <v>66</v>
      </c>
      <c r="B45" s="638">
        <v>66</v>
      </c>
      <c r="C45" s="623" t="s">
        <v>1688</v>
      </c>
      <c r="D45" s="623" t="s">
        <v>1317</v>
      </c>
      <c r="E45" s="829">
        <f>IFERROR(VLOOKUP(B45,'vstupne udaje'!$A$6:$K$236,11,FALSE),0)-SUM(E46:E47)</f>
        <v>0</v>
      </c>
      <c r="F45" s="824"/>
      <c r="G45" s="831">
        <f t="shared" si="1"/>
        <v>0</v>
      </c>
      <c r="H45" s="636">
        <f>IFERROR(VLOOKUP(B45,#REF!,11,FALSE),0)</f>
        <v>0</v>
      </c>
      <c r="I45" s="639"/>
    </row>
    <row r="46" spans="1:9" s="51" customFormat="1" ht="12.75" customHeight="1" x14ac:dyDescent="0.25">
      <c r="B46" s="640" t="s">
        <v>800</v>
      </c>
      <c r="C46" s="641" t="s">
        <v>2106</v>
      </c>
      <c r="D46" s="641" t="s">
        <v>599</v>
      </c>
      <c r="E46" s="832"/>
      <c r="F46" s="824"/>
      <c r="G46" s="833">
        <f t="shared" si="1"/>
        <v>0</v>
      </c>
      <c r="H46" s="636"/>
      <c r="I46" s="639"/>
    </row>
    <row r="47" spans="1:9" s="51" customFormat="1" ht="12.75" customHeight="1" x14ac:dyDescent="0.25">
      <c r="B47" s="640" t="s">
        <v>801</v>
      </c>
      <c r="C47" s="641" t="s">
        <v>635</v>
      </c>
      <c r="D47" s="641" t="s">
        <v>2461</v>
      </c>
      <c r="E47" s="832"/>
      <c r="F47" s="824"/>
      <c r="G47" s="833">
        <f t="shared" si="1"/>
        <v>0</v>
      </c>
      <c r="H47" s="636"/>
      <c r="I47" s="639"/>
    </row>
    <row r="48" spans="1:9" s="52" customFormat="1" ht="12.75" customHeight="1" x14ac:dyDescent="0.25">
      <c r="A48" s="51">
        <f t="shared" si="2"/>
        <v>67</v>
      </c>
      <c r="B48" s="638">
        <v>67</v>
      </c>
      <c r="C48" s="623" t="s">
        <v>1690</v>
      </c>
      <c r="D48" s="623" t="s">
        <v>1691</v>
      </c>
      <c r="E48" s="829">
        <f>IFERROR(VLOOKUP(B48,'vstupne udaje'!$A$6:$K$236,11,FALSE),0)-SUM(E49:E50)</f>
        <v>0</v>
      </c>
      <c r="F48" s="824"/>
      <c r="G48" s="831">
        <f t="shared" si="1"/>
        <v>0</v>
      </c>
      <c r="H48" s="636">
        <f>IFERROR(VLOOKUP(B48,#REF!,11,FALSE),0)</f>
        <v>0</v>
      </c>
      <c r="I48" s="639"/>
    </row>
    <row r="49" spans="1:9" s="52" customFormat="1" ht="12.75" customHeight="1" x14ac:dyDescent="0.25">
      <c r="A49" s="51"/>
      <c r="B49" s="640" t="s">
        <v>802</v>
      </c>
      <c r="C49" s="642" t="s">
        <v>2105</v>
      </c>
      <c r="D49" s="642" t="s">
        <v>2103</v>
      </c>
      <c r="E49" s="832"/>
      <c r="F49" s="824"/>
      <c r="G49" s="833">
        <f t="shared" si="1"/>
        <v>0</v>
      </c>
      <c r="H49" s="636"/>
      <c r="I49" s="639"/>
    </row>
    <row r="50" spans="1:9" s="52" customFormat="1" ht="12.75" customHeight="1" x14ac:dyDescent="0.25">
      <c r="A50" s="51"/>
      <c r="B50" s="640" t="s">
        <v>803</v>
      </c>
      <c r="C50" s="642" t="s">
        <v>2107</v>
      </c>
      <c r="D50" s="642" t="s">
        <v>2104</v>
      </c>
      <c r="E50" s="832"/>
      <c r="F50" s="824"/>
      <c r="G50" s="833">
        <f t="shared" si="1"/>
        <v>0</v>
      </c>
      <c r="H50" s="636"/>
      <c r="I50" s="639"/>
    </row>
    <row r="51" spans="1:9" s="51" customFormat="1" ht="12.75" customHeight="1" x14ac:dyDescent="0.25">
      <c r="A51" s="51">
        <f t="shared" si="2"/>
        <v>69</v>
      </c>
      <c r="B51" s="638">
        <v>69</v>
      </c>
      <c r="C51" s="623" t="s">
        <v>1693</v>
      </c>
      <c r="D51" s="623" t="s">
        <v>1318</v>
      </c>
      <c r="E51" s="829">
        <f>IFERROR(VLOOKUP(B51,'vstupne udaje'!$A$6:$K$236,11,FALSE),0)</f>
        <v>0</v>
      </c>
      <c r="F51" s="830"/>
      <c r="G51" s="831">
        <f t="shared" si="1"/>
        <v>0</v>
      </c>
      <c r="H51" s="636">
        <f>IFERROR(VLOOKUP(B51,#REF!,11,FALSE),0)</f>
        <v>0</v>
      </c>
      <c r="I51" s="639"/>
    </row>
    <row r="52" spans="1:9" s="51" customFormat="1" ht="12.75" customHeight="1" x14ac:dyDescent="0.25">
      <c r="A52" s="51" t="e">
        <f t="shared" si="2"/>
        <v>#VALUE!</v>
      </c>
      <c r="B52" s="631" t="s">
        <v>3087</v>
      </c>
      <c r="C52" s="623"/>
      <c r="D52" s="623"/>
      <c r="E52" s="829"/>
      <c r="F52" s="830"/>
      <c r="G52" s="831"/>
      <c r="H52" s="636"/>
      <c r="I52" s="639"/>
    </row>
    <row r="53" spans="1:9" s="51" customFormat="1" ht="12.75" customHeight="1" x14ac:dyDescent="0.25">
      <c r="B53" s="652" t="s">
        <v>1694</v>
      </c>
      <c r="C53" s="653" t="s">
        <v>1695</v>
      </c>
      <c r="D53" s="653" t="s">
        <v>1862</v>
      </c>
      <c r="E53" s="826">
        <f>SUM(E54:E59)</f>
        <v>0</v>
      </c>
      <c r="F53" s="827">
        <f>SUM(F54:F59)</f>
        <v>0</v>
      </c>
      <c r="G53" s="828">
        <f t="shared" si="1"/>
        <v>0</v>
      </c>
      <c r="H53" s="674">
        <f>SUM(H54:H59)</f>
        <v>0</v>
      </c>
      <c r="I53" s="639"/>
    </row>
    <row r="54" spans="1:9" s="51" customFormat="1" ht="12.75" customHeight="1" x14ac:dyDescent="0.25">
      <c r="A54" s="51">
        <f t="shared" si="2"/>
        <v>71</v>
      </c>
      <c r="B54" s="638">
        <v>71</v>
      </c>
      <c r="C54" s="623" t="s">
        <v>1697</v>
      </c>
      <c r="D54" s="623" t="s">
        <v>1863</v>
      </c>
      <c r="E54" s="829">
        <f>IFERROR(VLOOKUP(B54,'vstupne udaje'!$A$6:$K$236,11,FALSE),0)</f>
        <v>0</v>
      </c>
      <c r="F54" s="830"/>
      <c r="G54" s="831">
        <f t="shared" si="1"/>
        <v>0</v>
      </c>
      <c r="H54" s="636">
        <f>IFERROR(VLOOKUP(B54,#REF!,11,FALSE),0)</f>
        <v>0</v>
      </c>
      <c r="I54" s="639"/>
    </row>
    <row r="55" spans="1:9" s="51" customFormat="1" ht="12.75" customHeight="1" x14ac:dyDescent="0.25">
      <c r="A55" s="51">
        <f t="shared" si="2"/>
        <v>72</v>
      </c>
      <c r="B55" s="638">
        <v>72</v>
      </c>
      <c r="C55" s="623" t="s">
        <v>1718</v>
      </c>
      <c r="D55" s="623" t="s">
        <v>1319</v>
      </c>
      <c r="E55" s="829">
        <f>IFERROR(VLOOKUP(B55,'vstupne udaje'!$A$6:$K$236,11,FALSE),0)</f>
        <v>0</v>
      </c>
      <c r="F55" s="830"/>
      <c r="G55" s="831">
        <f t="shared" si="1"/>
        <v>0</v>
      </c>
      <c r="H55" s="636">
        <f>IFERROR(VLOOKUP(B55,#REF!,11,FALSE),0)</f>
        <v>0</v>
      </c>
      <c r="I55" s="639"/>
    </row>
    <row r="56" spans="1:9" s="51" customFormat="1" ht="12.75" customHeight="1" x14ac:dyDescent="0.25">
      <c r="A56" s="51">
        <f t="shared" si="2"/>
        <v>73</v>
      </c>
      <c r="B56" s="638">
        <v>73</v>
      </c>
      <c r="C56" s="623" t="s">
        <v>1720</v>
      </c>
      <c r="D56" s="623" t="s">
        <v>1864</v>
      </c>
      <c r="E56" s="829">
        <f>IFERROR(VLOOKUP(B56,'vstupne udaje'!$A$6:$K$236,11,FALSE),0)</f>
        <v>0</v>
      </c>
      <c r="F56" s="830"/>
      <c r="G56" s="831">
        <f t="shared" si="1"/>
        <v>0</v>
      </c>
      <c r="H56" s="636">
        <f>IFERROR(VLOOKUP(B56,#REF!,11,FALSE),0)</f>
        <v>0</v>
      </c>
      <c r="I56" s="639"/>
    </row>
    <row r="57" spans="1:9" s="51" customFormat="1" ht="12.75" customHeight="1" x14ac:dyDescent="0.25">
      <c r="A57" s="51">
        <f t="shared" si="2"/>
        <v>74</v>
      </c>
      <c r="B57" s="638">
        <v>74</v>
      </c>
      <c r="C57" s="623" t="s">
        <v>1722</v>
      </c>
      <c r="D57" s="623" t="s">
        <v>1723</v>
      </c>
      <c r="E57" s="829">
        <f>IFERROR(VLOOKUP(B57,'vstupne udaje'!$A$6:$K$236,11,FALSE),0)</f>
        <v>0</v>
      </c>
      <c r="F57" s="830"/>
      <c r="G57" s="831">
        <f t="shared" si="1"/>
        <v>0</v>
      </c>
      <c r="H57" s="636">
        <f>IFERROR(VLOOKUP(B57,#REF!,11,FALSE),0)</f>
        <v>0</v>
      </c>
      <c r="I57" s="639"/>
    </row>
    <row r="58" spans="1:9" s="52" customFormat="1" ht="12.75" customHeight="1" x14ac:dyDescent="0.25">
      <c r="A58" s="51">
        <f t="shared" si="2"/>
        <v>75</v>
      </c>
      <c r="B58" s="638">
        <v>75</v>
      </c>
      <c r="C58" s="623" t="s">
        <v>1320</v>
      </c>
      <c r="D58" s="623" t="s">
        <v>1321</v>
      </c>
      <c r="E58" s="829">
        <f>IFERROR(VLOOKUP(B58,'vstupne udaje'!$A$6:$K$236,11,FALSE),0)</f>
        <v>0</v>
      </c>
      <c r="F58" s="830"/>
      <c r="G58" s="831">
        <f t="shared" si="1"/>
        <v>0</v>
      </c>
      <c r="H58" s="636">
        <f>IFERROR(VLOOKUP(B58,#REF!,11,FALSE),0)</f>
        <v>0</v>
      </c>
      <c r="I58" s="639"/>
    </row>
    <row r="59" spans="1:9" s="51" customFormat="1" ht="12.75" customHeight="1" x14ac:dyDescent="0.25">
      <c r="A59" s="51">
        <f t="shared" si="2"/>
        <v>79</v>
      </c>
      <c r="B59" s="638">
        <v>79</v>
      </c>
      <c r="C59" s="623" t="s">
        <v>1726</v>
      </c>
      <c r="D59" s="623" t="s">
        <v>595</v>
      </c>
      <c r="E59" s="829">
        <f>IFERROR(VLOOKUP(B59,'vstupne udaje'!$A$6:$K$236,11,FALSE),0)</f>
        <v>0</v>
      </c>
      <c r="F59" s="830"/>
      <c r="G59" s="831">
        <f t="shared" si="1"/>
        <v>0</v>
      </c>
      <c r="H59" s="636">
        <f>IFERROR(VLOOKUP(B59,#REF!,11,FALSE),0)</f>
        <v>0</v>
      </c>
      <c r="I59" s="639"/>
    </row>
    <row r="60" spans="1:9" s="51" customFormat="1" ht="12.75" customHeight="1" x14ac:dyDescent="0.25">
      <c r="A60" s="51" t="e">
        <f t="shared" si="2"/>
        <v>#VALUE!</v>
      </c>
      <c r="B60" s="631" t="s">
        <v>3087</v>
      </c>
      <c r="C60" s="623"/>
      <c r="D60" s="623"/>
      <c r="E60" s="829"/>
      <c r="F60" s="830"/>
      <c r="G60" s="831"/>
      <c r="H60" s="636"/>
      <c r="I60" s="639"/>
    </row>
    <row r="61" spans="1:9" s="51" customFormat="1" ht="12.75" customHeight="1" x14ac:dyDescent="0.25">
      <c r="B61" s="652" t="s">
        <v>1727</v>
      </c>
      <c r="C61" s="653" t="s">
        <v>1728</v>
      </c>
      <c r="D61" s="653" t="s">
        <v>1866</v>
      </c>
      <c r="E61" s="826">
        <f>SUM(E62:E66)</f>
        <v>0</v>
      </c>
      <c r="F61" s="827">
        <f>SUM(F62:F66)</f>
        <v>0</v>
      </c>
      <c r="G61" s="828">
        <f t="shared" si="1"/>
        <v>0</v>
      </c>
      <c r="H61" s="674">
        <f>SUM(H62:H66)</f>
        <v>0</v>
      </c>
      <c r="I61" s="639"/>
    </row>
    <row r="62" spans="1:9" s="51" customFormat="1" ht="12.75" customHeight="1" x14ac:dyDescent="0.25">
      <c r="A62" s="51">
        <f t="shared" si="2"/>
        <v>81</v>
      </c>
      <c r="B62" s="638">
        <v>81</v>
      </c>
      <c r="C62" s="623" t="s">
        <v>2108</v>
      </c>
      <c r="D62" s="623" t="s">
        <v>596</v>
      </c>
      <c r="E62" s="829">
        <f>IFERROR(VLOOKUP(B62,'vstupne udaje'!$A$6:$K$236,11,FALSE),0)</f>
        <v>0</v>
      </c>
      <c r="F62" s="830"/>
      <c r="G62" s="831">
        <f t="shared" si="1"/>
        <v>0</v>
      </c>
      <c r="H62" s="636">
        <f>IFERROR(VLOOKUP(B62,#REF!,11,FALSE),0)</f>
        <v>0</v>
      </c>
      <c r="I62" s="639"/>
    </row>
    <row r="63" spans="1:9" s="51" customFormat="1" ht="12.75" customHeight="1" x14ac:dyDescent="0.25">
      <c r="A63" s="51">
        <f t="shared" si="2"/>
        <v>82</v>
      </c>
      <c r="B63" s="638">
        <v>82</v>
      </c>
      <c r="C63" s="623" t="s">
        <v>2109</v>
      </c>
      <c r="D63" s="623" t="s">
        <v>597</v>
      </c>
      <c r="E63" s="829">
        <f>IFERROR(VLOOKUP(B63,'vstupne udaje'!$A$6:$K$236,11,FALSE),0)</f>
        <v>0</v>
      </c>
      <c r="F63" s="830"/>
      <c r="G63" s="831">
        <f t="shared" si="1"/>
        <v>0</v>
      </c>
      <c r="H63" s="636">
        <f>IFERROR(VLOOKUP(B63,#REF!,11,FALSE),0)</f>
        <v>0</v>
      </c>
      <c r="I63" s="639"/>
    </row>
    <row r="64" spans="1:9" s="51" customFormat="1" ht="12.75" customHeight="1" x14ac:dyDescent="0.25">
      <c r="A64" s="51">
        <f t="shared" si="2"/>
        <v>85</v>
      </c>
      <c r="B64" s="638">
        <v>85</v>
      </c>
      <c r="C64" s="623" t="s">
        <v>1734</v>
      </c>
      <c r="D64" s="623" t="s">
        <v>1735</v>
      </c>
      <c r="E64" s="829">
        <f>IFERROR(VLOOKUP(B64,'vstupne udaje'!$A$6:$K$236,11,FALSE),0)</f>
        <v>0</v>
      </c>
      <c r="F64" s="824"/>
      <c r="G64" s="831">
        <f t="shared" si="1"/>
        <v>0</v>
      </c>
      <c r="H64" s="636">
        <f>IFERROR(VLOOKUP(B64,#REF!,11,FALSE),0)</f>
        <v>0</v>
      </c>
      <c r="I64" s="639"/>
    </row>
    <row r="65" spans="1:9" s="52" customFormat="1" ht="12.75" customHeight="1" x14ac:dyDescent="0.25">
      <c r="A65" s="51">
        <f t="shared" si="2"/>
        <v>86</v>
      </c>
      <c r="B65" s="638">
        <v>86</v>
      </c>
      <c r="C65" s="623" t="s">
        <v>1737</v>
      </c>
      <c r="D65" s="623" t="s">
        <v>598</v>
      </c>
      <c r="E65" s="829">
        <f>IFERROR(VLOOKUP(B65,'vstupne udaje'!$A$6:$K$236,11,FALSE),0)</f>
        <v>0</v>
      </c>
      <c r="F65" s="824"/>
      <c r="G65" s="831">
        <f t="shared" si="1"/>
        <v>0</v>
      </c>
      <c r="H65" s="636">
        <f>IFERROR(VLOOKUP(B65,#REF!,11,FALSE),0)</f>
        <v>0</v>
      </c>
      <c r="I65" s="639"/>
    </row>
    <row r="66" spans="1:9" s="51" customFormat="1" ht="12.75" customHeight="1" x14ac:dyDescent="0.25">
      <c r="A66" s="51">
        <f t="shared" si="2"/>
        <v>89</v>
      </c>
      <c r="B66" s="638">
        <v>89</v>
      </c>
      <c r="C66" s="623" t="s">
        <v>1539</v>
      </c>
      <c r="D66" s="623" t="s">
        <v>2013</v>
      </c>
      <c r="E66" s="829">
        <f>IFERROR(VLOOKUP(B66,'vstupne udaje'!$A$6:$K$236,11,FALSE),0)</f>
        <v>0</v>
      </c>
      <c r="F66" s="830"/>
      <c r="G66" s="831">
        <f t="shared" si="1"/>
        <v>0</v>
      </c>
      <c r="H66" s="636">
        <f>IFERROR(VLOOKUP(B66,#REF!,11,FALSE),0)</f>
        <v>0</v>
      </c>
      <c r="I66" s="639"/>
    </row>
    <row r="67" spans="1:9" s="51" customFormat="1" ht="12.75" customHeight="1" x14ac:dyDescent="0.25">
      <c r="A67" s="51" t="e">
        <f t="shared" si="2"/>
        <v>#VALUE!</v>
      </c>
      <c r="B67" s="631" t="s">
        <v>3087</v>
      </c>
      <c r="C67" s="623"/>
      <c r="D67" s="623"/>
      <c r="E67" s="829"/>
      <c r="F67" s="830"/>
      <c r="G67" s="831"/>
      <c r="H67" s="636"/>
      <c r="I67" s="639"/>
    </row>
    <row r="68" spans="1:9" s="51" customFormat="1" ht="12.75" customHeight="1" x14ac:dyDescent="0.25">
      <c r="B68" s="652" t="s">
        <v>1540</v>
      </c>
      <c r="C68" s="653" t="s">
        <v>1541</v>
      </c>
      <c r="D68" s="653" t="s">
        <v>1867</v>
      </c>
      <c r="E68" s="826">
        <f>SUM(E69:E101)</f>
        <v>0</v>
      </c>
      <c r="F68" s="827">
        <f>F69+F76+SUM(F83:F85)+F89+SUM(F100:F101)</f>
        <v>0</v>
      </c>
      <c r="G68" s="828">
        <f t="shared" si="1"/>
        <v>0</v>
      </c>
      <c r="H68" s="674">
        <f>SUM(H69:H101)</f>
        <v>0</v>
      </c>
      <c r="I68" s="639"/>
    </row>
    <row r="69" spans="1:9" s="51" customFormat="1" ht="12.75" customHeight="1" x14ac:dyDescent="0.25">
      <c r="A69" s="51">
        <f t="shared" si="2"/>
        <v>91</v>
      </c>
      <c r="B69" s="638">
        <v>91</v>
      </c>
      <c r="C69" s="623" t="s">
        <v>1543</v>
      </c>
      <c r="D69" s="623" t="s">
        <v>2014</v>
      </c>
      <c r="E69" s="829">
        <f>IFERROR(VLOOKUP(B69,'vstupne udaje'!$A$6:$K$236,11,FALSE),0)-SUM(E70:E75)</f>
        <v>0</v>
      </c>
      <c r="F69" s="824"/>
      <c r="G69" s="831">
        <f t="shared" si="1"/>
        <v>0</v>
      </c>
      <c r="H69" s="636">
        <f>IFERROR(VLOOKUP(B69,#REF!,11,FALSE),0)</f>
        <v>0</v>
      </c>
      <c r="I69" s="639"/>
    </row>
    <row r="70" spans="1:9" s="51" customFormat="1" ht="12.75" customHeight="1" x14ac:dyDescent="0.25">
      <c r="B70" s="643" t="s">
        <v>1288</v>
      </c>
      <c r="C70" s="642" t="s">
        <v>1289</v>
      </c>
      <c r="D70" s="642" t="s">
        <v>1290</v>
      </c>
      <c r="E70" s="832"/>
      <c r="F70" s="830"/>
      <c r="G70" s="833">
        <f t="shared" si="1"/>
        <v>0</v>
      </c>
      <c r="H70" s="636"/>
      <c r="I70" s="639"/>
    </row>
    <row r="71" spans="1:9" s="51" customFormat="1" ht="12.75" customHeight="1" x14ac:dyDescent="0.25">
      <c r="B71" s="643" t="s">
        <v>1291</v>
      </c>
      <c r="C71" s="642" t="s">
        <v>1292</v>
      </c>
      <c r="D71" s="642" t="s">
        <v>1763</v>
      </c>
      <c r="E71" s="832"/>
      <c r="F71" s="824"/>
      <c r="G71" s="833">
        <f t="shared" si="1"/>
        <v>0</v>
      </c>
      <c r="H71" s="636"/>
      <c r="I71" s="639"/>
    </row>
    <row r="72" spans="1:9" s="51" customFormat="1" ht="12.75" customHeight="1" x14ac:dyDescent="0.25">
      <c r="B72" s="643" t="s">
        <v>1293</v>
      </c>
      <c r="C72" s="642" t="s">
        <v>1294</v>
      </c>
      <c r="D72" s="642" t="s">
        <v>1868</v>
      </c>
      <c r="E72" s="832"/>
      <c r="F72" s="830"/>
      <c r="G72" s="833">
        <f t="shared" si="1"/>
        <v>0</v>
      </c>
      <c r="H72" s="636"/>
      <c r="I72" s="639"/>
    </row>
    <row r="73" spans="1:9" s="51" customFormat="1" ht="12.75" customHeight="1" x14ac:dyDescent="0.25">
      <c r="B73" s="643" t="s">
        <v>1295</v>
      </c>
      <c r="C73" s="642" t="s">
        <v>1296</v>
      </c>
      <c r="D73" s="642" t="s">
        <v>1297</v>
      </c>
      <c r="E73" s="832"/>
      <c r="F73" s="830"/>
      <c r="G73" s="833">
        <f t="shared" si="1"/>
        <v>0</v>
      </c>
      <c r="H73" s="636"/>
      <c r="I73" s="639"/>
    </row>
    <row r="74" spans="1:9" s="51" customFormat="1" ht="12.75" customHeight="1" x14ac:dyDescent="0.25">
      <c r="B74" s="640" t="s">
        <v>1298</v>
      </c>
      <c r="C74" s="642" t="s">
        <v>1765</v>
      </c>
      <c r="D74" s="642" t="s">
        <v>1766</v>
      </c>
      <c r="E74" s="832"/>
      <c r="F74" s="830"/>
      <c r="G74" s="833">
        <f t="shared" si="1"/>
        <v>0</v>
      </c>
      <c r="H74" s="636"/>
      <c r="I74" s="639"/>
    </row>
    <row r="75" spans="1:9" s="51" customFormat="1" ht="12.75" customHeight="1" x14ac:dyDescent="0.25">
      <c r="B75" s="643" t="s">
        <v>1764</v>
      </c>
      <c r="C75" s="642" t="s">
        <v>1299</v>
      </c>
      <c r="D75" s="642" t="s">
        <v>520</v>
      </c>
      <c r="E75" s="832"/>
      <c r="F75" s="830"/>
      <c r="G75" s="833">
        <f t="shared" si="1"/>
        <v>0</v>
      </c>
      <c r="H75" s="636"/>
      <c r="I75" s="639"/>
    </row>
    <row r="76" spans="1:9" s="51" customFormat="1" ht="12.75" customHeight="1" x14ac:dyDescent="0.25">
      <c r="A76" s="51">
        <f t="shared" si="2"/>
        <v>92</v>
      </c>
      <c r="B76" s="638">
        <v>92</v>
      </c>
      <c r="C76" s="623" t="s">
        <v>1301</v>
      </c>
      <c r="D76" s="623" t="s">
        <v>2015</v>
      </c>
      <c r="E76" s="829">
        <f>IFERROR(VLOOKUP(B76,'vstupne udaje'!$A$6:$K$236,11,FALSE),0)-SUM(E77:E82)</f>
        <v>0</v>
      </c>
      <c r="F76" s="824"/>
      <c r="G76" s="831">
        <f t="shared" ref="G76:G138" si="3">E76+F76</f>
        <v>0</v>
      </c>
      <c r="H76" s="636">
        <f>IFERROR(VLOOKUP(B76,#REF!,11,FALSE),0)-H78</f>
        <v>0</v>
      </c>
      <c r="I76" s="639"/>
    </row>
    <row r="77" spans="1:9" s="51" customFormat="1" ht="12.75" customHeight="1" x14ac:dyDescent="0.25">
      <c r="B77" s="640" t="s">
        <v>1302</v>
      </c>
      <c r="C77" s="642" t="s">
        <v>336</v>
      </c>
      <c r="D77" s="642" t="s">
        <v>521</v>
      </c>
      <c r="E77" s="832"/>
      <c r="F77" s="830"/>
      <c r="G77" s="833">
        <f t="shared" si="3"/>
        <v>0</v>
      </c>
      <c r="H77" s="636"/>
      <c r="I77" s="639"/>
    </row>
    <row r="78" spans="1:9" s="51" customFormat="1" ht="12.75" customHeight="1" x14ac:dyDescent="0.25">
      <c r="B78" s="640" t="s">
        <v>337</v>
      </c>
      <c r="C78" s="642" t="s">
        <v>2111</v>
      </c>
      <c r="D78" s="642" t="s">
        <v>522</v>
      </c>
      <c r="E78" s="832"/>
      <c r="F78" s="830"/>
      <c r="G78" s="833">
        <f t="shared" si="3"/>
        <v>0</v>
      </c>
      <c r="H78" s="636"/>
      <c r="I78" s="639"/>
    </row>
    <row r="79" spans="1:9" s="51" customFormat="1" ht="12.75" customHeight="1" x14ac:dyDescent="0.25">
      <c r="B79" s="640" t="s">
        <v>338</v>
      </c>
      <c r="C79" s="642" t="s">
        <v>2110</v>
      </c>
      <c r="D79" s="642" t="s">
        <v>1685</v>
      </c>
      <c r="E79" s="832"/>
      <c r="F79" s="830"/>
      <c r="G79" s="833">
        <f t="shared" si="3"/>
        <v>0</v>
      </c>
      <c r="H79" s="636"/>
      <c r="I79" s="639"/>
    </row>
    <row r="80" spans="1:9" s="51" customFormat="1" ht="12.75" customHeight="1" x14ac:dyDescent="0.25">
      <c r="B80" s="640" t="s">
        <v>834</v>
      </c>
      <c r="C80" s="642" t="s">
        <v>835</v>
      </c>
      <c r="D80" s="642" t="s">
        <v>836</v>
      </c>
      <c r="E80" s="832"/>
      <c r="F80" s="830"/>
      <c r="G80" s="833">
        <f t="shared" si="3"/>
        <v>0</v>
      </c>
      <c r="H80" s="636"/>
      <c r="I80" s="639"/>
    </row>
    <row r="81" spans="1:9" s="51" customFormat="1" ht="12.75" customHeight="1" x14ac:dyDescent="0.25">
      <c r="B81" s="640" t="s">
        <v>886</v>
      </c>
      <c r="C81" s="642" t="s">
        <v>887</v>
      </c>
      <c r="D81" s="642" t="s">
        <v>888</v>
      </c>
      <c r="E81" s="832"/>
      <c r="F81" s="824"/>
      <c r="G81" s="833">
        <f t="shared" si="3"/>
        <v>0</v>
      </c>
      <c r="H81" s="636"/>
      <c r="I81" s="639"/>
    </row>
    <row r="82" spans="1:9" s="51" customFormat="1" ht="12.75" customHeight="1" x14ac:dyDescent="0.25">
      <c r="B82" s="640" t="s">
        <v>889</v>
      </c>
      <c r="C82" s="642" t="s">
        <v>890</v>
      </c>
      <c r="D82" s="642" t="s">
        <v>2374</v>
      </c>
      <c r="E82" s="832"/>
      <c r="F82" s="830"/>
      <c r="G82" s="833">
        <f t="shared" si="3"/>
        <v>0</v>
      </c>
      <c r="H82" s="636"/>
      <c r="I82" s="639"/>
    </row>
    <row r="83" spans="1:9" s="51" customFormat="1" ht="12.75" customHeight="1" x14ac:dyDescent="0.25">
      <c r="A83" s="51">
        <f t="shared" si="2"/>
        <v>93</v>
      </c>
      <c r="B83" s="638">
        <v>93</v>
      </c>
      <c r="C83" s="623" t="s">
        <v>2376</v>
      </c>
      <c r="D83" s="623" t="s">
        <v>2016</v>
      </c>
      <c r="E83" s="829">
        <f>IFERROR(VLOOKUP(B83,'vstupne udaje'!$A$6:$K$236,11,FALSE),0)</f>
        <v>0</v>
      </c>
      <c r="F83" s="830"/>
      <c r="G83" s="831">
        <f t="shared" si="3"/>
        <v>0</v>
      </c>
      <c r="H83" s="636">
        <f>IFERROR(VLOOKUP(B83,#REF!,11,FALSE),0)</f>
        <v>0</v>
      </c>
      <c r="I83" s="639"/>
    </row>
    <row r="84" spans="1:9" s="51" customFormat="1" ht="12.75" customHeight="1" x14ac:dyDescent="0.25">
      <c r="A84" s="51">
        <f t="shared" si="2"/>
        <v>94</v>
      </c>
      <c r="B84" s="638">
        <v>94</v>
      </c>
      <c r="C84" s="623" t="s">
        <v>2378</v>
      </c>
      <c r="D84" s="623" t="s">
        <v>2017</v>
      </c>
      <c r="E84" s="829">
        <f>IFERROR(VLOOKUP(B84,'vstupne udaje'!$A$6:$K$236,11,FALSE),0)</f>
        <v>0</v>
      </c>
      <c r="F84" s="824"/>
      <c r="G84" s="831">
        <f t="shared" si="3"/>
        <v>0</v>
      </c>
      <c r="H84" s="636">
        <f>IFERROR(VLOOKUP(B84,#REF!,11,FALSE),0)</f>
        <v>0</v>
      </c>
      <c r="I84" s="639"/>
    </row>
    <row r="85" spans="1:9" s="51" customFormat="1" ht="12.75" customHeight="1" x14ac:dyDescent="0.25">
      <c r="A85" s="51">
        <f t="shared" ref="A85:A149" si="4">VALUE(B85)</f>
        <v>95</v>
      </c>
      <c r="B85" s="638">
        <v>95</v>
      </c>
      <c r="C85" s="623" t="s">
        <v>2380</v>
      </c>
      <c r="D85" s="623" t="s">
        <v>1658</v>
      </c>
      <c r="E85" s="829">
        <f>IFERROR(VLOOKUP(B85,'vstupne udaje'!$A$6:$K$236,11,FALSE),0)-SUM(E86:E88)</f>
        <v>0</v>
      </c>
      <c r="F85" s="824"/>
      <c r="G85" s="831">
        <f t="shared" si="3"/>
        <v>0</v>
      </c>
      <c r="H85" s="636">
        <f>IFERROR(VLOOKUP(B85,#REF!,11,FALSE),0)</f>
        <v>0</v>
      </c>
      <c r="I85" s="639"/>
    </row>
    <row r="86" spans="1:9" s="51" customFormat="1" ht="12.75" customHeight="1" x14ac:dyDescent="0.25">
      <c r="B86" s="640" t="s">
        <v>2381</v>
      </c>
      <c r="C86" s="642" t="s">
        <v>230</v>
      </c>
      <c r="D86" s="642" t="s">
        <v>1869</v>
      </c>
      <c r="E86" s="832"/>
      <c r="F86" s="830"/>
      <c r="G86" s="833">
        <f t="shared" si="3"/>
        <v>0</v>
      </c>
      <c r="H86" s="636"/>
      <c r="I86" s="639"/>
    </row>
    <row r="87" spans="1:9" s="51" customFormat="1" ht="12.75" customHeight="1" x14ac:dyDescent="0.25">
      <c r="B87" s="640" t="s">
        <v>806</v>
      </c>
      <c r="C87" s="642" t="s">
        <v>807</v>
      </c>
      <c r="D87" s="642" t="s">
        <v>1870</v>
      </c>
      <c r="E87" s="832"/>
      <c r="F87" s="830"/>
      <c r="G87" s="833">
        <f t="shared" si="3"/>
        <v>0</v>
      </c>
      <c r="H87" s="636"/>
      <c r="I87" s="639"/>
    </row>
    <row r="88" spans="1:9" s="51" customFormat="1" ht="12.75" customHeight="1" x14ac:dyDescent="0.25">
      <c r="B88" s="640" t="s">
        <v>2755</v>
      </c>
      <c r="C88" s="642" t="s">
        <v>2112</v>
      </c>
      <c r="D88" s="642" t="s">
        <v>798</v>
      </c>
      <c r="E88" s="832"/>
      <c r="F88" s="830"/>
      <c r="G88" s="833">
        <f t="shared" si="3"/>
        <v>0</v>
      </c>
      <c r="H88" s="636"/>
      <c r="I88" s="639"/>
    </row>
    <row r="89" spans="1:9" s="51" customFormat="1" ht="12.75" customHeight="1" x14ac:dyDescent="0.25">
      <c r="A89" s="51">
        <f t="shared" si="4"/>
        <v>96</v>
      </c>
      <c r="B89" s="638">
        <v>96</v>
      </c>
      <c r="C89" s="623" t="s">
        <v>809</v>
      </c>
      <c r="D89" s="623" t="s">
        <v>1659</v>
      </c>
      <c r="E89" s="829">
        <f>IFERROR(VLOOKUP(B89,'vstupne udaje'!$A$6:$K$236,11,FALSE),0)-SUM(E90:E99)</f>
        <v>0</v>
      </c>
      <c r="F89" s="824"/>
      <c r="G89" s="831">
        <f t="shared" si="3"/>
        <v>0</v>
      </c>
      <c r="H89" s="636">
        <f>IFERROR(VLOOKUP(B89,#REF!,11,FALSE),0)</f>
        <v>0</v>
      </c>
      <c r="I89" s="639"/>
    </row>
    <row r="90" spans="1:9" s="51" customFormat="1" ht="12.75" customHeight="1" x14ac:dyDescent="0.25">
      <c r="B90" s="640" t="s">
        <v>810</v>
      </c>
      <c r="C90" s="642" t="s">
        <v>811</v>
      </c>
      <c r="D90" s="642" t="s">
        <v>1871</v>
      </c>
      <c r="E90" s="832"/>
      <c r="F90" s="830"/>
      <c r="G90" s="833">
        <f t="shared" si="3"/>
        <v>0</v>
      </c>
      <c r="H90" s="636"/>
      <c r="I90" s="639"/>
    </row>
    <row r="91" spans="1:9" s="51" customFormat="1" ht="12.75" customHeight="1" x14ac:dyDescent="0.25">
      <c r="B91" s="640" t="s">
        <v>812</v>
      </c>
      <c r="C91" s="642" t="s">
        <v>15</v>
      </c>
      <c r="D91" s="642" t="s">
        <v>2045</v>
      </c>
      <c r="E91" s="832"/>
      <c r="F91" s="830"/>
      <c r="G91" s="833">
        <f t="shared" si="3"/>
        <v>0</v>
      </c>
      <c r="H91" s="636"/>
      <c r="I91" s="639"/>
    </row>
    <row r="92" spans="1:9" s="51" customFormat="1" ht="12.75" customHeight="1" x14ac:dyDescent="0.25">
      <c r="B92" s="640" t="s">
        <v>2046</v>
      </c>
      <c r="C92" s="642" t="s">
        <v>1992</v>
      </c>
      <c r="D92" s="642" t="s">
        <v>2526</v>
      </c>
      <c r="E92" s="832"/>
      <c r="F92" s="830"/>
      <c r="G92" s="833">
        <f t="shared" si="3"/>
        <v>0</v>
      </c>
      <c r="H92" s="636"/>
      <c r="I92" s="639"/>
    </row>
    <row r="93" spans="1:9" s="51" customFormat="1" ht="12.75" customHeight="1" x14ac:dyDescent="0.25">
      <c r="B93" s="640" t="s">
        <v>39</v>
      </c>
      <c r="C93" s="642" t="s">
        <v>1993</v>
      </c>
      <c r="D93" s="642" t="s">
        <v>2527</v>
      </c>
      <c r="E93" s="832"/>
      <c r="F93" s="830"/>
      <c r="G93" s="833">
        <f t="shared" si="3"/>
        <v>0</v>
      </c>
      <c r="H93" s="636"/>
      <c r="I93" s="639"/>
    </row>
    <row r="94" spans="1:9" s="51" customFormat="1" ht="12.75" customHeight="1" x14ac:dyDescent="0.25">
      <c r="B94" s="640" t="s">
        <v>40</v>
      </c>
      <c r="C94" s="642" t="s">
        <v>2738</v>
      </c>
      <c r="D94" s="642" t="s">
        <v>2289</v>
      </c>
      <c r="E94" s="832"/>
      <c r="F94" s="830"/>
      <c r="G94" s="833">
        <f t="shared" si="3"/>
        <v>0</v>
      </c>
      <c r="H94" s="636"/>
      <c r="I94" s="639"/>
    </row>
    <row r="95" spans="1:9" s="51" customFormat="1" ht="12.75" customHeight="1" x14ac:dyDescent="0.25">
      <c r="B95" s="640" t="s">
        <v>40</v>
      </c>
      <c r="C95" s="642" t="s">
        <v>2739</v>
      </c>
      <c r="D95" s="642" t="s">
        <v>2288</v>
      </c>
      <c r="E95" s="832"/>
      <c r="F95" s="830"/>
      <c r="G95" s="833">
        <f t="shared" si="3"/>
        <v>0</v>
      </c>
      <c r="H95" s="636"/>
      <c r="I95" s="639"/>
    </row>
    <row r="96" spans="1:9" s="51" customFormat="1" ht="12.75" customHeight="1" x14ac:dyDescent="0.25">
      <c r="B96" s="640" t="s">
        <v>797</v>
      </c>
      <c r="C96" s="642" t="s">
        <v>2740</v>
      </c>
      <c r="D96" s="642" t="s">
        <v>1451</v>
      </c>
      <c r="E96" s="832"/>
      <c r="F96" s="830"/>
      <c r="G96" s="833">
        <f t="shared" si="3"/>
        <v>0</v>
      </c>
      <c r="H96" s="636"/>
      <c r="I96" s="639"/>
    </row>
    <row r="97" spans="1:9" s="51" customFormat="1" ht="12.75" customHeight="1" x14ac:dyDescent="0.25">
      <c r="B97" s="640" t="s">
        <v>799</v>
      </c>
      <c r="C97" s="642" t="s">
        <v>2741</v>
      </c>
      <c r="D97" s="642" t="s">
        <v>805</v>
      </c>
      <c r="E97" s="832"/>
      <c r="F97" s="830"/>
      <c r="G97" s="833">
        <f t="shared" si="3"/>
        <v>0</v>
      </c>
      <c r="H97" s="636"/>
      <c r="I97" s="639"/>
    </row>
    <row r="98" spans="1:9" s="51" customFormat="1" ht="12.75" customHeight="1" x14ac:dyDescent="0.25">
      <c r="B98" s="640" t="s">
        <v>804</v>
      </c>
      <c r="C98" s="642" t="s">
        <v>1303</v>
      </c>
      <c r="D98" s="642" t="s">
        <v>796</v>
      </c>
      <c r="E98" s="832"/>
      <c r="F98" s="830"/>
      <c r="G98" s="833">
        <f t="shared" si="3"/>
        <v>0</v>
      </c>
      <c r="H98" s="636"/>
      <c r="I98" s="639"/>
    </row>
    <row r="99" spans="1:9" s="51" customFormat="1" ht="12.75" customHeight="1" x14ac:dyDescent="0.25">
      <c r="B99" s="640" t="s">
        <v>2132</v>
      </c>
      <c r="C99" s="642" t="s">
        <v>659</v>
      </c>
      <c r="D99" s="642" t="s">
        <v>660</v>
      </c>
      <c r="E99" s="832"/>
      <c r="F99" s="830"/>
      <c r="G99" s="833">
        <f t="shared" si="3"/>
        <v>0</v>
      </c>
      <c r="H99" s="636"/>
      <c r="I99" s="639"/>
    </row>
    <row r="100" spans="1:9" s="51" customFormat="1" ht="12.75" customHeight="1" x14ac:dyDescent="0.25">
      <c r="A100" s="51">
        <f t="shared" si="4"/>
        <v>97</v>
      </c>
      <c r="B100" s="638">
        <v>97</v>
      </c>
      <c r="C100" s="623" t="s">
        <v>2694</v>
      </c>
      <c r="D100" s="623" t="s">
        <v>1498</v>
      </c>
      <c r="E100" s="829">
        <f>IFERROR(VLOOKUP(B100,'vstupne udaje'!$A$6:$K$236,11,FALSE),0)</f>
        <v>0</v>
      </c>
      <c r="F100" s="824"/>
      <c r="G100" s="831">
        <f t="shared" si="3"/>
        <v>0</v>
      </c>
      <c r="H100" s="636">
        <f>IFERROR(VLOOKUP(B100,#REF!,11,FALSE),0)</f>
        <v>0</v>
      </c>
      <c r="I100" s="639"/>
    </row>
    <row r="101" spans="1:9" s="52" customFormat="1" ht="12.75" customHeight="1" x14ac:dyDescent="0.25">
      <c r="A101" s="51">
        <f t="shared" si="4"/>
        <v>98</v>
      </c>
      <c r="B101" s="638">
        <v>98</v>
      </c>
      <c r="C101" s="623" t="s">
        <v>415</v>
      </c>
      <c r="D101" s="623" t="s">
        <v>2510</v>
      </c>
      <c r="E101" s="829">
        <f>IFERROR(VLOOKUP(B101,'vstupne udaje'!$A$6:$K$236,11,FALSE),0)</f>
        <v>0</v>
      </c>
      <c r="F101" s="824"/>
      <c r="G101" s="831">
        <f t="shared" si="3"/>
        <v>0</v>
      </c>
      <c r="H101" s="636">
        <f>IFERROR(VLOOKUP(B101,#REF!,11,FALSE),0)</f>
        <v>0</v>
      </c>
      <c r="I101" s="639"/>
    </row>
    <row r="102" spans="1:9" s="51" customFormat="1" ht="12.75" customHeight="1" x14ac:dyDescent="0.25">
      <c r="A102" s="51" t="e">
        <f t="shared" si="4"/>
        <v>#VALUE!</v>
      </c>
      <c r="B102" s="631" t="s">
        <v>3087</v>
      </c>
      <c r="C102" s="623"/>
      <c r="D102" s="623"/>
      <c r="E102" s="829"/>
      <c r="F102" s="830"/>
      <c r="G102" s="831"/>
      <c r="H102" s="636"/>
      <c r="I102" s="639"/>
    </row>
    <row r="103" spans="1:9" s="51" customFormat="1" ht="12.75" customHeight="1" x14ac:dyDescent="0.25">
      <c r="B103" s="652" t="s">
        <v>2511</v>
      </c>
      <c r="C103" s="653" t="s">
        <v>2512</v>
      </c>
      <c r="D103" s="653" t="s">
        <v>1304</v>
      </c>
      <c r="E103" s="826">
        <f>E105+E110+E120+E126</f>
        <v>0</v>
      </c>
      <c r="F103" s="827">
        <f>F105+F110+F120+F126</f>
        <v>0</v>
      </c>
      <c r="G103" s="828">
        <f t="shared" si="3"/>
        <v>0</v>
      </c>
      <c r="H103" s="674">
        <f>H105+H110+H120+H126</f>
        <v>0</v>
      </c>
      <c r="I103" s="639"/>
    </row>
    <row r="104" spans="1:9" s="51" customFormat="1" ht="12.75" customHeight="1" x14ac:dyDescent="0.25">
      <c r="A104" s="51" t="e">
        <f t="shared" si="4"/>
        <v>#VALUE!</v>
      </c>
      <c r="B104" s="631" t="s">
        <v>3087</v>
      </c>
      <c r="C104" s="623"/>
      <c r="D104" s="623"/>
      <c r="E104" s="829"/>
      <c r="F104" s="830"/>
      <c r="G104" s="831"/>
      <c r="H104" s="636"/>
      <c r="I104" s="639"/>
    </row>
    <row r="105" spans="1:9" s="51" customFormat="1" ht="12.75" customHeight="1" x14ac:dyDescent="0.25">
      <c r="B105" s="652" t="s">
        <v>2513</v>
      </c>
      <c r="C105" s="653" t="s">
        <v>2514</v>
      </c>
      <c r="D105" s="653" t="s">
        <v>2515</v>
      </c>
      <c r="E105" s="826">
        <f>SUM(E106:E108)</f>
        <v>0</v>
      </c>
      <c r="F105" s="827">
        <f>SUM(F106:F108)</f>
        <v>0</v>
      </c>
      <c r="G105" s="828">
        <f t="shared" si="3"/>
        <v>0</v>
      </c>
      <c r="H105" s="674">
        <f>SUM(H106:H108)</f>
        <v>0</v>
      </c>
      <c r="I105" s="639"/>
    </row>
    <row r="106" spans="1:9" s="52" customFormat="1" ht="12.75" customHeight="1" x14ac:dyDescent="0.25">
      <c r="A106" s="51">
        <f t="shared" si="4"/>
        <v>111</v>
      </c>
      <c r="B106" s="631">
        <v>111</v>
      </c>
      <c r="C106" s="623" t="s">
        <v>2516</v>
      </c>
      <c r="D106" s="623" t="s">
        <v>2517</v>
      </c>
      <c r="E106" s="829">
        <f>IFERROR(VLOOKUP(B106,'vstupne udaje'!$A$6:$K$236,11,FALSE),0)</f>
        <v>0</v>
      </c>
      <c r="F106" s="824"/>
      <c r="G106" s="831">
        <f t="shared" si="3"/>
        <v>0</v>
      </c>
      <c r="H106" s="636">
        <f>IFERROR(VLOOKUP(B106,#REF!,11,FALSE),0)</f>
        <v>0</v>
      </c>
      <c r="I106" s="639"/>
    </row>
    <row r="107" spans="1:9" s="51" customFormat="1" ht="12.75" customHeight="1" x14ac:dyDescent="0.25">
      <c r="A107" s="51">
        <f t="shared" si="4"/>
        <v>112</v>
      </c>
      <c r="B107" s="631">
        <v>112</v>
      </c>
      <c r="C107" s="623" t="s">
        <v>813</v>
      </c>
      <c r="D107" s="623" t="s">
        <v>814</v>
      </c>
      <c r="E107" s="829">
        <f>IFERROR(VLOOKUP(B107,'vstupne udaje'!$A$6:$K$228,11,FALSE),0)</f>
        <v>0</v>
      </c>
      <c r="F107" s="830"/>
      <c r="G107" s="831">
        <f t="shared" si="3"/>
        <v>0</v>
      </c>
      <c r="H107" s="636"/>
      <c r="I107" s="639"/>
    </row>
    <row r="108" spans="1:9" s="51" customFormat="1" ht="12.75" customHeight="1" x14ac:dyDescent="0.25">
      <c r="A108" s="51">
        <f t="shared" si="4"/>
        <v>119</v>
      </c>
      <c r="B108" s="631">
        <v>119</v>
      </c>
      <c r="C108" s="623" t="s">
        <v>815</v>
      </c>
      <c r="D108" s="623" t="s">
        <v>816</v>
      </c>
      <c r="E108" s="829">
        <f>IFERROR(VLOOKUP(B108,'vstupne udaje'!$A$6:$K$228,11,FALSE),0)</f>
        <v>0</v>
      </c>
      <c r="F108" s="830"/>
      <c r="G108" s="831">
        <f t="shared" si="3"/>
        <v>0</v>
      </c>
      <c r="H108" s="636">
        <f>IFERROR(VLOOKUP(B108,#REF!,11,FALSE),0)</f>
        <v>0</v>
      </c>
      <c r="I108" s="639"/>
    </row>
    <row r="109" spans="1:9" s="51" customFormat="1" ht="12.75" customHeight="1" x14ac:dyDescent="0.25">
      <c r="A109" s="51" t="e">
        <f t="shared" si="4"/>
        <v>#VALUE!</v>
      </c>
      <c r="B109" s="631" t="s">
        <v>3087</v>
      </c>
      <c r="C109" s="623"/>
      <c r="D109" s="623"/>
      <c r="E109" s="829"/>
      <c r="F109" s="830"/>
      <c r="G109" s="831"/>
      <c r="H109" s="636"/>
      <c r="I109" s="639"/>
    </row>
    <row r="110" spans="1:9" s="51" customFormat="1" ht="12.75" customHeight="1" x14ac:dyDescent="0.25">
      <c r="B110" s="652" t="s">
        <v>817</v>
      </c>
      <c r="C110" s="653" t="s">
        <v>818</v>
      </c>
      <c r="D110" s="653" t="s">
        <v>819</v>
      </c>
      <c r="E110" s="826">
        <f>SUM(E111:E118)</f>
        <v>0</v>
      </c>
      <c r="F110" s="827">
        <f>F111+F114+F117+F118</f>
        <v>0</v>
      </c>
      <c r="G110" s="828">
        <f t="shared" si="3"/>
        <v>0</v>
      </c>
      <c r="H110" s="674">
        <f>SUM(H111:H118)</f>
        <v>0</v>
      </c>
      <c r="I110" s="639"/>
    </row>
    <row r="111" spans="1:9" s="51" customFormat="1" ht="12.75" customHeight="1" x14ac:dyDescent="0.25">
      <c r="A111" s="51">
        <f t="shared" si="4"/>
        <v>121</v>
      </c>
      <c r="B111" s="631">
        <v>121</v>
      </c>
      <c r="C111" s="623" t="s">
        <v>820</v>
      </c>
      <c r="D111" s="623" t="s">
        <v>821</v>
      </c>
      <c r="E111" s="829">
        <f>IFERROR(VLOOKUP(B111,'vstupne udaje'!$A$6:$K$236,11,FALSE),0)-SUM(E112:E113)</f>
        <v>0</v>
      </c>
      <c r="F111" s="824"/>
      <c r="G111" s="831">
        <f t="shared" si="3"/>
        <v>0</v>
      </c>
      <c r="H111" s="636"/>
      <c r="I111" s="639"/>
    </row>
    <row r="112" spans="1:9" s="51" customFormat="1" ht="12.75" customHeight="1" x14ac:dyDescent="0.25">
      <c r="B112" s="640" t="s">
        <v>2290</v>
      </c>
      <c r="C112" s="642" t="s">
        <v>1305</v>
      </c>
      <c r="D112" s="642" t="s">
        <v>2294</v>
      </c>
      <c r="E112" s="832"/>
      <c r="F112" s="824"/>
      <c r="G112" s="833">
        <f t="shared" si="3"/>
        <v>0</v>
      </c>
      <c r="H112" s="636"/>
      <c r="I112" s="639"/>
    </row>
    <row r="113" spans="1:9" s="51" customFormat="1" ht="12.75" customHeight="1" x14ac:dyDescent="0.25">
      <c r="B113" s="640" t="s">
        <v>2291</v>
      </c>
      <c r="C113" s="642" t="s">
        <v>1307</v>
      </c>
      <c r="D113" s="642" t="s">
        <v>2295</v>
      </c>
      <c r="E113" s="832"/>
      <c r="F113" s="824"/>
      <c r="G113" s="833">
        <f t="shared" si="3"/>
        <v>0</v>
      </c>
      <c r="H113" s="636"/>
      <c r="I113" s="639"/>
    </row>
    <row r="114" spans="1:9" s="52" customFormat="1" ht="12.75" customHeight="1" x14ac:dyDescent="0.25">
      <c r="A114" s="51">
        <f t="shared" si="4"/>
        <v>122</v>
      </c>
      <c r="B114" s="631">
        <v>122</v>
      </c>
      <c r="C114" s="623" t="s">
        <v>822</v>
      </c>
      <c r="D114" s="623" t="s">
        <v>1660</v>
      </c>
      <c r="E114" s="829">
        <f>IFERROR(VLOOKUP(B114,'vstupne udaje'!$A$6:$K$236,11,FALSE),0)-SUM(E115:E116)</f>
        <v>0</v>
      </c>
      <c r="F114" s="824"/>
      <c r="G114" s="831">
        <f t="shared" si="3"/>
        <v>0</v>
      </c>
      <c r="H114" s="636">
        <f>IFERROR(VLOOKUP(B114,#REF!,11,FALSE),0)</f>
        <v>0</v>
      </c>
      <c r="I114" s="639"/>
    </row>
    <row r="115" spans="1:9" s="52" customFormat="1" ht="12.75" customHeight="1" x14ac:dyDescent="0.25">
      <c r="A115" s="51"/>
      <c r="B115" s="640" t="s">
        <v>2292</v>
      </c>
      <c r="C115" s="642" t="s">
        <v>1305</v>
      </c>
      <c r="D115" s="642" t="s">
        <v>2294</v>
      </c>
      <c r="E115" s="832"/>
      <c r="F115" s="824"/>
      <c r="G115" s="833">
        <f t="shared" si="3"/>
        <v>0</v>
      </c>
      <c r="H115" s="636"/>
      <c r="I115" s="639"/>
    </row>
    <row r="116" spans="1:9" s="52" customFormat="1" ht="12.75" customHeight="1" x14ac:dyDescent="0.25">
      <c r="A116" s="51"/>
      <c r="B116" s="640" t="s">
        <v>2293</v>
      </c>
      <c r="C116" s="642" t="s">
        <v>1306</v>
      </c>
      <c r="D116" s="642" t="s">
        <v>2296</v>
      </c>
      <c r="E116" s="832"/>
      <c r="F116" s="824"/>
      <c r="G116" s="833">
        <f t="shared" si="3"/>
        <v>0</v>
      </c>
      <c r="H116" s="636"/>
      <c r="I116" s="639"/>
    </row>
    <row r="117" spans="1:9" s="51" customFormat="1" ht="12.75" customHeight="1" x14ac:dyDescent="0.25">
      <c r="A117" s="51">
        <f t="shared" si="4"/>
        <v>123</v>
      </c>
      <c r="B117" s="631">
        <v>123</v>
      </c>
      <c r="C117" s="623" t="s">
        <v>823</v>
      </c>
      <c r="D117" s="623" t="s">
        <v>824</v>
      </c>
      <c r="E117" s="829">
        <f>IFERROR(VLOOKUP(B117,'vstupne udaje'!$A$6:$K$236,11,FALSE),0)</f>
        <v>0</v>
      </c>
      <c r="F117" s="830"/>
      <c r="G117" s="831">
        <f t="shared" si="3"/>
        <v>0</v>
      </c>
      <c r="H117" s="636"/>
      <c r="I117" s="639"/>
    </row>
    <row r="118" spans="1:9" s="51" customFormat="1" ht="12.75" customHeight="1" x14ac:dyDescent="0.25">
      <c r="A118" s="51">
        <f t="shared" si="4"/>
        <v>124</v>
      </c>
      <c r="B118" s="631">
        <v>124</v>
      </c>
      <c r="C118" s="623" t="s">
        <v>825</v>
      </c>
      <c r="D118" s="623" t="s">
        <v>826</v>
      </c>
      <c r="E118" s="829">
        <f>IFERROR(VLOOKUP(B118,'vstupne udaje'!$A$6:$K$236,11,FALSE),0)</f>
        <v>0</v>
      </c>
      <c r="F118" s="830"/>
      <c r="G118" s="831">
        <f t="shared" si="3"/>
        <v>0</v>
      </c>
      <c r="H118" s="636"/>
      <c r="I118" s="639"/>
    </row>
    <row r="119" spans="1:9" s="51" customFormat="1" ht="12.75" customHeight="1" x14ac:dyDescent="0.25">
      <c r="A119" s="51" t="e">
        <f t="shared" si="4"/>
        <v>#VALUE!</v>
      </c>
      <c r="B119" s="631" t="s">
        <v>3087</v>
      </c>
      <c r="C119" s="623"/>
      <c r="D119" s="623"/>
      <c r="E119" s="829"/>
      <c r="F119" s="830"/>
      <c r="G119" s="831"/>
      <c r="H119" s="636"/>
      <c r="I119" s="639"/>
    </row>
    <row r="120" spans="1:9" s="51" customFormat="1" ht="12.75" customHeight="1" x14ac:dyDescent="0.25">
      <c r="B120" s="652" t="s">
        <v>827</v>
      </c>
      <c r="C120" s="653" t="s">
        <v>828</v>
      </c>
      <c r="D120" s="653" t="s">
        <v>829</v>
      </c>
      <c r="E120" s="826">
        <f>SUM(E121:E124)</f>
        <v>0</v>
      </c>
      <c r="F120" s="827">
        <f>SUM(F121:F124)</f>
        <v>0</v>
      </c>
      <c r="G120" s="828">
        <f t="shared" si="3"/>
        <v>0</v>
      </c>
      <c r="H120" s="674">
        <f>SUM(H121:H124)</f>
        <v>0</v>
      </c>
      <c r="I120" s="639"/>
    </row>
    <row r="121" spans="1:9" s="52" customFormat="1" ht="12.75" customHeight="1" x14ac:dyDescent="0.25">
      <c r="A121" s="51">
        <f t="shared" si="4"/>
        <v>131</v>
      </c>
      <c r="B121" s="631">
        <v>131</v>
      </c>
      <c r="C121" s="623" t="s">
        <v>830</v>
      </c>
      <c r="D121" s="623" t="s">
        <v>2507</v>
      </c>
      <c r="E121" s="829">
        <f>IFERROR(VLOOKUP(B121,'vstupne udaje'!$A$6:$K$236,11,FALSE),0)</f>
        <v>0</v>
      </c>
      <c r="F121" s="824"/>
      <c r="G121" s="831">
        <f t="shared" si="3"/>
        <v>0</v>
      </c>
      <c r="H121" s="636">
        <f>IFERROR(VLOOKUP(B121,#REF!,11,FALSE),0)</f>
        <v>0</v>
      </c>
      <c r="I121" s="639"/>
    </row>
    <row r="122" spans="1:9" s="51" customFormat="1" ht="12.75" customHeight="1" x14ac:dyDescent="0.25">
      <c r="A122" s="51">
        <f t="shared" si="4"/>
        <v>132</v>
      </c>
      <c r="B122" s="631">
        <v>132</v>
      </c>
      <c r="C122" s="623" t="s">
        <v>831</v>
      </c>
      <c r="D122" s="623" t="s">
        <v>832</v>
      </c>
      <c r="E122" s="829">
        <f>IFERROR(VLOOKUP(B122,'vstupne udaje'!$A$6:$K$236,11,FALSE),0)</f>
        <v>0</v>
      </c>
      <c r="F122" s="830"/>
      <c r="G122" s="831">
        <f t="shared" si="3"/>
        <v>0</v>
      </c>
      <c r="H122" s="636"/>
      <c r="I122" s="639"/>
    </row>
    <row r="123" spans="1:9" s="51" customFormat="1" ht="12.75" customHeight="1" x14ac:dyDescent="0.25">
      <c r="A123" s="51">
        <f t="shared" si="4"/>
        <v>133</v>
      </c>
      <c r="B123" s="631">
        <v>133</v>
      </c>
      <c r="C123" s="644" t="s">
        <v>2817</v>
      </c>
      <c r="D123" s="644" t="s">
        <v>2818</v>
      </c>
      <c r="E123" s="829">
        <f>IFERROR(VLOOKUP(B123,'vstupne udaje'!$A$6:$K$236,11,FALSE),0)</f>
        <v>0</v>
      </c>
      <c r="F123" s="830"/>
      <c r="G123" s="831">
        <f t="shared" si="3"/>
        <v>0</v>
      </c>
      <c r="H123" s="636">
        <f>IFERROR(VLOOKUP(B123,#REF!,11,FALSE),0)</f>
        <v>0</v>
      </c>
      <c r="I123" s="639"/>
    </row>
    <row r="124" spans="1:9" s="51" customFormat="1" ht="12.75" customHeight="1" x14ac:dyDescent="0.25">
      <c r="A124" s="51">
        <f t="shared" si="4"/>
        <v>139</v>
      </c>
      <c r="B124" s="631">
        <v>139</v>
      </c>
      <c r="C124" s="623" t="s">
        <v>1713</v>
      </c>
      <c r="D124" s="623" t="s">
        <v>1677</v>
      </c>
      <c r="E124" s="829">
        <f>IFERROR(VLOOKUP(B124,'vstupne udaje'!$A$6:$K$236,11,FALSE),0)</f>
        <v>0</v>
      </c>
      <c r="F124" s="830"/>
      <c r="G124" s="831">
        <f t="shared" si="3"/>
        <v>0</v>
      </c>
      <c r="H124" s="636">
        <f>IFERROR(VLOOKUP(B124,#REF!,11,FALSE),0)</f>
        <v>0</v>
      </c>
      <c r="I124" s="639"/>
    </row>
    <row r="125" spans="1:9" s="51" customFormat="1" ht="12.75" customHeight="1" x14ac:dyDescent="0.25">
      <c r="A125" s="51" t="e">
        <f t="shared" si="4"/>
        <v>#VALUE!</v>
      </c>
      <c r="B125" s="631" t="s">
        <v>3087</v>
      </c>
      <c r="C125" s="623"/>
      <c r="D125" s="623"/>
      <c r="E125" s="829"/>
      <c r="F125" s="830"/>
      <c r="G125" s="831"/>
      <c r="H125" s="636"/>
      <c r="I125" s="639"/>
    </row>
    <row r="126" spans="1:9" s="51" customFormat="1" ht="12.75" customHeight="1" x14ac:dyDescent="0.25">
      <c r="B126" s="652" t="s">
        <v>1678</v>
      </c>
      <c r="C126" s="653" t="s">
        <v>1679</v>
      </c>
      <c r="D126" s="653" t="s">
        <v>1680</v>
      </c>
      <c r="E126" s="826">
        <f>SUM(E127:E136)</f>
        <v>0</v>
      </c>
      <c r="F126" s="827">
        <f>SUM(F127:F128)+F131+SUM(F134:F136)</f>
        <v>0</v>
      </c>
      <c r="G126" s="828">
        <f t="shared" si="3"/>
        <v>0</v>
      </c>
      <c r="H126" s="674">
        <f>SUM(H127:H136)</f>
        <v>0</v>
      </c>
      <c r="I126" s="639"/>
    </row>
    <row r="127" spans="1:9" s="51" customFormat="1" ht="12.75" customHeight="1" x14ac:dyDescent="0.25">
      <c r="A127" s="51">
        <f t="shared" si="4"/>
        <v>191</v>
      </c>
      <c r="B127" s="631">
        <v>191</v>
      </c>
      <c r="C127" s="623" t="s">
        <v>1681</v>
      </c>
      <c r="D127" s="623" t="s">
        <v>1682</v>
      </c>
      <c r="E127" s="829">
        <f>IFERROR(VLOOKUP(B127,'vstupne udaje'!$A$6:$K$236,11,FALSE),0)</f>
        <v>0</v>
      </c>
      <c r="F127" s="830"/>
      <c r="G127" s="831">
        <f t="shared" si="3"/>
        <v>0</v>
      </c>
      <c r="H127" s="636">
        <f>IFERROR(VLOOKUP(B127,#REF!,11,FALSE),0)</f>
        <v>0</v>
      </c>
      <c r="I127" s="639"/>
    </row>
    <row r="128" spans="1:9" s="51" customFormat="1" ht="12.75" customHeight="1" x14ac:dyDescent="0.25">
      <c r="A128" s="51">
        <f t="shared" si="4"/>
        <v>192</v>
      </c>
      <c r="B128" s="631">
        <v>192</v>
      </c>
      <c r="C128" s="623" t="s">
        <v>1683</v>
      </c>
      <c r="D128" s="623" t="s">
        <v>1684</v>
      </c>
      <c r="E128" s="829">
        <f>IFERROR(VLOOKUP(B128,'vstupne udaje'!$A$6:$K$236,11,FALSE),0)-SUM(E129:E130)</f>
        <v>0</v>
      </c>
      <c r="F128" s="824"/>
      <c r="G128" s="831">
        <f t="shared" si="3"/>
        <v>0</v>
      </c>
      <c r="H128" s="636">
        <f>IFERROR(VLOOKUP(B128,#REF!,11,FALSE),0)</f>
        <v>0</v>
      </c>
      <c r="I128" s="639"/>
    </row>
    <row r="129" spans="1:9" s="51" customFormat="1" ht="12.75" customHeight="1" x14ac:dyDescent="0.25">
      <c r="B129" s="640" t="s">
        <v>668</v>
      </c>
      <c r="C129" s="642" t="s">
        <v>1308</v>
      </c>
      <c r="D129" s="642" t="s">
        <v>2297</v>
      </c>
      <c r="E129" s="832"/>
      <c r="F129" s="830"/>
      <c r="G129" s="833">
        <f t="shared" si="3"/>
        <v>0</v>
      </c>
      <c r="H129" s="636"/>
      <c r="I129" s="639"/>
    </row>
    <row r="130" spans="1:9" s="51" customFormat="1" ht="12.75" customHeight="1" x14ac:dyDescent="0.25">
      <c r="B130" s="640" t="s">
        <v>669</v>
      </c>
      <c r="C130" s="642" t="s">
        <v>1309</v>
      </c>
      <c r="D130" s="642" t="s">
        <v>2298</v>
      </c>
      <c r="E130" s="832"/>
      <c r="F130" s="830"/>
      <c r="G130" s="833">
        <f t="shared" si="3"/>
        <v>0</v>
      </c>
      <c r="H130" s="636"/>
      <c r="I130" s="639"/>
    </row>
    <row r="131" spans="1:9" s="51" customFormat="1" ht="12.75" customHeight="1" x14ac:dyDescent="0.25">
      <c r="A131" s="51">
        <f t="shared" si="4"/>
        <v>193</v>
      </c>
      <c r="B131" s="631">
        <v>193</v>
      </c>
      <c r="C131" s="623" t="s">
        <v>111</v>
      </c>
      <c r="D131" s="623" t="s">
        <v>1661</v>
      </c>
      <c r="E131" s="829">
        <f>IFERROR(VLOOKUP(B131,'vstupne udaje'!$A$6:$K$236,11,FALSE),0)-SUM(E132:E133)</f>
        <v>0</v>
      </c>
      <c r="F131" s="824"/>
      <c r="G131" s="831">
        <f t="shared" si="3"/>
        <v>0</v>
      </c>
      <c r="H131" s="636">
        <f>IFERROR(VLOOKUP(B131,#REF!,11,FALSE),0)</f>
        <v>0</v>
      </c>
      <c r="I131" s="639"/>
    </row>
    <row r="132" spans="1:9" s="51" customFormat="1" ht="12.75" customHeight="1" x14ac:dyDescent="0.25">
      <c r="B132" s="640" t="s">
        <v>666</v>
      </c>
      <c r="C132" s="642" t="s">
        <v>1308</v>
      </c>
      <c r="D132" s="642" t="s">
        <v>2297</v>
      </c>
      <c r="E132" s="832"/>
      <c r="F132" s="824"/>
      <c r="G132" s="833">
        <f t="shared" si="3"/>
        <v>0</v>
      </c>
      <c r="H132" s="636"/>
      <c r="I132" s="639"/>
    </row>
    <row r="133" spans="1:9" s="51" customFormat="1" ht="12.75" customHeight="1" x14ac:dyDescent="0.25">
      <c r="B133" s="640" t="s">
        <v>667</v>
      </c>
      <c r="C133" s="642" t="s">
        <v>1310</v>
      </c>
      <c r="D133" s="642" t="s">
        <v>2299</v>
      </c>
      <c r="E133" s="832"/>
      <c r="F133" s="824"/>
      <c r="G133" s="833">
        <f t="shared" si="3"/>
        <v>0</v>
      </c>
      <c r="H133" s="636"/>
      <c r="I133" s="639"/>
    </row>
    <row r="134" spans="1:9" s="50" customFormat="1" ht="12.75" customHeight="1" x14ac:dyDescent="0.25">
      <c r="A134" s="51">
        <f t="shared" si="4"/>
        <v>194</v>
      </c>
      <c r="B134" s="631">
        <v>194</v>
      </c>
      <c r="C134" s="623" t="s">
        <v>112</v>
      </c>
      <c r="D134" s="623" t="s">
        <v>113</v>
      </c>
      <c r="E134" s="829">
        <f>IFERROR(VLOOKUP(B134,'vstupne udaje'!$A$6:$K$236,11,FALSE),0)</f>
        <v>0</v>
      </c>
      <c r="F134" s="824"/>
      <c r="G134" s="831">
        <f t="shared" si="3"/>
        <v>0</v>
      </c>
      <c r="H134" s="636">
        <f>IFERROR(VLOOKUP(B134,#REF!,11,FALSE),0)</f>
        <v>0</v>
      </c>
      <c r="I134" s="639"/>
    </row>
    <row r="135" spans="1:9" s="51" customFormat="1" ht="12.75" customHeight="1" x14ac:dyDescent="0.25">
      <c r="A135" s="51">
        <f t="shared" si="4"/>
        <v>195</v>
      </c>
      <c r="B135" s="631">
        <v>195</v>
      </c>
      <c r="C135" s="623" t="s">
        <v>1033</v>
      </c>
      <c r="D135" s="623" t="s">
        <v>2636</v>
      </c>
      <c r="E135" s="829">
        <f>IFERROR(VLOOKUP(B135,'vstupne udaje'!$A$6:$K$236,11,FALSE),0)</f>
        <v>0</v>
      </c>
      <c r="F135" s="824"/>
      <c r="G135" s="831">
        <f t="shared" si="3"/>
        <v>0</v>
      </c>
      <c r="H135" s="636">
        <f>IFERROR(VLOOKUP(B135,#REF!,11,FALSE),0)</f>
        <v>0</v>
      </c>
      <c r="I135" s="639"/>
    </row>
    <row r="136" spans="1:9" s="52" customFormat="1" ht="12.75" customHeight="1" x14ac:dyDescent="0.25">
      <c r="A136" s="51">
        <f t="shared" si="4"/>
        <v>196</v>
      </c>
      <c r="B136" s="631">
        <v>196</v>
      </c>
      <c r="C136" s="623" t="s">
        <v>2637</v>
      </c>
      <c r="D136" s="623" t="s">
        <v>2638</v>
      </c>
      <c r="E136" s="829">
        <f>IFERROR(VLOOKUP(B136,'vstupne udaje'!$A$6:$K$236,11,FALSE),0)</f>
        <v>0</v>
      </c>
      <c r="F136" s="824"/>
      <c r="G136" s="831">
        <f t="shared" si="3"/>
        <v>0</v>
      </c>
      <c r="H136" s="636">
        <f>IFERROR(VLOOKUP(B136,#REF!,11,FALSE),0)</f>
        <v>0</v>
      </c>
      <c r="I136" s="639"/>
    </row>
    <row r="137" spans="1:9" s="51" customFormat="1" ht="12.75" customHeight="1" x14ac:dyDescent="0.25">
      <c r="A137" s="51" t="e">
        <f t="shared" si="4"/>
        <v>#VALUE!</v>
      </c>
      <c r="B137" s="631" t="s">
        <v>3087</v>
      </c>
      <c r="C137" s="623"/>
      <c r="D137" s="623"/>
      <c r="E137" s="829"/>
      <c r="F137" s="830"/>
      <c r="G137" s="831"/>
      <c r="H137" s="636"/>
      <c r="I137" s="639"/>
    </row>
    <row r="138" spans="1:9" s="51" customFormat="1" ht="12.75" customHeight="1" x14ac:dyDescent="0.25">
      <c r="B138" s="652" t="s">
        <v>2639</v>
      </c>
      <c r="C138" s="653" t="s">
        <v>2640</v>
      </c>
      <c r="D138" s="653" t="s">
        <v>2641</v>
      </c>
      <c r="E138" s="826">
        <f>E140+E144+E150+E154+E158+E170+E173</f>
        <v>16.509999999999991</v>
      </c>
      <c r="F138" s="827">
        <f>F140+F144+F150+F154+F158+F170+F173</f>
        <v>0</v>
      </c>
      <c r="G138" s="828">
        <f t="shared" si="3"/>
        <v>16.509999999999991</v>
      </c>
      <c r="H138" s="674">
        <f>H140+H144+H150+H154+H158+H170+H173</f>
        <v>0</v>
      </c>
      <c r="I138" s="639"/>
    </row>
    <row r="139" spans="1:9" s="51" customFormat="1" ht="12.75" customHeight="1" x14ac:dyDescent="0.25">
      <c r="A139" s="51" t="e">
        <f t="shared" si="4"/>
        <v>#VALUE!</v>
      </c>
      <c r="B139" s="631" t="s">
        <v>3087</v>
      </c>
      <c r="C139" s="623"/>
      <c r="D139" s="623"/>
      <c r="E139" s="829"/>
      <c r="F139" s="824"/>
      <c r="G139" s="831"/>
      <c r="H139" s="636"/>
      <c r="I139" s="639"/>
    </row>
    <row r="140" spans="1:9" s="52" customFormat="1" ht="12.75" customHeight="1" x14ac:dyDescent="0.25">
      <c r="A140" s="51"/>
      <c r="B140" s="652" t="s">
        <v>2642</v>
      </c>
      <c r="C140" s="653" t="s">
        <v>2643</v>
      </c>
      <c r="D140" s="653" t="s">
        <v>2644</v>
      </c>
      <c r="E140" s="826">
        <f>SUM(E141:E142)</f>
        <v>16.509999999999991</v>
      </c>
      <c r="F140" s="827">
        <f>SUM(F141:F142)</f>
        <v>0</v>
      </c>
      <c r="G140" s="828">
        <f t="shared" ref="G140:G203" si="5">E140+F140</f>
        <v>16.509999999999991</v>
      </c>
      <c r="H140" s="674">
        <f>SUM(H141:H142)</f>
        <v>0</v>
      </c>
      <c r="I140" s="639"/>
    </row>
    <row r="141" spans="1:9" s="51" customFormat="1" ht="12.75" customHeight="1" x14ac:dyDescent="0.25">
      <c r="A141" s="51">
        <f t="shared" si="4"/>
        <v>211</v>
      </c>
      <c r="B141" s="631">
        <v>211</v>
      </c>
      <c r="C141" s="623" t="s">
        <v>2645</v>
      </c>
      <c r="D141" s="623" t="s">
        <v>2646</v>
      </c>
      <c r="E141" s="829">
        <f>IFERROR(VLOOKUP(B141,'vstupne udaje'!$A$6:$K$236,11,FALSE),0)</f>
        <v>16.509999999999991</v>
      </c>
      <c r="F141" s="824"/>
      <c r="G141" s="831">
        <f t="shared" si="5"/>
        <v>16.509999999999991</v>
      </c>
      <c r="H141" s="636">
        <f>IFERROR(VLOOKUP(B141,#REF!,11,FALSE),0)</f>
        <v>0</v>
      </c>
      <c r="I141" s="639"/>
    </row>
    <row r="142" spans="1:9" s="51" customFormat="1" ht="12.75" customHeight="1" x14ac:dyDescent="0.25">
      <c r="A142" s="51">
        <f t="shared" si="4"/>
        <v>213</v>
      </c>
      <c r="B142" s="631">
        <v>213</v>
      </c>
      <c r="C142" s="623" t="s">
        <v>2647</v>
      </c>
      <c r="D142" s="623" t="s">
        <v>2648</v>
      </c>
      <c r="E142" s="829">
        <f>IFERROR(VLOOKUP(B142,'vstupne udaje'!$A$6:$K$236,11,FALSE),0)</f>
        <v>0</v>
      </c>
      <c r="F142" s="834"/>
      <c r="G142" s="831">
        <f t="shared" si="5"/>
        <v>0</v>
      </c>
      <c r="H142" s="636">
        <f>IFERROR(VLOOKUP(B142,#REF!,11,FALSE),0)</f>
        <v>0</v>
      </c>
      <c r="I142" s="639"/>
    </row>
    <row r="143" spans="1:9" s="51" customFormat="1" ht="12.75" customHeight="1" x14ac:dyDescent="0.25">
      <c r="A143" s="51" t="e">
        <f t="shared" si="4"/>
        <v>#VALUE!</v>
      </c>
      <c r="B143" s="631" t="s">
        <v>3087</v>
      </c>
      <c r="C143" s="623"/>
      <c r="D143" s="623"/>
      <c r="E143" s="829"/>
      <c r="F143" s="834"/>
      <c r="G143" s="831"/>
      <c r="H143" s="636"/>
      <c r="I143" s="639"/>
    </row>
    <row r="144" spans="1:9" s="53" customFormat="1" ht="12.75" customHeight="1" x14ac:dyDescent="0.25">
      <c r="A144" s="51"/>
      <c r="B144" s="652" t="s">
        <v>2649</v>
      </c>
      <c r="C144" s="653" t="s">
        <v>1079</v>
      </c>
      <c r="D144" s="653" t="s">
        <v>1452</v>
      </c>
      <c r="E144" s="835">
        <f>SUM(E145:E148)</f>
        <v>0</v>
      </c>
      <c r="F144" s="836">
        <f>SUM(F145:F148)</f>
        <v>0</v>
      </c>
      <c r="G144" s="837">
        <f t="shared" si="5"/>
        <v>0</v>
      </c>
      <c r="H144" s="675">
        <f>SUM(H145:H148)</f>
        <v>0</v>
      </c>
      <c r="I144" s="639"/>
    </row>
    <row r="145" spans="1:9" s="51" customFormat="1" ht="12.75" customHeight="1" x14ac:dyDescent="0.25">
      <c r="A145" s="51">
        <f t="shared" si="4"/>
        <v>221</v>
      </c>
      <c r="B145" s="631">
        <v>221</v>
      </c>
      <c r="C145" s="623" t="s">
        <v>1079</v>
      </c>
      <c r="D145" s="623" t="s">
        <v>1080</v>
      </c>
      <c r="E145" s="829">
        <f>IFERROR(VLOOKUP(B145,'vstupne udaje'!$A$6:$K$236,11,FALSE),0)-SUM(E146:E148)</f>
        <v>0</v>
      </c>
      <c r="F145" s="824"/>
      <c r="G145" s="831">
        <f t="shared" si="5"/>
        <v>0</v>
      </c>
      <c r="H145" s="636"/>
      <c r="I145" s="639"/>
    </row>
    <row r="146" spans="1:9" s="52" customFormat="1" ht="12.75" customHeight="1" x14ac:dyDescent="0.25">
      <c r="A146" s="51"/>
      <c r="B146" s="640" t="s">
        <v>1081</v>
      </c>
      <c r="C146" s="642" t="s">
        <v>1311</v>
      </c>
      <c r="D146" s="642" t="s">
        <v>524</v>
      </c>
      <c r="E146" s="832"/>
      <c r="F146" s="824"/>
      <c r="G146" s="833">
        <f t="shared" si="5"/>
        <v>0</v>
      </c>
      <c r="H146" s="636"/>
      <c r="I146" s="639"/>
    </row>
    <row r="147" spans="1:9" s="52" customFormat="1" ht="12.75" customHeight="1" x14ac:dyDescent="0.25">
      <c r="A147" s="51"/>
      <c r="B147" s="640" t="s">
        <v>1082</v>
      </c>
      <c r="C147" s="642" t="s">
        <v>2841</v>
      </c>
      <c r="D147" s="642" t="s">
        <v>525</v>
      </c>
      <c r="E147" s="832"/>
      <c r="F147" s="824"/>
      <c r="G147" s="833">
        <f t="shared" si="5"/>
        <v>0</v>
      </c>
      <c r="H147" s="636"/>
      <c r="I147" s="639"/>
    </row>
    <row r="148" spans="1:9" s="52" customFormat="1" ht="12.75" customHeight="1" x14ac:dyDescent="0.25">
      <c r="A148" s="51"/>
      <c r="B148" s="640" t="s">
        <v>526</v>
      </c>
      <c r="C148" s="642" t="s">
        <v>1312</v>
      </c>
      <c r="D148" s="642" t="s">
        <v>1083</v>
      </c>
      <c r="E148" s="832"/>
      <c r="F148" s="824"/>
      <c r="G148" s="833">
        <f t="shared" si="5"/>
        <v>0</v>
      </c>
      <c r="H148" s="636"/>
      <c r="I148" s="639"/>
    </row>
    <row r="149" spans="1:9" s="51" customFormat="1" ht="12.75" customHeight="1" x14ac:dyDescent="0.25">
      <c r="A149" s="51" t="e">
        <f t="shared" si="4"/>
        <v>#VALUE!</v>
      </c>
      <c r="B149" s="631" t="s">
        <v>3087</v>
      </c>
      <c r="C149" s="623"/>
      <c r="D149" s="623"/>
      <c r="E149" s="829"/>
      <c r="F149" s="824"/>
      <c r="G149" s="831"/>
      <c r="H149" s="636"/>
      <c r="I149" s="639"/>
    </row>
    <row r="150" spans="1:9" s="52" customFormat="1" ht="12.75" customHeight="1" x14ac:dyDescent="0.25">
      <c r="A150" s="51"/>
      <c r="B150" s="652" t="s">
        <v>1084</v>
      </c>
      <c r="C150" s="653" t="s">
        <v>174</v>
      </c>
      <c r="D150" s="653" t="s">
        <v>175</v>
      </c>
      <c r="E150" s="835">
        <f>SUM(E151:E152)</f>
        <v>0</v>
      </c>
      <c r="F150" s="836">
        <f>SUM(F151:F152)</f>
        <v>0</v>
      </c>
      <c r="G150" s="837">
        <f t="shared" si="5"/>
        <v>0</v>
      </c>
      <c r="H150" s="675">
        <f>SUM(H151:H152)</f>
        <v>0</v>
      </c>
      <c r="I150" s="639"/>
    </row>
    <row r="151" spans="1:9" s="51" customFormat="1" ht="12.75" customHeight="1" x14ac:dyDescent="0.25">
      <c r="A151" s="51">
        <f t="shared" ref="A151:A221" si="6">VALUE(B151)</f>
        <v>231</v>
      </c>
      <c r="B151" s="631">
        <v>231</v>
      </c>
      <c r="C151" s="623" t="s">
        <v>176</v>
      </c>
      <c r="D151" s="623" t="s">
        <v>177</v>
      </c>
      <c r="E151" s="829">
        <f>IFERROR(VLOOKUP(B151,'vstupne udaje'!$A$6:$K$236,11,FALSE),0)</f>
        <v>0</v>
      </c>
      <c r="F151" s="830"/>
      <c r="G151" s="831">
        <f t="shared" si="5"/>
        <v>0</v>
      </c>
      <c r="H151" s="636">
        <f>IFERROR(VLOOKUP(B151,#REF!,11,FALSE),0)</f>
        <v>0</v>
      </c>
      <c r="I151" s="639"/>
    </row>
    <row r="152" spans="1:9" s="51" customFormat="1" ht="12.75" customHeight="1" x14ac:dyDescent="0.25">
      <c r="A152" s="51">
        <f t="shared" si="6"/>
        <v>232</v>
      </c>
      <c r="B152" s="631">
        <v>232</v>
      </c>
      <c r="C152" s="623" t="s">
        <v>1842</v>
      </c>
      <c r="D152" s="623" t="s">
        <v>1843</v>
      </c>
      <c r="E152" s="829">
        <f>IFERROR(VLOOKUP(B152,'vstupne udaje'!$A$6:$K$236,11,FALSE),0)</f>
        <v>0</v>
      </c>
      <c r="F152" s="830"/>
      <c r="G152" s="831">
        <f t="shared" si="5"/>
        <v>0</v>
      </c>
      <c r="H152" s="636">
        <f>IFERROR(VLOOKUP(B152,#REF!,11,FALSE),0)</f>
        <v>0</v>
      </c>
      <c r="I152" s="639"/>
    </row>
    <row r="153" spans="1:9" s="51" customFormat="1" ht="12.75" customHeight="1" x14ac:dyDescent="0.25">
      <c r="A153" s="51" t="e">
        <f t="shared" si="6"/>
        <v>#VALUE!</v>
      </c>
      <c r="B153" s="631" t="s">
        <v>3087</v>
      </c>
      <c r="C153" s="623"/>
      <c r="D153" s="623"/>
      <c r="E153" s="829"/>
      <c r="F153" s="824"/>
      <c r="G153" s="831"/>
      <c r="H153" s="636"/>
      <c r="I153" s="639"/>
    </row>
    <row r="154" spans="1:9" s="52" customFormat="1" ht="12.75" customHeight="1" x14ac:dyDescent="0.25">
      <c r="A154" s="51"/>
      <c r="B154" s="652" t="s">
        <v>1844</v>
      </c>
      <c r="C154" s="653" t="s">
        <v>1845</v>
      </c>
      <c r="D154" s="653" t="s">
        <v>1846</v>
      </c>
      <c r="E154" s="835">
        <f>SUM(E155:E156)</f>
        <v>0</v>
      </c>
      <c r="F154" s="836">
        <f>SUM(F155:F156)</f>
        <v>0</v>
      </c>
      <c r="G154" s="837">
        <f t="shared" si="5"/>
        <v>0</v>
      </c>
      <c r="H154" s="675">
        <f>SUM(H155:H156)</f>
        <v>0</v>
      </c>
      <c r="I154" s="639"/>
    </row>
    <row r="155" spans="1:9" s="51" customFormat="1" ht="12.75" customHeight="1" x14ac:dyDescent="0.25">
      <c r="A155" s="51">
        <f t="shared" si="6"/>
        <v>241</v>
      </c>
      <c r="B155" s="631">
        <v>241</v>
      </c>
      <c r="C155" s="623" t="s">
        <v>1847</v>
      </c>
      <c r="D155" s="623" t="s">
        <v>1662</v>
      </c>
      <c r="E155" s="829">
        <f>IFERROR(VLOOKUP(B155,'vstupne udaje'!$A$6:$K$236,11,FALSE),0)</f>
        <v>0</v>
      </c>
      <c r="F155" s="830"/>
      <c r="G155" s="831">
        <f t="shared" si="5"/>
        <v>0</v>
      </c>
      <c r="H155" s="636">
        <f>IFERROR(VLOOKUP(B155,#REF!,11,FALSE),0)</f>
        <v>0</v>
      </c>
      <c r="I155" s="639"/>
    </row>
    <row r="156" spans="1:9" s="51" customFormat="1" ht="12.75" customHeight="1" x14ac:dyDescent="0.25">
      <c r="A156" s="51">
        <f t="shared" si="6"/>
        <v>249</v>
      </c>
      <c r="B156" s="631">
        <v>249</v>
      </c>
      <c r="C156" s="623" t="s">
        <v>1848</v>
      </c>
      <c r="D156" s="623" t="s">
        <v>2339</v>
      </c>
      <c r="E156" s="829">
        <f>IFERROR(VLOOKUP(B156,'vstupne udaje'!$A$6:$K$236,11,FALSE),0)</f>
        <v>0</v>
      </c>
      <c r="F156" s="830"/>
      <c r="G156" s="831">
        <f t="shared" si="5"/>
        <v>0</v>
      </c>
      <c r="H156" s="636">
        <f>IFERROR(VLOOKUP(B156,#REF!,11,FALSE),0)</f>
        <v>0</v>
      </c>
      <c r="I156" s="639"/>
    </row>
    <row r="157" spans="1:9" s="51" customFormat="1" ht="12.75" customHeight="1" x14ac:dyDescent="0.25">
      <c r="A157" s="51" t="e">
        <f t="shared" si="6"/>
        <v>#VALUE!</v>
      </c>
      <c r="B157" s="631" t="s">
        <v>3087</v>
      </c>
      <c r="C157" s="623"/>
      <c r="D157" s="623"/>
      <c r="E157" s="829"/>
      <c r="F157" s="830"/>
      <c r="G157" s="831"/>
      <c r="H157" s="636"/>
      <c r="I157" s="639"/>
    </row>
    <row r="158" spans="1:9" s="51" customFormat="1" ht="12.75" customHeight="1" x14ac:dyDescent="0.25">
      <c r="B158" s="652" t="s">
        <v>2340</v>
      </c>
      <c r="C158" s="653" t="s">
        <v>2341</v>
      </c>
      <c r="D158" s="653" t="s">
        <v>205</v>
      </c>
      <c r="E158" s="835">
        <f>SUM(E159:E168)</f>
        <v>0</v>
      </c>
      <c r="F158" s="836">
        <f>SUM(F159:F168)</f>
        <v>0</v>
      </c>
      <c r="G158" s="837">
        <f t="shared" si="5"/>
        <v>0</v>
      </c>
      <c r="H158" s="675">
        <f>SUM(H159:H168)</f>
        <v>0</v>
      </c>
      <c r="I158" s="639"/>
    </row>
    <row r="159" spans="1:9" s="51" customFormat="1" ht="12.75" customHeight="1" x14ac:dyDescent="0.25">
      <c r="A159" s="51">
        <f t="shared" si="6"/>
        <v>251</v>
      </c>
      <c r="B159" s="631">
        <v>251</v>
      </c>
      <c r="C159" s="623" t="s">
        <v>206</v>
      </c>
      <c r="D159" s="623" t="s">
        <v>1663</v>
      </c>
      <c r="E159" s="829">
        <f>IFERROR(VLOOKUP(B159,'vstupne udaje'!$A$6:$K$236,11,FALSE),0)</f>
        <v>0</v>
      </c>
      <c r="F159" s="830"/>
      <c r="G159" s="831">
        <f t="shared" si="5"/>
        <v>0</v>
      </c>
      <c r="H159" s="636">
        <f>IFERROR(VLOOKUP(B159,#REF!,11,FALSE),0)</f>
        <v>0</v>
      </c>
      <c r="I159" s="639"/>
    </row>
    <row r="160" spans="1:9" s="51" customFormat="1" ht="12.75" customHeight="1" x14ac:dyDescent="0.25">
      <c r="A160" s="51">
        <f t="shared" si="6"/>
        <v>252</v>
      </c>
      <c r="B160" s="631">
        <v>252</v>
      </c>
      <c r="C160" s="623" t="s">
        <v>207</v>
      </c>
      <c r="D160" s="623" t="s">
        <v>1664</v>
      </c>
      <c r="E160" s="829">
        <f>IFERROR(VLOOKUP(B160,'vstupne udaje'!$A$6:$K$236,11,FALSE),0)</f>
        <v>0</v>
      </c>
      <c r="F160" s="830"/>
      <c r="G160" s="831">
        <f t="shared" si="5"/>
        <v>0</v>
      </c>
      <c r="H160" s="636">
        <f>IFERROR(VLOOKUP(B160,#REF!,11,FALSE),0)</f>
        <v>0</v>
      </c>
      <c r="I160" s="639"/>
    </row>
    <row r="161" spans="1:9" s="51" customFormat="1" ht="12.75" customHeight="1" x14ac:dyDescent="0.25">
      <c r="A161" s="51">
        <f t="shared" si="6"/>
        <v>253</v>
      </c>
      <c r="B161" s="631">
        <v>253</v>
      </c>
      <c r="C161" s="623" t="s">
        <v>775</v>
      </c>
      <c r="D161" s="623" t="s">
        <v>1665</v>
      </c>
      <c r="E161" s="829">
        <f>IFERROR(VLOOKUP(B161,'vstupne udaje'!$A$6:$K$236,11,FALSE),0)</f>
        <v>0</v>
      </c>
      <c r="F161" s="824"/>
      <c r="G161" s="831">
        <f t="shared" si="5"/>
        <v>0</v>
      </c>
      <c r="H161" s="636">
        <f>IFERROR(VLOOKUP(B161,#REF!,11,FALSE),0)</f>
        <v>0</v>
      </c>
      <c r="I161" s="639"/>
    </row>
    <row r="162" spans="1:9" s="51" customFormat="1" ht="12.75" customHeight="1" x14ac:dyDescent="0.25">
      <c r="A162" s="51">
        <f t="shared" si="6"/>
        <v>254</v>
      </c>
      <c r="B162" s="631">
        <v>254</v>
      </c>
      <c r="C162" s="623"/>
      <c r="D162" s="623" t="s">
        <v>541</v>
      </c>
      <c r="E162" s="829">
        <f>IFERROR(VLOOKUP(B162,'vstupne udaje'!$A$6:$K$236,11,FALSE),0)</f>
        <v>0</v>
      </c>
      <c r="F162" s="824"/>
      <c r="G162" s="831">
        <f t="shared" si="5"/>
        <v>0</v>
      </c>
      <c r="H162" s="636">
        <f>IFERROR(VLOOKUP(B162,#REF!,11,FALSE),0)</f>
        <v>0</v>
      </c>
      <c r="I162" s="639"/>
    </row>
    <row r="163" spans="1:9" s="52" customFormat="1" ht="12.75" customHeight="1" x14ac:dyDescent="0.25">
      <c r="A163" s="51">
        <f t="shared" si="6"/>
        <v>255</v>
      </c>
      <c r="B163" s="631">
        <v>255</v>
      </c>
      <c r="C163" s="623" t="s">
        <v>776</v>
      </c>
      <c r="D163" s="623" t="s">
        <v>777</v>
      </c>
      <c r="E163" s="829">
        <f>IFERROR(VLOOKUP(B163,'vstupne udaje'!$A$6:$K$236,11,FALSE),0)-SUM(E164:E165)</f>
        <v>0</v>
      </c>
      <c r="F163" s="824"/>
      <c r="G163" s="831">
        <f t="shared" si="5"/>
        <v>0</v>
      </c>
      <c r="H163" s="636">
        <f>IFERROR(VLOOKUP(B163,#REF!,11,FALSE),0)</f>
        <v>0</v>
      </c>
      <c r="I163" s="639"/>
    </row>
    <row r="164" spans="1:9" s="51" customFormat="1" ht="12.75" customHeight="1" x14ac:dyDescent="0.25">
      <c r="B164" s="640" t="s">
        <v>778</v>
      </c>
      <c r="C164" s="642" t="s">
        <v>1313</v>
      </c>
      <c r="D164" s="642" t="s">
        <v>1454</v>
      </c>
      <c r="E164" s="832"/>
      <c r="F164" s="824"/>
      <c r="G164" s="833">
        <f t="shared" si="5"/>
        <v>0</v>
      </c>
      <c r="H164" s="636"/>
      <c r="I164" s="639"/>
    </row>
    <row r="165" spans="1:9" s="51" customFormat="1" ht="12.75" customHeight="1" x14ac:dyDescent="0.25">
      <c r="B165" s="640" t="s">
        <v>2710</v>
      </c>
      <c r="C165" s="642" t="s">
        <v>1314</v>
      </c>
      <c r="D165" s="642" t="s">
        <v>1453</v>
      </c>
      <c r="E165" s="832"/>
      <c r="F165" s="830"/>
      <c r="G165" s="833">
        <f t="shared" si="5"/>
        <v>0</v>
      </c>
      <c r="H165" s="636"/>
      <c r="I165" s="639"/>
    </row>
    <row r="166" spans="1:9" s="52" customFormat="1" ht="12.75" customHeight="1" x14ac:dyDescent="0.25">
      <c r="A166" s="51">
        <f t="shared" si="6"/>
        <v>256</v>
      </c>
      <c r="B166" s="645">
        <v>256</v>
      </c>
      <c r="C166" s="623" t="s">
        <v>2462</v>
      </c>
      <c r="D166" s="623" t="s">
        <v>1666</v>
      </c>
      <c r="E166" s="829">
        <f>IFERROR(VLOOKUP(B166,'vstupne udaje'!$A$6:$K$236,11,FALSE),0)</f>
        <v>0</v>
      </c>
      <c r="F166" s="824"/>
      <c r="G166" s="831">
        <f t="shared" si="5"/>
        <v>0</v>
      </c>
      <c r="H166" s="636">
        <f>IFERROR(VLOOKUP(B166,#REF!,11,FALSE),0)</f>
        <v>0</v>
      </c>
      <c r="I166" s="639"/>
    </row>
    <row r="167" spans="1:9" s="51" customFormat="1" ht="12.75" customHeight="1" x14ac:dyDescent="0.25">
      <c r="A167" s="51">
        <f t="shared" si="6"/>
        <v>257</v>
      </c>
      <c r="B167" s="645">
        <v>257</v>
      </c>
      <c r="C167" s="644" t="s">
        <v>1315</v>
      </c>
      <c r="D167" s="644" t="s">
        <v>1667</v>
      </c>
      <c r="E167" s="829">
        <f>IFERROR(VLOOKUP(B167,'vstupne udaje'!$A$6:$K$236,11,FALSE),0)</f>
        <v>0</v>
      </c>
      <c r="F167" s="830"/>
      <c r="G167" s="831">
        <f t="shared" si="5"/>
        <v>0</v>
      </c>
      <c r="H167" s="636">
        <f>IFERROR(VLOOKUP(B167,#REF!,11,FALSE),0)</f>
        <v>0</v>
      </c>
      <c r="I167" s="639"/>
    </row>
    <row r="168" spans="1:9" s="51" customFormat="1" ht="12.75" customHeight="1" x14ac:dyDescent="0.25">
      <c r="A168" s="51">
        <f t="shared" si="6"/>
        <v>259</v>
      </c>
      <c r="B168" s="645">
        <v>259</v>
      </c>
      <c r="C168" s="623" t="s">
        <v>749</v>
      </c>
      <c r="D168" s="644" t="s">
        <v>2055</v>
      </c>
      <c r="E168" s="829">
        <f>IFERROR(VLOOKUP(B168,'vstupne udaje'!$A$6:$K$236,11,FALSE),0)</f>
        <v>0</v>
      </c>
      <c r="F168" s="830"/>
      <c r="G168" s="831">
        <f t="shared" si="5"/>
        <v>0</v>
      </c>
      <c r="H168" s="636">
        <f>IFERROR(VLOOKUP(B168,#REF!,11,FALSE),0)</f>
        <v>0</v>
      </c>
      <c r="I168" s="639"/>
    </row>
    <row r="169" spans="1:9" s="51" customFormat="1" ht="12.75" customHeight="1" x14ac:dyDescent="0.25">
      <c r="A169" s="51" t="e">
        <f t="shared" si="6"/>
        <v>#VALUE!</v>
      </c>
      <c r="B169" s="631" t="s">
        <v>3087</v>
      </c>
      <c r="C169" s="623"/>
      <c r="D169" s="623"/>
      <c r="E169" s="829"/>
      <c r="F169" s="824"/>
      <c r="G169" s="831"/>
      <c r="H169" s="636"/>
      <c r="I169" s="639"/>
    </row>
    <row r="170" spans="1:9" s="50" customFormat="1" ht="12.75" customHeight="1" x14ac:dyDescent="0.25">
      <c r="A170" s="51"/>
      <c r="B170" s="652" t="s">
        <v>2711</v>
      </c>
      <c r="C170" s="653" t="s">
        <v>2712</v>
      </c>
      <c r="D170" s="653" t="s">
        <v>2713</v>
      </c>
      <c r="E170" s="835">
        <f>SUM(E171)</f>
        <v>0</v>
      </c>
      <c r="F170" s="836">
        <f>SUM(F171)</f>
        <v>0</v>
      </c>
      <c r="G170" s="837">
        <f t="shared" si="5"/>
        <v>0</v>
      </c>
      <c r="H170" s="675">
        <f>SUM(H171)</f>
        <v>0</v>
      </c>
      <c r="I170" s="639"/>
    </row>
    <row r="171" spans="1:9" s="51" customFormat="1" ht="12.75" customHeight="1" x14ac:dyDescent="0.25">
      <c r="A171" s="51">
        <f t="shared" si="6"/>
        <v>261</v>
      </c>
      <c r="B171" s="631">
        <v>261</v>
      </c>
      <c r="C171" s="623" t="s">
        <v>1254</v>
      </c>
      <c r="D171" s="623" t="s">
        <v>1255</v>
      </c>
      <c r="E171" s="829">
        <f>IFERROR(VLOOKUP(B171,'vstupne udaje'!$A$6:$K$236,11,FALSE),0)</f>
        <v>0</v>
      </c>
      <c r="F171" s="824"/>
      <c r="G171" s="831">
        <f t="shared" si="5"/>
        <v>0</v>
      </c>
      <c r="H171" s="636"/>
      <c r="I171" s="639"/>
    </row>
    <row r="172" spans="1:9" s="52" customFormat="1" ht="12.75" customHeight="1" x14ac:dyDescent="0.25">
      <c r="A172" s="51" t="e">
        <f t="shared" si="6"/>
        <v>#VALUE!</v>
      </c>
      <c r="B172" s="631" t="s">
        <v>3087</v>
      </c>
      <c r="C172" s="623"/>
      <c r="D172" s="623"/>
      <c r="E172" s="829"/>
      <c r="F172" s="824"/>
      <c r="G172" s="831"/>
      <c r="H172" s="636"/>
      <c r="I172" s="639"/>
    </row>
    <row r="173" spans="1:9" s="51" customFormat="1" ht="12.75" customHeight="1" x14ac:dyDescent="0.25">
      <c r="B173" s="652" t="s">
        <v>1256</v>
      </c>
      <c r="C173" s="653" t="s">
        <v>1257</v>
      </c>
      <c r="D173" s="653" t="s">
        <v>1258</v>
      </c>
      <c r="E173" s="835">
        <f>SUM(E174:E176)</f>
        <v>0</v>
      </c>
      <c r="F173" s="836">
        <f>SUM(F174:F176)</f>
        <v>0</v>
      </c>
      <c r="G173" s="837">
        <f t="shared" si="5"/>
        <v>0</v>
      </c>
      <c r="H173" s="675">
        <f>SUM(H174:H176)</f>
        <v>0</v>
      </c>
      <c r="I173" s="639"/>
    </row>
    <row r="174" spans="1:9" s="51" customFormat="1" ht="12.75" customHeight="1" x14ac:dyDescent="0.25">
      <c r="A174" s="51">
        <f t="shared" si="6"/>
        <v>291</v>
      </c>
      <c r="B174" s="631">
        <v>291</v>
      </c>
      <c r="C174" s="623" t="s">
        <v>1259</v>
      </c>
      <c r="D174" s="623" t="s">
        <v>1258</v>
      </c>
      <c r="E174" s="829">
        <f>IFERROR(VLOOKUP(B174,'vstupne udaje'!$A$6:$K$236,11,FALSE),0)-SUM(E175:E176)</f>
        <v>0</v>
      </c>
      <c r="F174" s="824"/>
      <c r="G174" s="831">
        <f t="shared" si="5"/>
        <v>0</v>
      </c>
      <c r="H174" s="636">
        <f>IFERROR(VLOOKUP(B174,#REF!,11,FALSE),0)</f>
        <v>0</v>
      </c>
      <c r="I174" s="639"/>
    </row>
    <row r="175" spans="1:9" s="51" customFormat="1" ht="12.75" customHeight="1" x14ac:dyDescent="0.25">
      <c r="B175" s="640" t="s">
        <v>528</v>
      </c>
      <c r="C175" s="642" t="s">
        <v>2463</v>
      </c>
      <c r="D175" s="642" t="s">
        <v>527</v>
      </c>
      <c r="E175" s="832"/>
      <c r="F175" s="830"/>
      <c r="G175" s="833">
        <f t="shared" si="5"/>
        <v>0</v>
      </c>
      <c r="H175" s="636"/>
      <c r="I175" s="639"/>
    </row>
    <row r="176" spans="1:9" s="51" customFormat="1" ht="12.75" customHeight="1" x14ac:dyDescent="0.25">
      <c r="B176" s="640" t="s">
        <v>529</v>
      </c>
      <c r="C176" s="642" t="s">
        <v>2464</v>
      </c>
      <c r="D176" s="642" t="s">
        <v>2465</v>
      </c>
      <c r="E176" s="832"/>
      <c r="F176" s="830"/>
      <c r="G176" s="833">
        <f t="shared" si="5"/>
        <v>0</v>
      </c>
      <c r="H176" s="636"/>
      <c r="I176" s="639"/>
    </row>
    <row r="177" spans="1:9" s="51" customFormat="1" ht="12.75" customHeight="1" x14ac:dyDescent="0.25">
      <c r="A177" s="51" t="e">
        <f t="shared" si="6"/>
        <v>#VALUE!</v>
      </c>
      <c r="B177" s="631" t="s">
        <v>3087</v>
      </c>
      <c r="C177" s="623"/>
      <c r="D177" s="623"/>
      <c r="E177" s="829"/>
      <c r="F177" s="824"/>
      <c r="G177" s="831"/>
      <c r="H177" s="636"/>
      <c r="I177" s="639"/>
    </row>
    <row r="178" spans="1:9" s="51" customFormat="1" ht="12.75" customHeight="1" x14ac:dyDescent="0.25">
      <c r="B178" s="652" t="s">
        <v>1260</v>
      </c>
      <c r="C178" s="653" t="s">
        <v>2176</v>
      </c>
      <c r="D178" s="653" t="s">
        <v>2177</v>
      </c>
      <c r="E178" s="835">
        <f>E180+E205+E215+E225+E245+E262+E272+E305+E322</f>
        <v>443.52999999999975</v>
      </c>
      <c r="F178" s="836">
        <f>F180+F205+F215+F225+F245+F262+F272+F305+F322</f>
        <v>0</v>
      </c>
      <c r="G178" s="837">
        <f t="shared" si="5"/>
        <v>443.52999999999975</v>
      </c>
      <c r="H178" s="675">
        <f>H180+H205+H215+H225+H245+H262+H272+H305+H322</f>
        <v>0</v>
      </c>
      <c r="I178" s="639"/>
    </row>
    <row r="179" spans="1:9" s="51" customFormat="1" ht="12.75" customHeight="1" x14ac:dyDescent="0.25">
      <c r="A179" s="51" t="e">
        <f t="shared" si="6"/>
        <v>#VALUE!</v>
      </c>
      <c r="B179" s="631" t="s">
        <v>3087</v>
      </c>
      <c r="C179" s="623"/>
      <c r="D179" s="623"/>
      <c r="E179" s="829"/>
      <c r="F179" s="830"/>
      <c r="G179" s="831"/>
      <c r="H179" s="636"/>
      <c r="I179" s="639"/>
    </row>
    <row r="180" spans="1:9" s="51" customFormat="1" ht="12.75" customHeight="1" x14ac:dyDescent="0.25">
      <c r="B180" s="652" t="s">
        <v>767</v>
      </c>
      <c r="C180" s="653" t="s">
        <v>768</v>
      </c>
      <c r="D180" s="653" t="s">
        <v>769</v>
      </c>
      <c r="E180" s="835">
        <f>SUM(E181:E203)</f>
        <v>8541</v>
      </c>
      <c r="F180" s="836">
        <f>SUM(F182:F203)</f>
        <v>0</v>
      </c>
      <c r="G180" s="837">
        <f t="shared" si="5"/>
        <v>8541</v>
      </c>
      <c r="H180" s="675">
        <f>SUM(H181:H203)</f>
        <v>0</v>
      </c>
      <c r="I180" s="639"/>
    </row>
    <row r="181" spans="1:9" s="51" customFormat="1" ht="12.75" customHeight="1" x14ac:dyDescent="0.25">
      <c r="A181" s="51">
        <f t="shared" si="6"/>
        <v>311</v>
      </c>
      <c r="B181" s="631">
        <v>311</v>
      </c>
      <c r="C181" s="623" t="s">
        <v>770</v>
      </c>
      <c r="D181" s="623" t="s">
        <v>771</v>
      </c>
      <c r="E181" s="829">
        <f>IFERROR(VLOOKUP(B181,'vstupne udaje'!$A$6:$K$236,11,FALSE),0)-SUM(E182:E183)</f>
        <v>0</v>
      </c>
      <c r="F181" s="824"/>
      <c r="G181" s="831">
        <f t="shared" si="5"/>
        <v>0</v>
      </c>
      <c r="H181" s="636"/>
      <c r="I181" s="639"/>
    </row>
    <row r="182" spans="1:9" s="51" customFormat="1" ht="12.75" customHeight="1" x14ac:dyDescent="0.25">
      <c r="B182" s="640" t="s">
        <v>772</v>
      </c>
      <c r="C182" s="642" t="s">
        <v>750</v>
      </c>
      <c r="D182" s="642" t="s">
        <v>671</v>
      </c>
      <c r="E182" s="832">
        <v>8541</v>
      </c>
      <c r="F182" s="830"/>
      <c r="G182" s="833">
        <f t="shared" si="5"/>
        <v>8541</v>
      </c>
      <c r="H182" s="636"/>
      <c r="I182" s="639"/>
    </row>
    <row r="183" spans="1:9" s="51" customFormat="1" ht="12.75" customHeight="1" x14ac:dyDescent="0.25">
      <c r="B183" s="640" t="s">
        <v>963</v>
      </c>
      <c r="C183" s="642" t="s">
        <v>751</v>
      </c>
      <c r="D183" s="642" t="s">
        <v>672</v>
      </c>
      <c r="E183" s="832"/>
      <c r="F183" s="824"/>
      <c r="G183" s="833">
        <f t="shared" si="5"/>
        <v>0</v>
      </c>
      <c r="H183" s="636"/>
      <c r="I183" s="671"/>
    </row>
    <row r="184" spans="1:9" s="51" customFormat="1" ht="12.75" customHeight="1" x14ac:dyDescent="0.25">
      <c r="A184" s="51">
        <f t="shared" si="6"/>
        <v>312</v>
      </c>
      <c r="B184" s="631">
        <v>312</v>
      </c>
      <c r="C184" s="623" t="s">
        <v>964</v>
      </c>
      <c r="D184" s="623" t="s">
        <v>965</v>
      </c>
      <c r="E184" s="829">
        <f>IFERROR(VLOOKUP(B184,'vstupne udaje'!$A$6:$K$236,11,FALSE),0)-SUM(E185:E186)</f>
        <v>0</v>
      </c>
      <c r="F184" s="824"/>
      <c r="G184" s="831">
        <f t="shared" si="5"/>
        <v>0</v>
      </c>
      <c r="H184" s="636">
        <f>IFERROR(VLOOKUP(B184,#REF!,11,FALSE),0)</f>
        <v>0</v>
      </c>
      <c r="I184" s="639"/>
    </row>
    <row r="185" spans="1:9" s="51" customFormat="1" ht="12.75" customHeight="1" x14ac:dyDescent="0.25">
      <c r="B185" s="640" t="s">
        <v>966</v>
      </c>
      <c r="C185" s="642" t="s">
        <v>752</v>
      </c>
      <c r="D185" s="642" t="s">
        <v>670</v>
      </c>
      <c r="E185" s="832"/>
      <c r="F185" s="830"/>
      <c r="G185" s="833">
        <f t="shared" si="5"/>
        <v>0</v>
      </c>
      <c r="H185" s="636"/>
      <c r="I185" s="639"/>
    </row>
    <row r="186" spans="1:9" s="51" customFormat="1" ht="12.75" customHeight="1" x14ac:dyDescent="0.25">
      <c r="B186" s="640" t="s">
        <v>967</v>
      </c>
      <c r="C186" s="642" t="s">
        <v>753</v>
      </c>
      <c r="D186" s="642" t="s">
        <v>2087</v>
      </c>
      <c r="E186" s="832"/>
      <c r="F186" s="830"/>
      <c r="G186" s="833">
        <f t="shared" si="5"/>
        <v>0</v>
      </c>
      <c r="H186" s="636"/>
      <c r="I186" s="639"/>
    </row>
    <row r="187" spans="1:9" s="51" customFormat="1" ht="12.75" customHeight="1" x14ac:dyDescent="0.25">
      <c r="A187" s="51">
        <f t="shared" si="6"/>
        <v>313</v>
      </c>
      <c r="B187" s="631">
        <v>313</v>
      </c>
      <c r="C187" s="623" t="s">
        <v>968</v>
      </c>
      <c r="D187" s="623" t="s">
        <v>1668</v>
      </c>
      <c r="E187" s="829">
        <f>IFERROR(VLOOKUP(B187,'vstupne udaje'!$A$6:$K$236,11,FALSE),0)-SUM(E188:E189)</f>
        <v>0</v>
      </c>
      <c r="F187" s="824"/>
      <c r="G187" s="831">
        <f t="shared" si="5"/>
        <v>0</v>
      </c>
      <c r="H187" s="636">
        <f>IFERROR(VLOOKUP(B187,#REF!,11,FALSE),0)</f>
        <v>0</v>
      </c>
      <c r="I187" s="639"/>
    </row>
    <row r="188" spans="1:9" s="51" customFormat="1" ht="12.75" customHeight="1" x14ac:dyDescent="0.25">
      <c r="B188" s="640" t="s">
        <v>969</v>
      </c>
      <c r="C188" s="642" t="s">
        <v>754</v>
      </c>
      <c r="D188" s="642" t="s">
        <v>2310</v>
      </c>
      <c r="E188" s="832"/>
      <c r="F188" s="830"/>
      <c r="G188" s="833">
        <f t="shared" si="5"/>
        <v>0</v>
      </c>
      <c r="H188" s="636"/>
      <c r="I188" s="639"/>
    </row>
    <row r="189" spans="1:9" s="51" customFormat="1" ht="12.75" customHeight="1" x14ac:dyDescent="0.25">
      <c r="B189" s="640" t="s">
        <v>970</v>
      </c>
      <c r="C189" s="642" t="s">
        <v>755</v>
      </c>
      <c r="D189" s="642" t="s">
        <v>2311</v>
      </c>
      <c r="E189" s="832"/>
      <c r="F189" s="830"/>
      <c r="G189" s="833">
        <f t="shared" si="5"/>
        <v>0</v>
      </c>
      <c r="H189" s="636"/>
      <c r="I189" s="639"/>
    </row>
    <row r="190" spans="1:9" s="51" customFormat="1" ht="12.75" customHeight="1" x14ac:dyDescent="0.25">
      <c r="A190" s="51">
        <f t="shared" si="6"/>
        <v>314</v>
      </c>
      <c r="B190" s="631">
        <v>314</v>
      </c>
      <c r="C190" s="623" t="s">
        <v>971</v>
      </c>
      <c r="D190" s="623" t="s">
        <v>1669</v>
      </c>
      <c r="E190" s="829">
        <f>IFERROR(VLOOKUP(B190,'vstupne udaje'!$A$6:$K$236,11,FALSE),0)-SUM(E191:E195)</f>
        <v>0</v>
      </c>
      <c r="F190" s="824"/>
      <c r="G190" s="831">
        <f t="shared" si="5"/>
        <v>0</v>
      </c>
      <c r="H190" s="636">
        <f>IFERROR(VLOOKUP(B190,#REF!,11,FALSE),0)-SUM(H191:H195)</f>
        <v>0</v>
      </c>
      <c r="I190" s="639"/>
    </row>
    <row r="191" spans="1:9" s="52" customFormat="1" ht="12.75" customHeight="1" x14ac:dyDescent="0.25">
      <c r="A191" s="51"/>
      <c r="B191" s="640" t="s">
        <v>972</v>
      </c>
      <c r="C191" s="642" t="s">
        <v>973</v>
      </c>
      <c r="D191" s="642" t="s">
        <v>974</v>
      </c>
      <c r="E191" s="832"/>
      <c r="F191" s="824"/>
      <c r="G191" s="833">
        <f t="shared" si="5"/>
        <v>0</v>
      </c>
      <c r="H191" s="636"/>
      <c r="I191" s="639"/>
    </row>
    <row r="192" spans="1:9" s="51" customFormat="1" ht="12.75" customHeight="1" x14ac:dyDescent="0.25">
      <c r="B192" s="640" t="s">
        <v>975</v>
      </c>
      <c r="C192" s="642" t="s">
        <v>756</v>
      </c>
      <c r="D192" s="642" t="s">
        <v>2312</v>
      </c>
      <c r="E192" s="832"/>
      <c r="F192" s="830"/>
      <c r="G192" s="833">
        <f t="shared" si="5"/>
        <v>0</v>
      </c>
      <c r="H192" s="636"/>
      <c r="I192" s="639"/>
    </row>
    <row r="193" spans="1:9" s="51" customFormat="1" ht="12.75" customHeight="1" x14ac:dyDescent="0.25">
      <c r="B193" s="640" t="s">
        <v>1686</v>
      </c>
      <c r="C193" s="642" t="s">
        <v>757</v>
      </c>
      <c r="D193" s="642" t="s">
        <v>1934</v>
      </c>
      <c r="E193" s="832"/>
      <c r="F193" s="830"/>
      <c r="G193" s="833">
        <f t="shared" si="5"/>
        <v>0</v>
      </c>
      <c r="H193" s="636"/>
      <c r="I193" s="639"/>
    </row>
    <row r="194" spans="1:9" s="51" customFormat="1" ht="12.75" customHeight="1" x14ac:dyDescent="0.25">
      <c r="B194" s="640" t="s">
        <v>1686</v>
      </c>
      <c r="C194" s="642" t="s">
        <v>2354</v>
      </c>
      <c r="D194" s="642" t="s">
        <v>1585</v>
      </c>
      <c r="E194" s="832"/>
      <c r="F194" s="830"/>
      <c r="G194" s="833">
        <f t="shared" si="5"/>
        <v>0</v>
      </c>
      <c r="H194" s="636"/>
      <c r="I194" s="639"/>
    </row>
    <row r="195" spans="1:9" s="51" customFormat="1" ht="12.75" customHeight="1" x14ac:dyDescent="0.25">
      <c r="B195" s="640" t="s">
        <v>1686</v>
      </c>
      <c r="C195" s="642" t="s">
        <v>2355</v>
      </c>
      <c r="D195" s="642" t="s">
        <v>1584</v>
      </c>
      <c r="E195" s="832"/>
      <c r="F195" s="830"/>
      <c r="G195" s="833">
        <f t="shared" si="5"/>
        <v>0</v>
      </c>
      <c r="H195" s="636"/>
      <c r="I195" s="639"/>
    </row>
    <row r="196" spans="1:9" s="51" customFormat="1" ht="12.75" customHeight="1" x14ac:dyDescent="0.25">
      <c r="A196" s="51">
        <f t="shared" si="6"/>
        <v>315</v>
      </c>
      <c r="B196" s="631">
        <v>315</v>
      </c>
      <c r="C196" s="623" t="s">
        <v>569</v>
      </c>
      <c r="D196" s="623" t="s">
        <v>2403</v>
      </c>
      <c r="E196" s="829">
        <f>IFERROR(VLOOKUP(B196,'vstupne udaje'!$A$6:$K$236,11,FALSE),0)-SUM(E197:E198)</f>
        <v>0</v>
      </c>
      <c r="F196" s="824"/>
      <c r="G196" s="831">
        <f t="shared" si="5"/>
        <v>0</v>
      </c>
      <c r="H196" s="636"/>
      <c r="I196" s="639"/>
    </row>
    <row r="197" spans="1:9" s="51" customFormat="1" ht="12.75" customHeight="1" x14ac:dyDescent="0.25">
      <c r="B197" s="640" t="s">
        <v>2404</v>
      </c>
      <c r="C197" s="642" t="s">
        <v>758</v>
      </c>
      <c r="D197" s="642" t="s">
        <v>1935</v>
      </c>
      <c r="E197" s="832"/>
      <c r="F197" s="830"/>
      <c r="G197" s="833">
        <f t="shared" si="5"/>
        <v>0</v>
      </c>
      <c r="H197" s="636"/>
      <c r="I197" s="639"/>
    </row>
    <row r="198" spans="1:9" s="51" customFormat="1" ht="12.75" customHeight="1" x14ac:dyDescent="0.25">
      <c r="B198" s="640" t="s">
        <v>2405</v>
      </c>
      <c r="C198" s="642" t="s">
        <v>759</v>
      </c>
      <c r="D198" s="642" t="s">
        <v>1936</v>
      </c>
      <c r="E198" s="832"/>
      <c r="F198" s="830"/>
      <c r="G198" s="833">
        <f t="shared" si="5"/>
        <v>0</v>
      </c>
      <c r="H198" s="636"/>
      <c r="I198" s="639"/>
    </row>
    <row r="199" spans="1:9" s="51" customFormat="1" ht="12.75" customHeight="1" x14ac:dyDescent="0.25">
      <c r="B199" s="631">
        <v>316</v>
      </c>
      <c r="C199" s="623" t="s">
        <v>2819</v>
      </c>
      <c r="D199" s="623" t="s">
        <v>2820</v>
      </c>
      <c r="E199" s="829">
        <f>IFERROR(VLOOKUP(B199,'vstupne udaje'!$A$6:$K$236,11,FALSE),0)-SUM(E200:E203)</f>
        <v>0</v>
      </c>
      <c r="F199" s="824"/>
      <c r="G199" s="831">
        <f t="shared" si="5"/>
        <v>0</v>
      </c>
      <c r="H199" s="636">
        <f>IFERROR(VLOOKUP(B199,#REF!,11,FALSE),0)</f>
        <v>0</v>
      </c>
      <c r="I199" s="639"/>
    </row>
    <row r="200" spans="1:9" s="51" customFormat="1" ht="12.75" customHeight="1" x14ac:dyDescent="0.25">
      <c r="B200" s="640" t="s">
        <v>2821</v>
      </c>
      <c r="C200" s="642" t="s">
        <v>655</v>
      </c>
      <c r="D200" s="642" t="s">
        <v>656</v>
      </c>
      <c r="E200" s="832"/>
      <c r="F200" s="830"/>
      <c r="G200" s="833">
        <f t="shared" si="5"/>
        <v>0</v>
      </c>
      <c r="H200" s="636"/>
      <c r="I200" s="639"/>
    </row>
    <row r="201" spans="1:9" s="51" customFormat="1" ht="12.75" customHeight="1" x14ac:dyDescent="0.25">
      <c r="B201" s="640" t="s">
        <v>2822</v>
      </c>
      <c r="C201" s="642" t="s">
        <v>654</v>
      </c>
      <c r="D201" s="642" t="s">
        <v>657</v>
      </c>
      <c r="E201" s="832"/>
      <c r="F201" s="830"/>
      <c r="G201" s="833">
        <f t="shared" si="5"/>
        <v>0</v>
      </c>
      <c r="H201" s="636"/>
      <c r="I201" s="639"/>
    </row>
    <row r="202" spans="1:9" s="51" customFormat="1" ht="12.75" customHeight="1" x14ac:dyDescent="0.25">
      <c r="B202" s="640" t="s">
        <v>644</v>
      </c>
      <c r="C202" s="642" t="s">
        <v>645</v>
      </c>
      <c r="D202" s="642" t="s">
        <v>647</v>
      </c>
      <c r="E202" s="832"/>
      <c r="F202" s="830"/>
      <c r="G202" s="833">
        <f t="shared" si="5"/>
        <v>0</v>
      </c>
      <c r="H202" s="636"/>
      <c r="I202" s="639"/>
    </row>
    <row r="203" spans="1:9" s="51" customFormat="1" ht="12.75" customHeight="1" x14ac:dyDescent="0.25">
      <c r="B203" s="640" t="s">
        <v>653</v>
      </c>
      <c r="C203" s="642" t="s">
        <v>646</v>
      </c>
      <c r="D203" s="642" t="s">
        <v>648</v>
      </c>
      <c r="E203" s="832"/>
      <c r="F203" s="830"/>
      <c r="G203" s="833">
        <f t="shared" si="5"/>
        <v>0</v>
      </c>
      <c r="H203" s="636"/>
      <c r="I203" s="639"/>
    </row>
    <row r="204" spans="1:9" s="51" customFormat="1" ht="12.75" customHeight="1" x14ac:dyDescent="0.25">
      <c r="A204" s="51" t="e">
        <f t="shared" si="6"/>
        <v>#VALUE!</v>
      </c>
      <c r="B204" s="631" t="s">
        <v>3087</v>
      </c>
      <c r="C204" s="623"/>
      <c r="D204" s="623"/>
      <c r="E204" s="829"/>
      <c r="F204" s="830"/>
      <c r="G204" s="831"/>
      <c r="H204" s="636"/>
      <c r="I204" s="639"/>
    </row>
    <row r="205" spans="1:9" s="51" customFormat="1" ht="12.75" customHeight="1" x14ac:dyDescent="0.25">
      <c r="B205" s="652" t="s">
        <v>2406</v>
      </c>
      <c r="C205" s="653" t="s">
        <v>2407</v>
      </c>
      <c r="D205" s="653" t="s">
        <v>2408</v>
      </c>
      <c r="E205" s="835">
        <f>SUM(E206:E213)</f>
        <v>-29.839999999999918</v>
      </c>
      <c r="F205" s="836">
        <f>SUM(F206:F213)</f>
        <v>0</v>
      </c>
      <c r="G205" s="837">
        <f t="shared" ref="G205:G267" si="7">E205+F205</f>
        <v>-29.839999999999918</v>
      </c>
      <c r="H205" s="675">
        <f>SUM(H206:H213)</f>
        <v>0</v>
      </c>
      <c r="I205" s="639"/>
    </row>
    <row r="206" spans="1:9" s="52" customFormat="1" ht="12.75" customHeight="1" x14ac:dyDescent="0.25">
      <c r="A206" s="51">
        <f t="shared" si="6"/>
        <v>321</v>
      </c>
      <c r="B206" s="631">
        <v>321</v>
      </c>
      <c r="C206" s="623" t="s">
        <v>2409</v>
      </c>
      <c r="D206" s="623" t="s">
        <v>2410</v>
      </c>
      <c r="E206" s="829">
        <f>IFERROR(VLOOKUP(B206,'vstupne udaje'!$A$6:$K$236,11,FALSE),0)</f>
        <v>-29.839999999999918</v>
      </c>
      <c r="F206" s="824"/>
      <c r="G206" s="831">
        <f t="shared" si="7"/>
        <v>-29.839999999999918</v>
      </c>
      <c r="H206" s="636">
        <f>IFERROR(VLOOKUP(B206,#REF!,11,FALSE),0)</f>
        <v>0</v>
      </c>
      <c r="I206" s="639"/>
    </row>
    <row r="207" spans="1:9" s="51" customFormat="1" ht="12.75" customHeight="1" x14ac:dyDescent="0.25">
      <c r="A207" s="51">
        <f t="shared" si="6"/>
        <v>322</v>
      </c>
      <c r="B207" s="631">
        <v>322</v>
      </c>
      <c r="C207" s="623" t="s">
        <v>319</v>
      </c>
      <c r="D207" s="623" t="s">
        <v>320</v>
      </c>
      <c r="E207" s="829">
        <f>IFERROR(VLOOKUP(B207,'vstupne udaje'!$A$6:$K$236,11,FALSE),0)</f>
        <v>0</v>
      </c>
      <c r="F207" s="830"/>
      <c r="G207" s="831">
        <f t="shared" si="7"/>
        <v>0</v>
      </c>
      <c r="H207" s="636">
        <f>IFERROR(VLOOKUP(B207,#REF!,11,FALSE),0)</f>
        <v>0</v>
      </c>
      <c r="I207" s="639"/>
    </row>
    <row r="208" spans="1:9" s="51" customFormat="1" ht="12.75" customHeight="1" x14ac:dyDescent="0.25">
      <c r="A208" s="51">
        <f t="shared" si="6"/>
        <v>323</v>
      </c>
      <c r="B208" s="631">
        <v>323</v>
      </c>
      <c r="C208" s="623" t="s">
        <v>1670</v>
      </c>
      <c r="D208" s="623" t="s">
        <v>1671</v>
      </c>
      <c r="E208" s="829">
        <f>IFERROR(VLOOKUP(B208,'vstupne udaje'!$A$6:$K$236,11,FALSE),0)-SUM(E209:E210)</f>
        <v>0</v>
      </c>
      <c r="F208" s="830"/>
      <c r="G208" s="831">
        <f t="shared" si="7"/>
        <v>0</v>
      </c>
      <c r="H208" s="636"/>
      <c r="I208" s="639"/>
    </row>
    <row r="209" spans="1:10" s="51" customFormat="1" ht="12.75" customHeight="1" x14ac:dyDescent="0.25">
      <c r="B209" s="640" t="s">
        <v>2857</v>
      </c>
      <c r="C209" s="623" t="s">
        <v>1670</v>
      </c>
      <c r="D209" s="642" t="s">
        <v>2792</v>
      </c>
      <c r="E209" s="832"/>
      <c r="F209" s="830"/>
      <c r="G209" s="833">
        <f t="shared" si="7"/>
        <v>0</v>
      </c>
      <c r="H209" s="636"/>
      <c r="I209" s="639"/>
      <c r="J209" s="559"/>
    </row>
    <row r="210" spans="1:10" s="51" customFormat="1" ht="12.75" customHeight="1" x14ac:dyDescent="0.25">
      <c r="B210" s="640" t="s">
        <v>2858</v>
      </c>
      <c r="C210" s="623" t="s">
        <v>1670</v>
      </c>
      <c r="D210" s="642" t="s">
        <v>2859</v>
      </c>
      <c r="E210" s="832"/>
      <c r="F210" s="830"/>
      <c r="G210" s="833">
        <f t="shared" si="7"/>
        <v>0</v>
      </c>
      <c r="H210" s="636"/>
      <c r="I210" s="639"/>
      <c r="J210" s="53"/>
    </row>
    <row r="211" spans="1:10" s="51" customFormat="1" ht="12.75" customHeight="1" x14ac:dyDescent="0.25">
      <c r="A211" s="51">
        <f t="shared" si="6"/>
        <v>324</v>
      </c>
      <c r="B211" s="631">
        <v>324</v>
      </c>
      <c r="C211" s="623" t="s">
        <v>321</v>
      </c>
      <c r="D211" s="623" t="s">
        <v>322</v>
      </c>
      <c r="E211" s="829">
        <f>IFERROR(VLOOKUP(B211,'vstupne udaje'!$A$6:$K$236,11,FALSE),0)</f>
        <v>0</v>
      </c>
      <c r="F211" s="824"/>
      <c r="G211" s="831">
        <f t="shared" si="7"/>
        <v>0</v>
      </c>
      <c r="H211" s="636">
        <f>IFERROR(VLOOKUP(B211,#REF!,11,FALSE),0)</f>
        <v>0</v>
      </c>
      <c r="I211" s="639"/>
    </row>
    <row r="212" spans="1:10" s="51" customFormat="1" ht="12.75" customHeight="1" x14ac:dyDescent="0.25">
      <c r="A212" s="51">
        <f t="shared" si="6"/>
        <v>325</v>
      </c>
      <c r="B212" s="631">
        <v>325</v>
      </c>
      <c r="C212" s="623" t="s">
        <v>323</v>
      </c>
      <c r="D212" s="623" t="s">
        <v>324</v>
      </c>
      <c r="E212" s="829">
        <f>IFERROR(VLOOKUP(B212,'vstupne udaje'!$A$6:$K$236,11,FALSE),0)</f>
        <v>0</v>
      </c>
      <c r="F212" s="830"/>
      <c r="G212" s="831">
        <f t="shared" si="7"/>
        <v>0</v>
      </c>
      <c r="H212" s="636">
        <f>IFERROR(VLOOKUP(B212,#REF!,11,FALSE),0)</f>
        <v>0</v>
      </c>
      <c r="I212" s="639"/>
    </row>
    <row r="213" spans="1:10" s="51" customFormat="1" ht="12.75" customHeight="1" x14ac:dyDescent="0.25">
      <c r="A213" s="51">
        <f t="shared" si="6"/>
        <v>326</v>
      </c>
      <c r="B213" s="645">
        <v>326</v>
      </c>
      <c r="C213" s="623" t="s">
        <v>453</v>
      </c>
      <c r="D213" s="623" t="s">
        <v>454</v>
      </c>
      <c r="E213" s="829">
        <f>IFERROR(VLOOKUP(B213,'vstupne udaje'!$A$6:$K$236,11,FALSE),0)</f>
        <v>0</v>
      </c>
      <c r="F213" s="830"/>
      <c r="G213" s="831">
        <f t="shared" si="7"/>
        <v>0</v>
      </c>
      <c r="H213" s="636"/>
      <c r="I213" s="639"/>
    </row>
    <row r="214" spans="1:10" s="51" customFormat="1" ht="12.75" customHeight="1" x14ac:dyDescent="0.25">
      <c r="A214" s="51" t="e">
        <f t="shared" si="6"/>
        <v>#VALUE!</v>
      </c>
      <c r="B214" s="631" t="s">
        <v>3087</v>
      </c>
      <c r="C214" s="623"/>
      <c r="D214" s="623"/>
      <c r="E214" s="829"/>
      <c r="F214" s="830"/>
      <c r="G214" s="831"/>
      <c r="H214" s="636"/>
      <c r="I214" s="639"/>
    </row>
    <row r="215" spans="1:10" s="51" customFormat="1" ht="12.75" customHeight="1" x14ac:dyDescent="0.25">
      <c r="B215" s="652" t="s">
        <v>325</v>
      </c>
      <c r="C215" s="653" t="s">
        <v>326</v>
      </c>
      <c r="D215" s="653" t="s">
        <v>455</v>
      </c>
      <c r="E215" s="835">
        <f>SUM(E216:E223)</f>
        <v>0</v>
      </c>
      <c r="F215" s="836">
        <f>SUM(F216:F223)</f>
        <v>0</v>
      </c>
      <c r="G215" s="837">
        <f t="shared" si="7"/>
        <v>0</v>
      </c>
      <c r="H215" s="675">
        <f>SUM(H216:H223)</f>
        <v>0</v>
      </c>
      <c r="I215" s="639"/>
    </row>
    <row r="216" spans="1:10" s="51" customFormat="1" ht="12.75" customHeight="1" x14ac:dyDescent="0.25">
      <c r="A216" s="51">
        <f t="shared" si="6"/>
        <v>331</v>
      </c>
      <c r="B216" s="631">
        <v>331</v>
      </c>
      <c r="C216" s="623" t="s">
        <v>327</v>
      </c>
      <c r="D216" s="623" t="s">
        <v>328</v>
      </c>
      <c r="E216" s="829">
        <f>IFERROR(VLOOKUP(B216,'vstupne udaje'!$A$6:$K$236,11,FALSE),0)</f>
        <v>0</v>
      </c>
      <c r="F216" s="824"/>
      <c r="G216" s="831">
        <f t="shared" si="7"/>
        <v>0</v>
      </c>
      <c r="H216" s="636">
        <f>IFERROR(VLOOKUP(B216,#REF!,11,FALSE),0)</f>
        <v>0</v>
      </c>
      <c r="I216" s="639"/>
    </row>
    <row r="217" spans="1:10" s="52" customFormat="1" ht="12.75" customHeight="1" x14ac:dyDescent="0.25">
      <c r="A217" s="51">
        <f t="shared" si="6"/>
        <v>333</v>
      </c>
      <c r="B217" s="631">
        <v>333</v>
      </c>
      <c r="C217" s="623" t="s">
        <v>329</v>
      </c>
      <c r="D217" s="623" t="s">
        <v>330</v>
      </c>
      <c r="E217" s="829">
        <f>IFERROR(VLOOKUP(B217,'vstupne udaje'!$A$6:$K$236,11,FALSE),0)</f>
        <v>0</v>
      </c>
      <c r="F217" s="824"/>
      <c r="G217" s="831">
        <f t="shared" si="7"/>
        <v>0</v>
      </c>
      <c r="H217" s="636">
        <f>IFERROR(VLOOKUP(B217,#REF!,11,FALSE),0)</f>
        <v>0</v>
      </c>
      <c r="I217" s="639"/>
    </row>
    <row r="218" spans="1:10" s="51" customFormat="1" ht="12.75" customHeight="1" x14ac:dyDescent="0.25">
      <c r="A218" s="51">
        <f t="shared" si="6"/>
        <v>335</v>
      </c>
      <c r="B218" s="631">
        <v>335</v>
      </c>
      <c r="C218" s="623" t="s">
        <v>331</v>
      </c>
      <c r="D218" s="623" t="s">
        <v>332</v>
      </c>
      <c r="E218" s="829">
        <f>IFERROR(VLOOKUP(B218,'vstupne udaje'!$A$6:$K$236,11,FALSE),0)-SUM(E219:E220)</f>
        <v>0</v>
      </c>
      <c r="F218" s="824"/>
      <c r="G218" s="831">
        <f t="shared" si="7"/>
        <v>0</v>
      </c>
      <c r="H218" s="636">
        <f>IFERROR(VLOOKUP(B218,#REF!,11,FALSE),0)-SUM(H219:H220)</f>
        <v>0</v>
      </c>
      <c r="I218" s="639"/>
    </row>
    <row r="219" spans="1:10" s="51" customFormat="1" ht="12.75" customHeight="1" x14ac:dyDescent="0.25">
      <c r="B219" s="640" t="s">
        <v>333</v>
      </c>
      <c r="C219" s="642" t="s">
        <v>760</v>
      </c>
      <c r="D219" s="642" t="s">
        <v>633</v>
      </c>
      <c r="E219" s="832"/>
      <c r="F219" s="830"/>
      <c r="G219" s="838">
        <f t="shared" si="7"/>
        <v>0</v>
      </c>
      <c r="H219" s="636"/>
      <c r="I219" s="639"/>
    </row>
    <row r="220" spans="1:10" s="51" customFormat="1" ht="12.75" customHeight="1" x14ac:dyDescent="0.25">
      <c r="B220" s="640" t="s">
        <v>334</v>
      </c>
      <c r="C220" s="642" t="s">
        <v>2436</v>
      </c>
      <c r="D220" s="642" t="s">
        <v>634</v>
      </c>
      <c r="E220" s="832"/>
      <c r="F220" s="830"/>
      <c r="G220" s="833">
        <f t="shared" si="7"/>
        <v>0</v>
      </c>
      <c r="H220" s="636"/>
      <c r="I220" s="639"/>
    </row>
    <row r="221" spans="1:10" s="51" customFormat="1" ht="12.75" customHeight="1" x14ac:dyDescent="0.25">
      <c r="A221" s="51">
        <f t="shared" si="6"/>
        <v>336</v>
      </c>
      <c r="B221" s="631">
        <v>336</v>
      </c>
      <c r="C221" s="623" t="s">
        <v>1235</v>
      </c>
      <c r="D221" s="623" t="s">
        <v>456</v>
      </c>
      <c r="E221" s="829">
        <f>IFERROR(VLOOKUP(B221,'vstupne udaje'!$A$6:$K$236,11,FALSE),0)-SUM(E222:E223)</f>
        <v>0</v>
      </c>
      <c r="F221" s="824"/>
      <c r="G221" s="831">
        <f t="shared" si="7"/>
        <v>0</v>
      </c>
      <c r="H221" s="636">
        <f>IFERROR(VLOOKUP(B221,#REF!,11,FALSE),0)-SUM(H222:H223)</f>
        <v>0</v>
      </c>
      <c r="I221" s="639"/>
    </row>
    <row r="222" spans="1:10" s="51" customFormat="1" ht="12.75" customHeight="1" x14ac:dyDescent="0.25">
      <c r="B222" s="640" t="s">
        <v>1236</v>
      </c>
      <c r="C222" s="642" t="s">
        <v>1237</v>
      </c>
      <c r="D222" s="642" t="s">
        <v>1238</v>
      </c>
      <c r="E222" s="832"/>
      <c r="F222" s="830"/>
      <c r="G222" s="833">
        <f t="shared" si="7"/>
        <v>0</v>
      </c>
      <c r="H222" s="636"/>
      <c r="I222" s="639"/>
    </row>
    <row r="223" spans="1:10" s="51" customFormat="1" ht="12.75" customHeight="1" x14ac:dyDescent="0.25">
      <c r="B223" s="640" t="s">
        <v>1239</v>
      </c>
      <c r="C223" s="642" t="s">
        <v>1240</v>
      </c>
      <c r="D223" s="642" t="s">
        <v>1634</v>
      </c>
      <c r="E223" s="832"/>
      <c r="F223" s="830"/>
      <c r="G223" s="833">
        <f t="shared" si="7"/>
        <v>0</v>
      </c>
      <c r="H223" s="636"/>
      <c r="I223" s="639"/>
    </row>
    <row r="224" spans="1:10" s="51" customFormat="1" ht="12.75" customHeight="1" x14ac:dyDescent="0.25">
      <c r="A224" s="51" t="e">
        <f>VALUE(B224)</f>
        <v>#VALUE!</v>
      </c>
      <c r="B224" s="631" t="s">
        <v>3087</v>
      </c>
      <c r="C224" s="623"/>
      <c r="D224" s="623"/>
      <c r="E224" s="829"/>
      <c r="F224" s="824"/>
      <c r="G224" s="831"/>
      <c r="H224" s="636"/>
      <c r="I224" s="639"/>
    </row>
    <row r="225" spans="1:9" s="51" customFormat="1" ht="12.75" customHeight="1" x14ac:dyDescent="0.25">
      <c r="B225" s="652" t="s">
        <v>1635</v>
      </c>
      <c r="C225" s="653" t="s">
        <v>1636</v>
      </c>
      <c r="D225" s="653" t="s">
        <v>1637</v>
      </c>
      <c r="E225" s="835">
        <f>SUM(E226:E243)</f>
        <v>-6277.63</v>
      </c>
      <c r="F225" s="836">
        <f>SUM(F226:F243)</f>
        <v>0</v>
      </c>
      <c r="G225" s="837">
        <f t="shared" si="7"/>
        <v>-6277.63</v>
      </c>
      <c r="H225" s="675">
        <f>SUM(H226:H243)</f>
        <v>0</v>
      </c>
      <c r="I225" s="639"/>
    </row>
    <row r="226" spans="1:9" s="51" customFormat="1" ht="12.75" customHeight="1" x14ac:dyDescent="0.25">
      <c r="A226" s="51">
        <f>VALUE(B226)</f>
        <v>341</v>
      </c>
      <c r="B226" s="631">
        <v>341</v>
      </c>
      <c r="C226" s="623" t="s">
        <v>1638</v>
      </c>
      <c r="D226" s="623" t="s">
        <v>1639</v>
      </c>
      <c r="E226" s="829">
        <f>IFERROR(VLOOKUP(B226,'vstupne udaje'!$A$6:$K$236,11,FALSE),0)-SUM(E227:E228)</f>
        <v>0</v>
      </c>
      <c r="F226" s="824"/>
      <c r="G226" s="831">
        <f t="shared" si="7"/>
        <v>0</v>
      </c>
      <c r="H226" s="636">
        <f>IFERROR(VLOOKUP(B226,#REF!,11,FALSE),0)-SUM(H227:H228)</f>
        <v>0</v>
      </c>
      <c r="I226" s="639"/>
    </row>
    <row r="227" spans="1:9" s="51" customFormat="1" ht="12.75" customHeight="1" x14ac:dyDescent="0.25">
      <c r="B227" s="640" t="s">
        <v>1640</v>
      </c>
      <c r="C227" s="642" t="s">
        <v>1641</v>
      </c>
      <c r="D227" s="642" t="s">
        <v>1642</v>
      </c>
      <c r="E227" s="832"/>
      <c r="F227" s="824"/>
      <c r="G227" s="833">
        <f t="shared" si="7"/>
        <v>0</v>
      </c>
      <c r="H227" s="636"/>
      <c r="I227" s="639"/>
    </row>
    <row r="228" spans="1:9" s="51" customFormat="1" ht="12.75" customHeight="1" x14ac:dyDescent="0.25">
      <c r="B228" s="640" t="s">
        <v>411</v>
      </c>
      <c r="C228" s="642" t="s">
        <v>412</v>
      </c>
      <c r="D228" s="642" t="s">
        <v>413</v>
      </c>
      <c r="E228" s="832">
        <v>-3840</v>
      </c>
      <c r="F228" s="830"/>
      <c r="G228" s="833">
        <f t="shared" si="7"/>
        <v>-3840</v>
      </c>
      <c r="H228" s="636"/>
      <c r="I228" s="639"/>
    </row>
    <row r="229" spans="1:9" s="51" customFormat="1" ht="12.75" customHeight="1" x14ac:dyDescent="0.25">
      <c r="A229" s="51">
        <f>VALUE(B229)</f>
        <v>342</v>
      </c>
      <c r="B229" s="631">
        <v>342</v>
      </c>
      <c r="C229" s="623" t="s">
        <v>414</v>
      </c>
      <c r="D229" s="623" t="s">
        <v>2611</v>
      </c>
      <c r="E229" s="829">
        <f>IFERROR(VLOOKUP(B229,'vstupne udaje'!$A$6:$K$236,11,FALSE),0)-SUM(E230:E231)</f>
        <v>1.9999999999527063E-2</v>
      </c>
      <c r="F229" s="824"/>
      <c r="G229" s="831">
        <f t="shared" si="7"/>
        <v>1.9999999999527063E-2</v>
      </c>
      <c r="H229" s="636">
        <f>IFERROR(VLOOKUP(B229,#REF!,11,FALSE),0)-SUM(H230:H231)</f>
        <v>0</v>
      </c>
      <c r="I229" s="639"/>
    </row>
    <row r="230" spans="1:9" s="51" customFormat="1" ht="12.75" customHeight="1" x14ac:dyDescent="0.25">
      <c r="B230" s="640" t="s">
        <v>2612</v>
      </c>
      <c r="C230" s="642" t="s">
        <v>2613</v>
      </c>
      <c r="D230" s="642" t="s">
        <v>2751</v>
      </c>
      <c r="E230" s="832"/>
      <c r="F230" s="830"/>
      <c r="G230" s="833">
        <f t="shared" si="7"/>
        <v>0</v>
      </c>
      <c r="H230" s="636"/>
      <c r="I230" s="639"/>
    </row>
    <row r="231" spans="1:9" s="51" customFormat="1" ht="12.75" customHeight="1" x14ac:dyDescent="0.25">
      <c r="B231" s="640" t="s">
        <v>2752</v>
      </c>
      <c r="C231" s="642" t="s">
        <v>792</v>
      </c>
      <c r="D231" s="642" t="s">
        <v>2439</v>
      </c>
      <c r="E231" s="832">
        <v>-2967.2</v>
      </c>
      <c r="F231" s="830"/>
      <c r="G231" s="833">
        <f t="shared" si="7"/>
        <v>-2967.2</v>
      </c>
      <c r="H231" s="636"/>
      <c r="I231" s="639"/>
    </row>
    <row r="232" spans="1:9" s="51" customFormat="1" ht="12.75" customHeight="1" x14ac:dyDescent="0.25">
      <c r="A232" s="51">
        <f>VALUE(B232)</f>
        <v>343</v>
      </c>
      <c r="B232" s="631">
        <v>343</v>
      </c>
      <c r="C232" s="623" t="s">
        <v>20</v>
      </c>
      <c r="D232" s="623" t="s">
        <v>21</v>
      </c>
      <c r="E232" s="829">
        <f>IFERROR(VLOOKUP(B232,'vstupne udaje'!$A$6:$K$236,11,FALSE),0)-SUM(E233:E234)</f>
        <v>4.9999999999954525E-2</v>
      </c>
      <c r="F232" s="824"/>
      <c r="G232" s="831">
        <f t="shared" si="7"/>
        <v>4.9999999999954525E-2</v>
      </c>
      <c r="H232" s="636">
        <f>IFERROR(VLOOKUP(B232,#REF!,11,FALSE),0)-SUM(H233:H234)</f>
        <v>0</v>
      </c>
      <c r="I232" s="639"/>
    </row>
    <row r="233" spans="1:9" s="52" customFormat="1" ht="12.75" customHeight="1" x14ac:dyDescent="0.25">
      <c r="A233" s="51"/>
      <c r="B233" s="640" t="s">
        <v>22</v>
      </c>
      <c r="C233" s="642" t="s">
        <v>1511</v>
      </c>
      <c r="D233" s="642" t="s">
        <v>1512</v>
      </c>
      <c r="E233" s="832">
        <v>529.5</v>
      </c>
      <c r="F233" s="824"/>
      <c r="G233" s="833">
        <f t="shared" si="7"/>
        <v>529.5</v>
      </c>
      <c r="H233" s="636"/>
      <c r="I233" s="639"/>
    </row>
    <row r="234" spans="1:9" s="51" customFormat="1" ht="12.75" customHeight="1" x14ac:dyDescent="0.25">
      <c r="B234" s="640" t="s">
        <v>1513</v>
      </c>
      <c r="C234" s="642" t="s">
        <v>1514</v>
      </c>
      <c r="D234" s="642" t="s">
        <v>1515</v>
      </c>
      <c r="E234" s="832"/>
      <c r="F234" s="824"/>
      <c r="G234" s="833">
        <f t="shared" si="7"/>
        <v>0</v>
      </c>
      <c r="H234" s="636"/>
      <c r="I234" s="639"/>
    </row>
    <row r="235" spans="1:9" s="51" customFormat="1" ht="12.75" customHeight="1" x14ac:dyDescent="0.25">
      <c r="A235" s="51">
        <f>VALUE(B235)</f>
        <v>345</v>
      </c>
      <c r="B235" s="631">
        <v>345</v>
      </c>
      <c r="C235" s="623" t="s">
        <v>1516</v>
      </c>
      <c r="D235" s="623" t="s">
        <v>2497</v>
      </c>
      <c r="E235" s="829">
        <f>IFERROR(VLOOKUP(B235,'vstupne udaje'!$A$6:$K$236,11,FALSE),0)-SUM(E236:E237)</f>
        <v>0</v>
      </c>
      <c r="F235" s="824"/>
      <c r="G235" s="831">
        <f t="shared" si="7"/>
        <v>0</v>
      </c>
      <c r="H235" s="636">
        <f>IFERROR(VLOOKUP(B235,#REF!,11,FALSE),0)-SUM(H236:H237)</f>
        <v>0</v>
      </c>
      <c r="I235" s="639"/>
    </row>
    <row r="236" spans="1:9" s="51" customFormat="1" ht="12.75" customHeight="1" x14ac:dyDescent="0.25">
      <c r="B236" s="640" t="s">
        <v>2498</v>
      </c>
      <c r="C236" s="642" t="s">
        <v>2704</v>
      </c>
      <c r="D236" s="642" t="s">
        <v>2705</v>
      </c>
      <c r="E236" s="832"/>
      <c r="F236" s="830"/>
      <c r="G236" s="833">
        <f t="shared" si="7"/>
        <v>0</v>
      </c>
      <c r="H236" s="636"/>
      <c r="I236" s="639"/>
    </row>
    <row r="237" spans="1:9" s="51" customFormat="1" ht="12.75" customHeight="1" x14ac:dyDescent="0.25">
      <c r="B237" s="640" t="s">
        <v>2706</v>
      </c>
      <c r="C237" s="642" t="s">
        <v>2707</v>
      </c>
      <c r="D237" s="642" t="s">
        <v>2708</v>
      </c>
      <c r="E237" s="832"/>
      <c r="F237" s="830"/>
      <c r="G237" s="833">
        <f t="shared" si="7"/>
        <v>0</v>
      </c>
      <c r="H237" s="636"/>
      <c r="I237" s="639"/>
    </row>
    <row r="238" spans="1:9" s="51" customFormat="1" ht="12.75" customHeight="1" x14ac:dyDescent="0.25">
      <c r="A238" s="51">
        <f>VALUE(B238)</f>
        <v>346</v>
      </c>
      <c r="B238" s="631">
        <v>346</v>
      </c>
      <c r="C238" s="623" t="s">
        <v>2709</v>
      </c>
      <c r="D238" s="623" t="s">
        <v>208</v>
      </c>
      <c r="E238" s="829">
        <f>IFERROR(VLOOKUP(B238,'vstupne udaje'!$A$6:$K$236,11,FALSE),0)-SUM(E239:E240)</f>
        <v>0</v>
      </c>
      <c r="F238" s="824"/>
      <c r="G238" s="831">
        <f t="shared" si="7"/>
        <v>0</v>
      </c>
      <c r="H238" s="636">
        <f>IFERROR(VLOOKUP(B238,#REF!,11,FALSE),0)</f>
        <v>0</v>
      </c>
      <c r="I238" s="639"/>
    </row>
    <row r="239" spans="1:9" s="51" customFormat="1" ht="12.75" customHeight="1" x14ac:dyDescent="0.25">
      <c r="A239" s="51" t="s">
        <v>179</v>
      </c>
      <c r="B239" s="640" t="s">
        <v>1324</v>
      </c>
      <c r="C239" s="642"/>
      <c r="D239" s="642" t="s">
        <v>565</v>
      </c>
      <c r="E239" s="832"/>
      <c r="F239" s="830"/>
      <c r="G239" s="833">
        <f t="shared" si="7"/>
        <v>0</v>
      </c>
      <c r="H239" s="636"/>
      <c r="I239" s="639"/>
    </row>
    <row r="240" spans="1:9" s="51" customFormat="1" ht="12.75" customHeight="1" x14ac:dyDescent="0.25">
      <c r="A240" s="51" t="s">
        <v>179</v>
      </c>
      <c r="B240" s="640" t="s">
        <v>1325</v>
      </c>
      <c r="C240" s="642"/>
      <c r="D240" s="642" t="s">
        <v>566</v>
      </c>
      <c r="E240" s="832"/>
      <c r="F240" s="830"/>
      <c r="G240" s="833">
        <f t="shared" si="7"/>
        <v>0</v>
      </c>
      <c r="H240" s="636"/>
      <c r="I240" s="639"/>
    </row>
    <row r="241" spans="1:9" s="51" customFormat="1" ht="12.75" customHeight="1" x14ac:dyDescent="0.25">
      <c r="A241" s="51">
        <f>VALUE(B241)</f>
        <v>347</v>
      </c>
      <c r="B241" s="631">
        <v>347</v>
      </c>
      <c r="C241" s="623" t="s">
        <v>209</v>
      </c>
      <c r="D241" s="623" t="s">
        <v>210</v>
      </c>
      <c r="E241" s="829">
        <f>IFERROR(VLOOKUP(B241,'vstupne udaje'!$A$6:$K$236,11,FALSE),0)-SUM(E242:E243)</f>
        <v>0</v>
      </c>
      <c r="F241" s="824"/>
      <c r="G241" s="831">
        <f t="shared" si="7"/>
        <v>0</v>
      </c>
      <c r="H241" s="636">
        <f>IFERROR(VLOOKUP(B241,#REF!,11,FALSE),0)</f>
        <v>0</v>
      </c>
      <c r="I241" s="639"/>
    </row>
    <row r="242" spans="1:9" s="51" customFormat="1" ht="12.75" customHeight="1" x14ac:dyDescent="0.25">
      <c r="A242" s="51" t="s">
        <v>179</v>
      </c>
      <c r="B242" s="640" t="s">
        <v>1322</v>
      </c>
      <c r="C242" s="642"/>
      <c r="D242" s="642" t="s">
        <v>565</v>
      </c>
      <c r="E242" s="832"/>
      <c r="F242" s="830"/>
      <c r="G242" s="833">
        <f t="shared" si="7"/>
        <v>0</v>
      </c>
      <c r="H242" s="636"/>
      <c r="I242" s="639"/>
    </row>
    <row r="243" spans="1:9" s="51" customFormat="1" ht="12.75" customHeight="1" x14ac:dyDescent="0.25">
      <c r="A243" s="51" t="s">
        <v>179</v>
      </c>
      <c r="B243" s="640" t="s">
        <v>1323</v>
      </c>
      <c r="C243" s="642"/>
      <c r="D243" s="642" t="s">
        <v>566</v>
      </c>
      <c r="E243" s="832"/>
      <c r="F243" s="830"/>
      <c r="G243" s="833">
        <f t="shared" si="7"/>
        <v>0</v>
      </c>
      <c r="H243" s="636"/>
      <c r="I243" s="639"/>
    </row>
    <row r="244" spans="1:9" s="53" customFormat="1" ht="12.75" customHeight="1" x14ac:dyDescent="0.25">
      <c r="B244" s="631" t="s">
        <v>3087</v>
      </c>
      <c r="C244" s="644"/>
      <c r="D244" s="644"/>
      <c r="E244" s="829"/>
      <c r="F244" s="830"/>
      <c r="G244" s="831"/>
      <c r="H244" s="636"/>
      <c r="I244" s="639"/>
    </row>
    <row r="245" spans="1:9" s="51" customFormat="1" ht="12.75" customHeight="1" x14ac:dyDescent="0.25">
      <c r="B245" s="652" t="s">
        <v>211</v>
      </c>
      <c r="C245" s="653" t="s">
        <v>212</v>
      </c>
      <c r="D245" s="653" t="s">
        <v>213</v>
      </c>
      <c r="E245" s="835">
        <f>SUM(E246:E260)</f>
        <v>0</v>
      </c>
      <c r="F245" s="836">
        <f>SUM(F246:F260)</f>
        <v>0</v>
      </c>
      <c r="G245" s="837">
        <f t="shared" si="7"/>
        <v>0</v>
      </c>
      <c r="H245" s="675">
        <f>SUM(H246:H260)</f>
        <v>0</v>
      </c>
      <c r="I245" s="639"/>
    </row>
    <row r="246" spans="1:9" s="51" customFormat="1" ht="12.75" customHeight="1" x14ac:dyDescent="0.25">
      <c r="A246" s="51">
        <f>VALUE(B246)</f>
        <v>351</v>
      </c>
      <c r="B246" s="631">
        <v>351</v>
      </c>
      <c r="C246" s="623" t="s">
        <v>214</v>
      </c>
      <c r="D246" s="623" t="s">
        <v>457</v>
      </c>
      <c r="E246" s="829">
        <f>IFERROR(VLOOKUP(B246,'vstupne udaje'!$A$6:$K$236,11,FALSE),0)-SUM(E247:E250)</f>
        <v>0</v>
      </c>
      <c r="F246" s="824"/>
      <c r="G246" s="831">
        <f t="shared" si="7"/>
        <v>0</v>
      </c>
      <c r="H246" s="636">
        <f>IFERROR(VLOOKUP(B246,#REF!,11,FALSE),0)</f>
        <v>0</v>
      </c>
      <c r="I246" s="639"/>
    </row>
    <row r="247" spans="1:9" s="51" customFormat="1" ht="12.75" customHeight="1" x14ac:dyDescent="0.25">
      <c r="B247" s="640" t="s">
        <v>215</v>
      </c>
      <c r="C247" s="642" t="s">
        <v>2438</v>
      </c>
      <c r="D247" s="642" t="s">
        <v>1386</v>
      </c>
      <c r="E247" s="832"/>
      <c r="F247" s="824"/>
      <c r="G247" s="833">
        <f t="shared" si="7"/>
        <v>0</v>
      </c>
      <c r="H247" s="636"/>
      <c r="I247" s="639"/>
    </row>
    <row r="248" spans="1:9" s="51" customFormat="1" ht="12.75" customHeight="1" x14ac:dyDescent="0.25">
      <c r="B248" s="640" t="s">
        <v>1171</v>
      </c>
      <c r="C248" s="642" t="s">
        <v>2437</v>
      </c>
      <c r="D248" s="642" t="s">
        <v>1387</v>
      </c>
      <c r="E248" s="832"/>
      <c r="F248" s="830"/>
      <c r="G248" s="833">
        <f t="shared" si="7"/>
        <v>0</v>
      </c>
      <c r="H248" s="636"/>
      <c r="I248" s="639"/>
    </row>
    <row r="249" spans="1:9" s="51" customFormat="1" ht="12.75" customHeight="1" x14ac:dyDescent="0.25">
      <c r="B249" s="640" t="s">
        <v>1172</v>
      </c>
      <c r="C249" s="642" t="s">
        <v>293</v>
      </c>
      <c r="D249" s="642" t="s">
        <v>1388</v>
      </c>
      <c r="E249" s="832"/>
      <c r="F249" s="830"/>
      <c r="G249" s="833">
        <f t="shared" si="7"/>
        <v>0</v>
      </c>
      <c r="H249" s="636"/>
      <c r="I249" s="639"/>
    </row>
    <row r="250" spans="1:9" s="51" customFormat="1" ht="12.75" customHeight="1" x14ac:dyDescent="0.25">
      <c r="B250" s="640" t="s">
        <v>1173</v>
      </c>
      <c r="C250" s="642" t="s">
        <v>294</v>
      </c>
      <c r="D250" s="642" t="s">
        <v>1389</v>
      </c>
      <c r="E250" s="832"/>
      <c r="F250" s="824"/>
      <c r="G250" s="833">
        <f t="shared" si="7"/>
        <v>0</v>
      </c>
      <c r="H250" s="636"/>
      <c r="I250" s="639"/>
    </row>
    <row r="251" spans="1:9" s="51" customFormat="1" ht="12.75" customHeight="1" x14ac:dyDescent="0.25">
      <c r="A251" s="51">
        <f>VALUE(B251)</f>
        <v>353</v>
      </c>
      <c r="B251" s="631">
        <v>353</v>
      </c>
      <c r="C251" s="623" t="s">
        <v>1174</v>
      </c>
      <c r="D251" s="623" t="s">
        <v>1175</v>
      </c>
      <c r="E251" s="829">
        <f>IFERROR(VLOOKUP(B251,'vstupne udaje'!$A$6:$K$236,11,FALSE),0)</f>
        <v>0</v>
      </c>
      <c r="F251" s="830"/>
      <c r="G251" s="831">
        <f t="shared" si="7"/>
        <v>0</v>
      </c>
      <c r="H251" s="636">
        <f>IFERROR(VLOOKUP(B251,#REF!,11,FALSE),0)</f>
        <v>0</v>
      </c>
      <c r="I251" s="639"/>
    </row>
    <row r="252" spans="1:9" s="51" customFormat="1" ht="12.75" customHeight="1" x14ac:dyDescent="0.25">
      <c r="A252" s="51">
        <f>VALUE(B252)</f>
        <v>354</v>
      </c>
      <c r="B252" s="631">
        <v>354</v>
      </c>
      <c r="C252" s="623" t="s">
        <v>1176</v>
      </c>
      <c r="D252" s="623" t="s">
        <v>458</v>
      </c>
      <c r="E252" s="829">
        <f>IFERROR(VLOOKUP(B252,'vstupne udaje'!$A$6:$K$236,11,FALSE),0)-SUM(E253:E254)</f>
        <v>0</v>
      </c>
      <c r="F252" s="824"/>
      <c r="G252" s="831">
        <f t="shared" si="7"/>
        <v>0</v>
      </c>
      <c r="H252" s="636">
        <f>IFERROR(VLOOKUP(B252,#REF!,11,FALSE),0)</f>
        <v>0</v>
      </c>
      <c r="I252" s="639"/>
    </row>
    <row r="253" spans="1:9" s="51" customFormat="1" ht="12.75" customHeight="1" x14ac:dyDescent="0.25">
      <c r="B253" s="640" t="s">
        <v>1177</v>
      </c>
      <c r="C253" s="642" t="s">
        <v>295</v>
      </c>
      <c r="D253" s="642" t="s">
        <v>1390</v>
      </c>
      <c r="E253" s="832"/>
      <c r="F253" s="824"/>
      <c r="G253" s="833">
        <f t="shared" si="7"/>
        <v>0</v>
      </c>
      <c r="H253" s="636"/>
      <c r="I253" s="639"/>
    </row>
    <row r="254" spans="1:9" s="52" customFormat="1" ht="12.75" customHeight="1" x14ac:dyDescent="0.25">
      <c r="A254" s="51"/>
      <c r="B254" s="640" t="s">
        <v>1178</v>
      </c>
      <c r="C254" s="642" t="s">
        <v>1382</v>
      </c>
      <c r="D254" s="642" t="s">
        <v>1391</v>
      </c>
      <c r="E254" s="832"/>
      <c r="F254" s="824"/>
      <c r="G254" s="833">
        <f t="shared" si="7"/>
        <v>0</v>
      </c>
      <c r="H254" s="636"/>
      <c r="I254" s="639"/>
    </row>
    <row r="255" spans="1:9" s="51" customFormat="1" ht="12.75" customHeight="1" x14ac:dyDescent="0.25">
      <c r="A255" s="51">
        <f>VALUE(B255)</f>
        <v>355</v>
      </c>
      <c r="B255" s="631">
        <v>355</v>
      </c>
      <c r="C255" s="623" t="s">
        <v>1179</v>
      </c>
      <c r="D255" s="623" t="s">
        <v>459</v>
      </c>
      <c r="E255" s="829">
        <f>IFERROR(VLOOKUP(B255,'vstupne udaje'!$A$6:$K$236,11,FALSE),0)-SUM(E256:E257)</f>
        <v>0</v>
      </c>
      <c r="F255" s="824"/>
      <c r="G255" s="831">
        <f t="shared" si="7"/>
        <v>0</v>
      </c>
      <c r="H255" s="636">
        <f>IFERROR(VLOOKUP(B255,#REF!,11,FALSE),0)</f>
        <v>0</v>
      </c>
      <c r="I255" s="639"/>
    </row>
    <row r="256" spans="1:9" s="51" customFormat="1" ht="12.75" customHeight="1" x14ac:dyDescent="0.25">
      <c r="B256" s="640" t="s">
        <v>1180</v>
      </c>
      <c r="C256" s="642" t="s">
        <v>1383</v>
      </c>
      <c r="D256" s="642" t="s">
        <v>1392</v>
      </c>
      <c r="E256" s="832"/>
      <c r="F256" s="830"/>
      <c r="G256" s="833">
        <f t="shared" si="7"/>
        <v>0</v>
      </c>
      <c r="H256" s="636"/>
      <c r="I256" s="639"/>
    </row>
    <row r="257" spans="1:9" s="51" customFormat="1" ht="12.75" customHeight="1" x14ac:dyDescent="0.25">
      <c r="B257" s="640" t="s">
        <v>1181</v>
      </c>
      <c r="C257" s="642" t="s">
        <v>1384</v>
      </c>
      <c r="D257" s="642" t="s">
        <v>717</v>
      </c>
      <c r="E257" s="832"/>
      <c r="F257" s="830"/>
      <c r="G257" s="833">
        <f t="shared" si="7"/>
        <v>0</v>
      </c>
      <c r="H257" s="636"/>
      <c r="I257" s="639"/>
    </row>
    <row r="258" spans="1:9" s="51" customFormat="1" ht="12.75" customHeight="1" x14ac:dyDescent="0.25">
      <c r="A258" s="51">
        <f>VALUE(B258)</f>
        <v>358</v>
      </c>
      <c r="B258" s="631">
        <v>358</v>
      </c>
      <c r="C258" s="623" t="s">
        <v>1099</v>
      </c>
      <c r="D258" s="623" t="s">
        <v>1100</v>
      </c>
      <c r="E258" s="829">
        <f>IFERROR(VLOOKUP(B258,'vstupne udaje'!$A$6:$K$236,11,FALSE),0)-SUM(E259:E260)</f>
        <v>0</v>
      </c>
      <c r="F258" s="824"/>
      <c r="G258" s="831">
        <f t="shared" si="7"/>
        <v>0</v>
      </c>
      <c r="H258" s="636">
        <f>IFERROR(VLOOKUP(B258,#REF!,11,FALSE),0)</f>
        <v>0</v>
      </c>
      <c r="I258" s="639"/>
    </row>
    <row r="259" spans="1:9" s="51" customFormat="1" ht="12.75" customHeight="1" x14ac:dyDescent="0.25">
      <c r="B259" s="640" t="s">
        <v>1101</v>
      </c>
      <c r="C259" s="642" t="s">
        <v>299</v>
      </c>
      <c r="D259" s="642" t="s">
        <v>2798</v>
      </c>
      <c r="E259" s="832"/>
      <c r="F259" s="830"/>
      <c r="G259" s="833">
        <f t="shared" si="7"/>
        <v>0</v>
      </c>
      <c r="H259" s="636"/>
      <c r="I259" s="639"/>
    </row>
    <row r="260" spans="1:9" s="51" customFormat="1" ht="12.75" customHeight="1" x14ac:dyDescent="0.25">
      <c r="B260" s="640" t="s">
        <v>1813</v>
      </c>
      <c r="C260" s="642" t="s">
        <v>300</v>
      </c>
      <c r="D260" s="642" t="s">
        <v>2799</v>
      </c>
      <c r="E260" s="832"/>
      <c r="F260" s="830"/>
      <c r="G260" s="833">
        <f t="shared" si="7"/>
        <v>0</v>
      </c>
      <c r="H260" s="636"/>
      <c r="I260" s="639"/>
    </row>
    <row r="261" spans="1:9" s="51" customFormat="1" ht="12.75" customHeight="1" x14ac:dyDescent="0.25">
      <c r="A261" s="51" t="e">
        <f>VALUE(B261)</f>
        <v>#VALUE!</v>
      </c>
      <c r="B261" s="631" t="s">
        <v>3087</v>
      </c>
      <c r="C261" s="623"/>
      <c r="D261" s="623"/>
      <c r="E261" s="829"/>
      <c r="F261" s="830"/>
      <c r="G261" s="831"/>
      <c r="H261" s="636"/>
      <c r="I261" s="639"/>
    </row>
    <row r="262" spans="1:9" s="51" customFormat="1" ht="12.75" customHeight="1" x14ac:dyDescent="0.25">
      <c r="B262" s="652" t="s">
        <v>1814</v>
      </c>
      <c r="C262" s="653" t="s">
        <v>1815</v>
      </c>
      <c r="D262" s="653" t="s">
        <v>1816</v>
      </c>
      <c r="E262" s="835">
        <f>SUM(E263:E270)</f>
        <v>-1790</v>
      </c>
      <c r="F262" s="836">
        <f>SUM(F263:F270)</f>
        <v>0</v>
      </c>
      <c r="G262" s="837">
        <f t="shared" si="7"/>
        <v>-1790</v>
      </c>
      <c r="H262" s="675">
        <f>SUM(H263:H270)</f>
        <v>0</v>
      </c>
      <c r="I262" s="639"/>
    </row>
    <row r="263" spans="1:9" s="51" customFormat="1" ht="12.75" customHeight="1" x14ac:dyDescent="0.25">
      <c r="A263" s="51">
        <f>VALUE(B263)</f>
        <v>361</v>
      </c>
      <c r="B263" s="631">
        <v>361</v>
      </c>
      <c r="C263" s="623" t="s">
        <v>1817</v>
      </c>
      <c r="D263" s="623" t="s">
        <v>460</v>
      </c>
      <c r="E263" s="829">
        <f>IFERROR(VLOOKUP(B263,'vstupne udaje'!$A$6:$K$236,11,FALSE),0)-SUM(E264:E265)</f>
        <v>0</v>
      </c>
      <c r="F263" s="824"/>
      <c r="G263" s="831">
        <f t="shared" si="7"/>
        <v>0</v>
      </c>
      <c r="H263" s="636">
        <f>IFERROR(VLOOKUP(B263,#REF!,11,FALSE),0)-H264</f>
        <v>0</v>
      </c>
      <c r="I263" s="639"/>
    </row>
    <row r="264" spans="1:9" s="52" customFormat="1" ht="21" customHeight="1" x14ac:dyDescent="0.25">
      <c r="A264" s="51"/>
      <c r="B264" s="640" t="s">
        <v>1818</v>
      </c>
      <c r="C264" s="642" t="s">
        <v>188</v>
      </c>
      <c r="D264" s="642" t="s">
        <v>1534</v>
      </c>
      <c r="E264" s="832">
        <v>-1790</v>
      </c>
      <c r="F264" s="824">
        <v>1790</v>
      </c>
      <c r="G264" s="833">
        <f t="shared" si="7"/>
        <v>0</v>
      </c>
      <c r="H264" s="636"/>
      <c r="I264" s="639"/>
    </row>
    <row r="265" spans="1:9" s="51" customFormat="1" ht="12.75" customHeight="1" x14ac:dyDescent="0.25">
      <c r="B265" s="640" t="s">
        <v>1976</v>
      </c>
      <c r="C265" s="642" t="s">
        <v>1458</v>
      </c>
      <c r="D265" s="642" t="s">
        <v>1535</v>
      </c>
      <c r="E265" s="832"/>
      <c r="F265" s="824"/>
      <c r="G265" s="833">
        <f t="shared" si="7"/>
        <v>0</v>
      </c>
      <c r="H265" s="636"/>
      <c r="I265" s="639"/>
    </row>
    <row r="266" spans="1:9" s="51" customFormat="1" ht="12.75" customHeight="1" x14ac:dyDescent="0.25">
      <c r="A266" s="51">
        <f t="shared" ref="A266:A271" si="8">VALUE(B266)</f>
        <v>364</v>
      </c>
      <c r="B266" s="631">
        <v>364</v>
      </c>
      <c r="C266" s="623" t="s">
        <v>1977</v>
      </c>
      <c r="D266" s="623" t="s">
        <v>461</v>
      </c>
      <c r="E266" s="829">
        <f>IFERROR(VLOOKUP(B266,'vstupne udaje'!$A$6:$K$236,11,FALSE),0)</f>
        <v>0</v>
      </c>
      <c r="F266" s="830"/>
      <c r="G266" s="831">
        <f t="shared" si="7"/>
        <v>0</v>
      </c>
      <c r="H266" s="636">
        <f>IFERROR(VLOOKUP(B266,#REF!,11,FALSE),0)</f>
        <v>0</v>
      </c>
      <c r="I266" s="639"/>
    </row>
    <row r="267" spans="1:9" s="51" customFormat="1" ht="12.75" customHeight="1" x14ac:dyDescent="0.25">
      <c r="A267" s="51">
        <f t="shared" si="8"/>
        <v>365</v>
      </c>
      <c r="B267" s="631">
        <v>365</v>
      </c>
      <c r="C267" s="623" t="s">
        <v>1978</v>
      </c>
      <c r="D267" s="623" t="s">
        <v>679</v>
      </c>
      <c r="E267" s="829">
        <f>IFERROR(VLOOKUP(B267,'vstupne udaje'!$A$6:$K$236,11,FALSE),0)</f>
        <v>0</v>
      </c>
      <c r="F267" s="830">
        <v>-1790</v>
      </c>
      <c r="G267" s="831">
        <f t="shared" si="7"/>
        <v>-1790</v>
      </c>
      <c r="H267" s="636">
        <f>IFERROR(VLOOKUP(B267,#REF!,11,FALSE),0)</f>
        <v>0</v>
      </c>
      <c r="I267" s="639"/>
    </row>
    <row r="268" spans="1:9" s="51" customFormat="1" ht="12.75" customHeight="1" x14ac:dyDescent="0.25">
      <c r="A268" s="51">
        <f t="shared" si="8"/>
        <v>366</v>
      </c>
      <c r="B268" s="631">
        <v>366</v>
      </c>
      <c r="C268" s="623" t="s">
        <v>1979</v>
      </c>
      <c r="D268" s="623" t="s">
        <v>462</v>
      </c>
      <c r="E268" s="829">
        <f>IFERROR(VLOOKUP(B268,'vstupne udaje'!$A$6:$K$236,11,FALSE),0)</f>
        <v>0</v>
      </c>
      <c r="F268" s="824"/>
      <c r="G268" s="831">
        <f t="shared" ref="G268:G331" si="9">E268+F268</f>
        <v>0</v>
      </c>
      <c r="H268" s="636">
        <f>IFERROR(VLOOKUP(B268,#REF!,11,FALSE),0)</f>
        <v>0</v>
      </c>
      <c r="I268" s="639"/>
    </row>
    <row r="269" spans="1:9" s="51" customFormat="1" ht="12.75" customHeight="1" x14ac:dyDescent="0.25">
      <c r="A269" s="51">
        <f t="shared" si="8"/>
        <v>367</v>
      </c>
      <c r="B269" s="631">
        <v>367</v>
      </c>
      <c r="C269" s="623" t="s">
        <v>1980</v>
      </c>
      <c r="D269" s="623" t="s">
        <v>680</v>
      </c>
      <c r="E269" s="829">
        <f>IFERROR(VLOOKUP(B269,'vstupne udaje'!$A$6:$K$236,11,FALSE),0)</f>
        <v>0</v>
      </c>
      <c r="F269" s="830"/>
      <c r="G269" s="831">
        <f t="shared" si="9"/>
        <v>0</v>
      </c>
      <c r="H269" s="636">
        <f>IFERROR(VLOOKUP(B269,#REF!,11,FALSE),0)</f>
        <v>0</v>
      </c>
      <c r="I269" s="639"/>
    </row>
    <row r="270" spans="1:9" s="51" customFormat="1" ht="12.75" customHeight="1" x14ac:dyDescent="0.25">
      <c r="A270" s="51">
        <f t="shared" si="8"/>
        <v>368</v>
      </c>
      <c r="B270" s="631">
        <v>368</v>
      </c>
      <c r="C270" s="623" t="s">
        <v>1981</v>
      </c>
      <c r="D270" s="623" t="s">
        <v>1982</v>
      </c>
      <c r="E270" s="829">
        <f>IFERROR(VLOOKUP(B270,'vstupne udaje'!$A$6:$K$236,11,FALSE),0)</f>
        <v>0</v>
      </c>
      <c r="F270" s="830"/>
      <c r="G270" s="831">
        <f t="shared" si="9"/>
        <v>0</v>
      </c>
      <c r="H270" s="636">
        <f>IFERROR(VLOOKUP(B270,#REF!,11,FALSE),0)</f>
        <v>0</v>
      </c>
      <c r="I270" s="639"/>
    </row>
    <row r="271" spans="1:9" s="53" customFormat="1" ht="12.75" customHeight="1" x14ac:dyDescent="0.25">
      <c r="A271" s="51" t="e">
        <f t="shared" si="8"/>
        <v>#VALUE!</v>
      </c>
      <c r="B271" s="631" t="s">
        <v>3087</v>
      </c>
      <c r="C271" s="623"/>
      <c r="D271" s="623"/>
      <c r="E271" s="829"/>
      <c r="F271" s="824"/>
      <c r="G271" s="831"/>
      <c r="H271" s="636"/>
      <c r="I271" s="639"/>
    </row>
    <row r="272" spans="1:9" s="53" customFormat="1" ht="12.75" customHeight="1" x14ac:dyDescent="0.25">
      <c r="A272" s="51"/>
      <c r="B272" s="652" t="s">
        <v>1983</v>
      </c>
      <c r="C272" s="653" t="s">
        <v>1647</v>
      </c>
      <c r="D272" s="653" t="s">
        <v>540</v>
      </c>
      <c r="E272" s="835">
        <f>SUM(E273:E303)</f>
        <v>0</v>
      </c>
      <c r="F272" s="836">
        <f>SUM(F273:F303)</f>
        <v>0</v>
      </c>
      <c r="G272" s="837">
        <f t="shared" si="9"/>
        <v>0</v>
      </c>
      <c r="H272" s="675">
        <f>SUM(H273:H303)</f>
        <v>0</v>
      </c>
      <c r="I272" s="639"/>
    </row>
    <row r="273" spans="1:9" s="53" customFormat="1" ht="12.75" customHeight="1" x14ac:dyDescent="0.25">
      <c r="A273" s="51">
        <f>VALUE(B273)</f>
        <v>371</v>
      </c>
      <c r="B273" s="631">
        <v>371</v>
      </c>
      <c r="C273" s="623" t="s">
        <v>1459</v>
      </c>
      <c r="D273" s="623" t="s">
        <v>1835</v>
      </c>
      <c r="E273" s="829">
        <f>IFERROR(VLOOKUP(B273,'vstupne udaje'!$A$6:$K$236,11,FALSE),0)-SUM(E274:E275)</f>
        <v>0</v>
      </c>
      <c r="F273" s="824"/>
      <c r="G273" s="831">
        <f t="shared" si="9"/>
        <v>0</v>
      </c>
      <c r="H273" s="636">
        <f>IFERROR(VLOOKUP(B273,#REF!,11,FALSE),0)</f>
        <v>0</v>
      </c>
      <c r="I273" s="639"/>
    </row>
    <row r="274" spans="1:9" s="51" customFormat="1" ht="12.75" customHeight="1" x14ac:dyDescent="0.25">
      <c r="B274" s="640" t="s">
        <v>1648</v>
      </c>
      <c r="C274" s="646" t="s">
        <v>1460</v>
      </c>
      <c r="D274" s="646" t="s">
        <v>2800</v>
      </c>
      <c r="E274" s="832"/>
      <c r="F274" s="824"/>
      <c r="G274" s="833">
        <f t="shared" si="9"/>
        <v>0</v>
      </c>
      <c r="H274" s="636"/>
      <c r="I274" s="639"/>
    </row>
    <row r="275" spans="1:9" s="51" customFormat="1" ht="12.75" customHeight="1" x14ac:dyDescent="0.25">
      <c r="B275" s="640" t="s">
        <v>464</v>
      </c>
      <c r="C275" s="646" t="s">
        <v>1461</v>
      </c>
      <c r="D275" s="646" t="s">
        <v>2801</v>
      </c>
      <c r="E275" s="832"/>
      <c r="F275" s="830"/>
      <c r="G275" s="833">
        <f t="shared" si="9"/>
        <v>0</v>
      </c>
      <c r="H275" s="636"/>
      <c r="I275" s="639"/>
    </row>
    <row r="276" spans="1:9" s="51" customFormat="1" ht="12.75" customHeight="1" x14ac:dyDescent="0.25">
      <c r="A276" s="51">
        <f>VALUE(B276)</f>
        <v>372</v>
      </c>
      <c r="B276" s="645">
        <v>372</v>
      </c>
      <c r="C276" s="623" t="s">
        <v>184</v>
      </c>
      <c r="D276" s="644" t="s">
        <v>1836</v>
      </c>
      <c r="E276" s="829">
        <f>IFERROR(VLOOKUP(B276,'vstupne udaje'!$A$6:$K$236,11,FALSE),0)-SUM(E277:E278)</f>
        <v>0</v>
      </c>
      <c r="F276" s="824"/>
      <c r="G276" s="831">
        <f t="shared" si="9"/>
        <v>0</v>
      </c>
      <c r="H276" s="636">
        <f>IFERROR(VLOOKUP(B276,#REF!,11,FALSE),0)</f>
        <v>0</v>
      </c>
      <c r="I276" s="639"/>
    </row>
    <row r="277" spans="1:9" s="51" customFormat="1" ht="12.75" customHeight="1" x14ac:dyDescent="0.25">
      <c r="B277" s="640" t="s">
        <v>2609</v>
      </c>
      <c r="C277" s="646" t="s">
        <v>185</v>
      </c>
      <c r="D277" s="646" t="s">
        <v>631</v>
      </c>
      <c r="E277" s="832"/>
      <c r="F277" s="824"/>
      <c r="G277" s="833">
        <f t="shared" si="9"/>
        <v>0</v>
      </c>
      <c r="H277" s="636"/>
      <c r="I277" s="639"/>
    </row>
    <row r="278" spans="1:9" s="51" customFormat="1" ht="12.75" customHeight="1" x14ac:dyDescent="0.25">
      <c r="B278" s="640" t="s">
        <v>2610</v>
      </c>
      <c r="C278" s="646" t="s">
        <v>186</v>
      </c>
      <c r="D278" s="646" t="s">
        <v>632</v>
      </c>
      <c r="E278" s="832"/>
      <c r="F278" s="830"/>
      <c r="G278" s="833">
        <f t="shared" si="9"/>
        <v>0</v>
      </c>
      <c r="H278" s="636"/>
      <c r="I278" s="639"/>
    </row>
    <row r="279" spans="1:9" s="51" customFormat="1" ht="12.75" customHeight="1" x14ac:dyDescent="0.25">
      <c r="A279" s="51">
        <f>VALUE(B279)</f>
        <v>373</v>
      </c>
      <c r="B279" s="645">
        <v>373</v>
      </c>
      <c r="C279" s="644" t="s">
        <v>187</v>
      </c>
      <c r="D279" s="644" t="s">
        <v>2333</v>
      </c>
      <c r="E279" s="829">
        <f>IFERROR(VLOOKUP(B279,'vstupne udaje'!$A$6:$K$236,11,FALSE),0)-SUM(E280:E283)</f>
        <v>0</v>
      </c>
      <c r="F279" s="824"/>
      <c r="G279" s="831">
        <f t="shared" si="9"/>
        <v>0</v>
      </c>
      <c r="H279" s="636">
        <f>IFERROR(VLOOKUP(B279,#REF!,11,FALSE),0)</f>
        <v>0</v>
      </c>
      <c r="I279" s="639"/>
    </row>
    <row r="280" spans="1:9" s="51" customFormat="1" ht="12.75" customHeight="1" x14ac:dyDescent="0.25">
      <c r="B280" s="640" t="s">
        <v>2802</v>
      </c>
      <c r="C280" s="646" t="s">
        <v>1456</v>
      </c>
      <c r="D280" s="646" t="s">
        <v>2504</v>
      </c>
      <c r="E280" s="832"/>
      <c r="F280" s="830"/>
      <c r="G280" s="833">
        <f t="shared" si="9"/>
        <v>0</v>
      </c>
      <c r="H280" s="636"/>
      <c r="I280" s="639"/>
    </row>
    <row r="281" spans="1:9" s="51" customFormat="1" ht="12.75" customHeight="1" x14ac:dyDescent="0.25">
      <c r="B281" s="640" t="s">
        <v>2803</v>
      </c>
      <c r="C281" s="646" t="s">
        <v>1457</v>
      </c>
      <c r="D281" s="646" t="s">
        <v>1455</v>
      </c>
      <c r="E281" s="832"/>
      <c r="F281" s="830"/>
      <c r="G281" s="833">
        <f t="shared" si="9"/>
        <v>0</v>
      </c>
      <c r="H281" s="636"/>
      <c r="I281" s="639"/>
    </row>
    <row r="282" spans="1:9" s="51" customFormat="1" ht="12.75" customHeight="1" x14ac:dyDescent="0.25">
      <c r="B282" s="640" t="s">
        <v>2502</v>
      </c>
      <c r="C282" s="646" t="s">
        <v>2083</v>
      </c>
      <c r="D282" s="646" t="s">
        <v>2505</v>
      </c>
      <c r="E282" s="832"/>
      <c r="F282" s="830"/>
      <c r="G282" s="833">
        <f t="shared" si="9"/>
        <v>0</v>
      </c>
      <c r="H282" s="636"/>
      <c r="I282" s="639"/>
    </row>
    <row r="283" spans="1:9" s="51" customFormat="1" ht="12.75" customHeight="1" x14ac:dyDescent="0.25">
      <c r="B283" s="640" t="s">
        <v>2503</v>
      </c>
      <c r="C283" s="646" t="s">
        <v>2084</v>
      </c>
      <c r="D283" s="646" t="s">
        <v>2506</v>
      </c>
      <c r="E283" s="832"/>
      <c r="F283" s="830"/>
      <c r="G283" s="833">
        <f t="shared" si="9"/>
        <v>0</v>
      </c>
      <c r="H283" s="636"/>
      <c r="I283" s="639"/>
    </row>
    <row r="284" spans="1:9" s="51" customFormat="1" ht="12.75" customHeight="1" x14ac:dyDescent="0.25">
      <c r="A284" s="51">
        <f>VALUE(B284)</f>
        <v>374</v>
      </c>
      <c r="B284" s="645">
        <v>374</v>
      </c>
      <c r="C284" s="644" t="s">
        <v>2085</v>
      </c>
      <c r="D284" s="644" t="s">
        <v>2683</v>
      </c>
      <c r="E284" s="829">
        <f>IFERROR(VLOOKUP(B284,'vstupne udaje'!$A$6:$K$236,11,FALSE),0)-SUM(E285:E286)</f>
        <v>0</v>
      </c>
      <c r="F284" s="824"/>
      <c r="G284" s="831">
        <f t="shared" si="9"/>
        <v>0</v>
      </c>
      <c r="H284" s="636">
        <f>IFERROR(VLOOKUP(B284,#REF!,11,FALSE),0)</f>
        <v>0</v>
      </c>
      <c r="I284" s="639"/>
    </row>
    <row r="285" spans="1:9" s="51" customFormat="1" ht="12.75" customHeight="1" x14ac:dyDescent="0.25">
      <c r="B285" s="640" t="s">
        <v>2804</v>
      </c>
      <c r="C285" s="646" t="s">
        <v>1537</v>
      </c>
      <c r="D285" s="646" t="s">
        <v>2684</v>
      </c>
      <c r="E285" s="832"/>
      <c r="F285" s="824"/>
      <c r="G285" s="833">
        <f t="shared" si="9"/>
        <v>0</v>
      </c>
      <c r="H285" s="636"/>
      <c r="I285" s="639"/>
    </row>
    <row r="286" spans="1:9" s="51" customFormat="1" ht="12.75" customHeight="1" x14ac:dyDescent="0.25">
      <c r="B286" s="640" t="s">
        <v>2805</v>
      </c>
      <c r="C286" s="646" t="s">
        <v>1538</v>
      </c>
      <c r="D286" s="646" t="s">
        <v>2685</v>
      </c>
      <c r="E286" s="832"/>
      <c r="F286" s="824"/>
      <c r="G286" s="833">
        <f t="shared" si="9"/>
        <v>0</v>
      </c>
      <c r="H286" s="636"/>
      <c r="I286" s="639"/>
    </row>
    <row r="287" spans="1:9" s="52" customFormat="1" ht="12.75" customHeight="1" x14ac:dyDescent="0.25">
      <c r="A287" s="51">
        <f>VALUE(B287)</f>
        <v>375</v>
      </c>
      <c r="B287" s="631">
        <v>375</v>
      </c>
      <c r="C287" s="623" t="s">
        <v>465</v>
      </c>
      <c r="D287" s="623" t="s">
        <v>2334</v>
      </c>
      <c r="E287" s="829">
        <f>IFERROR(VLOOKUP(B287,'vstupne udaje'!$A$6:$K$236,11,FALSE),0)-SUM(E288:E289)</f>
        <v>0</v>
      </c>
      <c r="F287" s="824"/>
      <c r="G287" s="831">
        <f t="shared" si="9"/>
        <v>0</v>
      </c>
      <c r="H287" s="636">
        <f>IFERROR(VLOOKUP(B287,#REF!,11,FALSE),0)</f>
        <v>0</v>
      </c>
      <c r="I287" s="639"/>
    </row>
    <row r="288" spans="1:9" s="51" customFormat="1" ht="12.75" customHeight="1" x14ac:dyDescent="0.25">
      <c r="B288" s="640" t="s">
        <v>466</v>
      </c>
      <c r="C288" s="642" t="s">
        <v>1192</v>
      </c>
      <c r="D288" s="642" t="s">
        <v>2806</v>
      </c>
      <c r="E288" s="832"/>
      <c r="F288" s="830"/>
      <c r="G288" s="833">
        <f t="shared" si="9"/>
        <v>0</v>
      </c>
      <c r="H288" s="636"/>
      <c r="I288" s="639"/>
    </row>
    <row r="289" spans="1:9" s="51" customFormat="1" ht="12.75" customHeight="1" x14ac:dyDescent="0.25">
      <c r="B289" s="640" t="s">
        <v>786</v>
      </c>
      <c r="C289" s="642" t="s">
        <v>1193</v>
      </c>
      <c r="D289" s="642" t="s">
        <v>2807</v>
      </c>
      <c r="E289" s="832"/>
      <c r="F289" s="830"/>
      <c r="G289" s="833">
        <f t="shared" si="9"/>
        <v>0</v>
      </c>
      <c r="H289" s="636"/>
      <c r="I289" s="639"/>
    </row>
    <row r="290" spans="1:9" s="51" customFormat="1" ht="12.75" customHeight="1" x14ac:dyDescent="0.25">
      <c r="A290" s="51">
        <f>VALUE(B290)</f>
        <v>376</v>
      </c>
      <c r="B290" s="645">
        <v>376</v>
      </c>
      <c r="C290" s="644" t="s">
        <v>1196</v>
      </c>
      <c r="D290" s="644" t="s">
        <v>2335</v>
      </c>
      <c r="E290" s="829">
        <f>IFERROR(VLOOKUP(B290,'vstupne udaje'!$A$6:$K$236,11,FALSE),0)-SUM(E291:E292)</f>
        <v>0</v>
      </c>
      <c r="F290" s="824"/>
      <c r="G290" s="831">
        <f t="shared" si="9"/>
        <v>0</v>
      </c>
      <c r="H290" s="636">
        <f>IFERROR(VLOOKUP(B290,#REF!,11,FALSE),0)</f>
        <v>0</v>
      </c>
      <c r="I290" s="639"/>
    </row>
    <row r="291" spans="1:9" s="51" customFormat="1" ht="12.75" customHeight="1" x14ac:dyDescent="0.25">
      <c r="B291" s="640" t="s">
        <v>627</v>
      </c>
      <c r="C291" s="642" t="s">
        <v>1197</v>
      </c>
      <c r="D291" s="642" t="s">
        <v>2808</v>
      </c>
      <c r="E291" s="832"/>
      <c r="F291" s="830"/>
      <c r="G291" s="833">
        <f t="shared" si="9"/>
        <v>0</v>
      </c>
      <c r="H291" s="636"/>
      <c r="I291" s="639"/>
    </row>
    <row r="292" spans="1:9" s="51" customFormat="1" ht="12.75" customHeight="1" x14ac:dyDescent="0.25">
      <c r="B292" s="640" t="s">
        <v>628</v>
      </c>
      <c r="C292" s="642" t="s">
        <v>2614</v>
      </c>
      <c r="D292" s="642" t="s">
        <v>263</v>
      </c>
      <c r="E292" s="832"/>
      <c r="F292" s="830"/>
      <c r="G292" s="833">
        <f t="shared" si="9"/>
        <v>0</v>
      </c>
      <c r="H292" s="636"/>
      <c r="I292" s="639"/>
    </row>
    <row r="293" spans="1:9" s="51" customFormat="1" ht="12.75" customHeight="1" x14ac:dyDescent="0.25">
      <c r="A293" s="51">
        <f>VALUE(B293)</f>
        <v>377</v>
      </c>
      <c r="B293" s="645">
        <v>377</v>
      </c>
      <c r="C293" s="644" t="s">
        <v>2119</v>
      </c>
      <c r="D293" s="644" t="s">
        <v>2336</v>
      </c>
      <c r="E293" s="829">
        <f>IFERROR(VLOOKUP(B293,'vstupne udaje'!$A$6:$K$236,11,FALSE),0)-SUM(E294:E295)</f>
        <v>0</v>
      </c>
      <c r="F293" s="824"/>
      <c r="G293" s="831">
        <f t="shared" si="9"/>
        <v>0</v>
      </c>
      <c r="H293" s="636">
        <f>IFERROR(VLOOKUP(B293,#REF!,11,FALSE),0)</f>
        <v>0</v>
      </c>
      <c r="I293" s="639"/>
    </row>
    <row r="294" spans="1:9" s="51" customFormat="1" ht="12.75" customHeight="1" x14ac:dyDescent="0.25">
      <c r="B294" s="640" t="s">
        <v>787</v>
      </c>
      <c r="C294" s="642" t="s">
        <v>2120</v>
      </c>
      <c r="D294" s="642" t="s">
        <v>629</v>
      </c>
      <c r="E294" s="832"/>
      <c r="F294" s="830"/>
      <c r="G294" s="833">
        <f t="shared" si="9"/>
        <v>0</v>
      </c>
      <c r="H294" s="636"/>
      <c r="I294" s="639"/>
    </row>
    <row r="295" spans="1:9" s="51" customFormat="1" ht="12.75" customHeight="1" x14ac:dyDescent="0.25">
      <c r="B295" s="640" t="s">
        <v>788</v>
      </c>
      <c r="C295" s="642" t="s">
        <v>1143</v>
      </c>
      <c r="D295" s="642" t="s">
        <v>630</v>
      </c>
      <c r="E295" s="832"/>
      <c r="F295" s="830"/>
      <c r="G295" s="833">
        <f t="shared" si="9"/>
        <v>0</v>
      </c>
      <c r="H295" s="636"/>
      <c r="I295" s="639"/>
    </row>
    <row r="296" spans="1:9" s="51" customFormat="1" ht="12.75" customHeight="1" x14ac:dyDescent="0.25">
      <c r="A296" s="51">
        <f>VALUE(B296)</f>
        <v>378</v>
      </c>
      <c r="B296" s="631">
        <v>378</v>
      </c>
      <c r="C296" s="623" t="s">
        <v>569</v>
      </c>
      <c r="D296" s="623" t="s">
        <v>789</v>
      </c>
      <c r="E296" s="829">
        <f>IFERROR(VLOOKUP(B296,'vstupne udaje'!$A$6:$K$236,11,FALSE),0)-SUM(E297:E300)</f>
        <v>0</v>
      </c>
      <c r="F296" s="824"/>
      <c r="G296" s="831">
        <f t="shared" si="9"/>
        <v>0</v>
      </c>
      <c r="H296" s="636">
        <f>IFERROR(VLOOKUP(B296,#REF!,11,FALSE),0)-SUM(H297:H300)</f>
        <v>0</v>
      </c>
      <c r="I296" s="639"/>
    </row>
    <row r="297" spans="1:9" s="51" customFormat="1" ht="12.75" customHeight="1" x14ac:dyDescent="0.25">
      <c r="B297" s="640" t="s">
        <v>790</v>
      </c>
      <c r="C297" s="646" t="s">
        <v>1144</v>
      </c>
      <c r="D297" s="642" t="s">
        <v>264</v>
      </c>
      <c r="E297" s="832"/>
      <c r="F297" s="830"/>
      <c r="G297" s="838">
        <f t="shared" si="9"/>
        <v>0</v>
      </c>
      <c r="H297" s="636"/>
      <c r="I297" s="639"/>
    </row>
    <row r="298" spans="1:9" s="51" customFormat="1" ht="12.75" customHeight="1" x14ac:dyDescent="0.25">
      <c r="B298" s="640" t="s">
        <v>791</v>
      </c>
      <c r="C298" s="646" t="s">
        <v>1145</v>
      </c>
      <c r="D298" s="642" t="s">
        <v>265</v>
      </c>
      <c r="E298" s="832"/>
      <c r="F298" s="830"/>
      <c r="G298" s="833">
        <f t="shared" si="9"/>
        <v>0</v>
      </c>
      <c r="H298" s="636"/>
      <c r="I298" s="639"/>
    </row>
    <row r="299" spans="1:9" s="51" customFormat="1" ht="12.75" customHeight="1" x14ac:dyDescent="0.25">
      <c r="B299" s="640" t="s">
        <v>2190</v>
      </c>
      <c r="C299" s="646"/>
      <c r="D299" s="642" t="s">
        <v>2191</v>
      </c>
      <c r="E299" s="832"/>
      <c r="F299" s="830"/>
      <c r="G299" s="833">
        <f t="shared" si="9"/>
        <v>0</v>
      </c>
      <c r="H299" s="636"/>
      <c r="I299" s="639"/>
    </row>
    <row r="300" spans="1:9" s="51" customFormat="1" ht="12.75" customHeight="1" x14ac:dyDescent="0.25">
      <c r="B300" s="640" t="s">
        <v>2192</v>
      </c>
      <c r="C300" s="646"/>
      <c r="D300" s="642" t="s">
        <v>2193</v>
      </c>
      <c r="E300" s="832"/>
      <c r="F300" s="830"/>
      <c r="G300" s="833">
        <f t="shared" si="9"/>
        <v>0</v>
      </c>
      <c r="H300" s="636"/>
      <c r="I300" s="639"/>
    </row>
    <row r="301" spans="1:9" s="51" customFormat="1" ht="12.75" customHeight="1" x14ac:dyDescent="0.25">
      <c r="A301" s="51">
        <f>VALUE(B301)</f>
        <v>379</v>
      </c>
      <c r="B301" s="631">
        <v>379</v>
      </c>
      <c r="C301" s="623" t="s">
        <v>323</v>
      </c>
      <c r="D301" s="623" t="s">
        <v>2056</v>
      </c>
      <c r="E301" s="829">
        <f>IFERROR(VLOOKUP(B301,'vstupne udaje'!$A$6:$K$236,11,FALSE),0)-SUM(E302:E303)</f>
        <v>0</v>
      </c>
      <c r="F301" s="824"/>
      <c r="G301" s="831">
        <f t="shared" si="9"/>
        <v>0</v>
      </c>
      <c r="H301" s="636">
        <f>IFERROR(VLOOKUP(B301,#REF!,11,FALSE),0)-SUM(H302:H303)</f>
        <v>0</v>
      </c>
      <c r="I301" s="639"/>
    </row>
    <row r="302" spans="1:9" s="51" customFormat="1" ht="12.75" customHeight="1" x14ac:dyDescent="0.25">
      <c r="B302" s="640" t="s">
        <v>681</v>
      </c>
      <c r="C302" s="646" t="s">
        <v>1146</v>
      </c>
      <c r="D302" s="642" t="s">
        <v>266</v>
      </c>
      <c r="E302" s="832"/>
      <c r="F302" s="824"/>
      <c r="G302" s="833">
        <f t="shared" si="9"/>
        <v>0</v>
      </c>
      <c r="H302" s="636"/>
      <c r="I302" s="639"/>
    </row>
    <row r="303" spans="1:9" s="51" customFormat="1" ht="12.75" customHeight="1" x14ac:dyDescent="0.25">
      <c r="B303" s="640" t="s">
        <v>682</v>
      </c>
      <c r="C303" s="646" t="s">
        <v>114</v>
      </c>
      <c r="D303" s="642" t="s">
        <v>267</v>
      </c>
      <c r="E303" s="832"/>
      <c r="F303" s="824"/>
      <c r="G303" s="833">
        <f t="shared" si="9"/>
        <v>0</v>
      </c>
      <c r="H303" s="636"/>
      <c r="I303" s="639"/>
    </row>
    <row r="304" spans="1:9" s="52" customFormat="1" ht="12.75" customHeight="1" x14ac:dyDescent="0.25">
      <c r="A304" s="51" t="e">
        <f>VALUE(B304)</f>
        <v>#VALUE!</v>
      </c>
      <c r="B304" s="631" t="s">
        <v>3087</v>
      </c>
      <c r="C304" s="623"/>
      <c r="D304" s="623"/>
      <c r="E304" s="829"/>
      <c r="F304" s="824"/>
      <c r="G304" s="831"/>
      <c r="H304" s="636"/>
      <c r="I304" s="639"/>
    </row>
    <row r="305" spans="1:9" s="51" customFormat="1" ht="12.75" customHeight="1" x14ac:dyDescent="0.25">
      <c r="B305" s="652" t="s">
        <v>2057</v>
      </c>
      <c r="C305" s="653" t="s">
        <v>1972</v>
      </c>
      <c r="D305" s="653" t="s">
        <v>2096</v>
      </c>
      <c r="E305" s="835">
        <f>SUM(E306:E320)</f>
        <v>0</v>
      </c>
      <c r="F305" s="836">
        <f>SUM(F306:F320)</f>
        <v>0</v>
      </c>
      <c r="G305" s="837">
        <f t="shared" si="9"/>
        <v>0</v>
      </c>
      <c r="H305" s="675">
        <f>SUM(H306:H320)</f>
        <v>0</v>
      </c>
      <c r="I305" s="639"/>
    </row>
    <row r="306" spans="1:9" s="51" customFormat="1" ht="12.75" customHeight="1" x14ac:dyDescent="0.25">
      <c r="A306" s="51">
        <f>VALUE(B306)</f>
        <v>381</v>
      </c>
      <c r="B306" s="631">
        <v>381</v>
      </c>
      <c r="C306" s="623" t="s">
        <v>1973</v>
      </c>
      <c r="D306" s="623" t="s">
        <v>1974</v>
      </c>
      <c r="E306" s="829">
        <f>IFERROR(VLOOKUP(B306,'vstupne udaje'!$A$6:$K$236,11,FALSE),0)-SUM(E307:E308)</f>
        <v>0</v>
      </c>
      <c r="F306" s="830"/>
      <c r="G306" s="831">
        <f t="shared" si="9"/>
        <v>0</v>
      </c>
      <c r="H306" s="636">
        <f>IFERROR(VLOOKUP(B306,#REF!,11,FALSE),0)-SUM(H307:H308)</f>
        <v>0</v>
      </c>
      <c r="I306" s="639"/>
    </row>
    <row r="307" spans="1:9" s="51" customFormat="1" ht="12.75" customHeight="1" x14ac:dyDescent="0.25">
      <c r="B307" s="640" t="s">
        <v>1369</v>
      </c>
      <c r="C307" s="647" t="s">
        <v>1973</v>
      </c>
      <c r="D307" s="642" t="s">
        <v>1372</v>
      </c>
      <c r="E307" s="832"/>
      <c r="F307" s="830"/>
      <c r="G307" s="833">
        <f t="shared" si="9"/>
        <v>0</v>
      </c>
      <c r="H307" s="636"/>
      <c r="I307" s="639"/>
    </row>
    <row r="308" spans="1:9" s="51" customFormat="1" ht="12.75" customHeight="1" x14ac:dyDescent="0.25">
      <c r="B308" s="640" t="s">
        <v>1370</v>
      </c>
      <c r="C308" s="647" t="s">
        <v>1973</v>
      </c>
      <c r="D308" s="642" t="s">
        <v>1371</v>
      </c>
      <c r="E308" s="832"/>
      <c r="F308" s="830"/>
      <c r="G308" s="833">
        <f t="shared" si="9"/>
        <v>0</v>
      </c>
      <c r="H308" s="636"/>
      <c r="I308" s="639"/>
    </row>
    <row r="309" spans="1:9" s="51" customFormat="1" ht="12.75" customHeight="1" x14ac:dyDescent="0.25">
      <c r="A309" s="51">
        <f>VALUE(B309)</f>
        <v>382</v>
      </c>
      <c r="B309" s="631">
        <v>382</v>
      </c>
      <c r="C309" s="623" t="s">
        <v>1975</v>
      </c>
      <c r="D309" s="623" t="s">
        <v>1441</v>
      </c>
      <c r="E309" s="829">
        <f>IFERROR(VLOOKUP(B309,'vstupne udaje'!$A$6:$K$236,11,FALSE),0)-SUM(E310:E311)</f>
        <v>0</v>
      </c>
      <c r="F309" s="830"/>
      <c r="G309" s="831">
        <f t="shared" si="9"/>
        <v>0</v>
      </c>
      <c r="H309" s="636">
        <f>IFERROR(VLOOKUP(B309,#REF!,11,FALSE),0)</f>
        <v>0</v>
      </c>
      <c r="I309" s="639"/>
    </row>
    <row r="310" spans="1:9" s="51" customFormat="1" ht="12.75" customHeight="1" x14ac:dyDescent="0.25">
      <c r="B310" s="640" t="s">
        <v>1375</v>
      </c>
      <c r="C310" s="647" t="s">
        <v>1973</v>
      </c>
      <c r="D310" s="642" t="s">
        <v>1373</v>
      </c>
      <c r="E310" s="832"/>
      <c r="F310" s="830"/>
      <c r="G310" s="833">
        <f t="shared" si="9"/>
        <v>0</v>
      </c>
      <c r="H310" s="636"/>
      <c r="I310" s="639"/>
    </row>
    <row r="311" spans="1:9" s="51" customFormat="1" ht="12.75" customHeight="1" x14ac:dyDescent="0.25">
      <c r="B311" s="640" t="s">
        <v>1376</v>
      </c>
      <c r="C311" s="647" t="s">
        <v>1973</v>
      </c>
      <c r="D311" s="642" t="s">
        <v>1374</v>
      </c>
      <c r="E311" s="832"/>
      <c r="F311" s="830"/>
      <c r="G311" s="833">
        <f t="shared" si="9"/>
        <v>0</v>
      </c>
      <c r="H311" s="636"/>
      <c r="I311" s="639"/>
    </row>
    <row r="312" spans="1:9" s="51" customFormat="1" ht="12.75" customHeight="1" x14ac:dyDescent="0.25">
      <c r="A312" s="51">
        <f>VALUE(B312)</f>
        <v>383</v>
      </c>
      <c r="B312" s="631">
        <v>383</v>
      </c>
      <c r="C312" s="623" t="s">
        <v>1442</v>
      </c>
      <c r="D312" s="623" t="s">
        <v>1443</v>
      </c>
      <c r="E312" s="829">
        <f>IFERROR(VLOOKUP(B312,'vstupne udaje'!$A$6:$K$236,11,FALSE),0)-SUM(E313:E314)</f>
        <v>0</v>
      </c>
      <c r="F312" s="830"/>
      <c r="G312" s="831">
        <f t="shared" si="9"/>
        <v>0</v>
      </c>
      <c r="H312" s="636">
        <f>IFERROR(VLOOKUP(B312,#REF!,11,FALSE),0)</f>
        <v>0</v>
      </c>
      <c r="I312" s="639"/>
    </row>
    <row r="313" spans="1:9" s="51" customFormat="1" ht="12.75" customHeight="1" x14ac:dyDescent="0.25">
      <c r="B313" s="640" t="s">
        <v>2846</v>
      </c>
      <c r="C313" s="623" t="s">
        <v>1442</v>
      </c>
      <c r="D313" s="642" t="s">
        <v>1381</v>
      </c>
      <c r="E313" s="832"/>
      <c r="F313" s="830"/>
      <c r="G313" s="833">
        <f t="shared" si="9"/>
        <v>0</v>
      </c>
      <c r="H313" s="636"/>
      <c r="I313" s="639"/>
    </row>
    <row r="314" spans="1:9" s="51" customFormat="1" ht="12.75" customHeight="1" x14ac:dyDescent="0.25">
      <c r="B314" s="640" t="s">
        <v>2847</v>
      </c>
      <c r="C314" s="623" t="s">
        <v>1442</v>
      </c>
      <c r="D314" s="642" t="s">
        <v>2845</v>
      </c>
      <c r="E314" s="832"/>
      <c r="F314" s="830"/>
      <c r="G314" s="833">
        <f t="shared" si="9"/>
        <v>0</v>
      </c>
      <c r="H314" s="636"/>
      <c r="I314" s="639"/>
    </row>
    <row r="315" spans="1:9" s="51" customFormat="1" ht="12.75" customHeight="1" x14ac:dyDescent="0.25">
      <c r="A315" s="51">
        <f>VALUE(B315)</f>
        <v>384</v>
      </c>
      <c r="B315" s="631">
        <v>384</v>
      </c>
      <c r="C315" s="623" t="s">
        <v>1444</v>
      </c>
      <c r="D315" s="623" t="s">
        <v>1445</v>
      </c>
      <c r="E315" s="829">
        <f>IFERROR(VLOOKUP(B315,'vstupne udaje'!$A$6:$K$236,11,FALSE),0)-SUM(E316:E317)</f>
        <v>0</v>
      </c>
      <c r="F315" s="830"/>
      <c r="G315" s="831">
        <f t="shared" si="9"/>
        <v>0</v>
      </c>
      <c r="H315" s="636">
        <f>IFERROR(VLOOKUP(B315,#REF!,11,FALSE),0)-SUM(H316:H317)</f>
        <v>0</v>
      </c>
      <c r="I315" s="639"/>
    </row>
    <row r="316" spans="1:9" s="51" customFormat="1" ht="12.75" customHeight="1" x14ac:dyDescent="0.25">
      <c r="B316" s="640" t="s">
        <v>2850</v>
      </c>
      <c r="C316" s="647" t="s">
        <v>1973</v>
      </c>
      <c r="D316" s="642" t="s">
        <v>2848</v>
      </c>
      <c r="E316" s="832"/>
      <c r="F316" s="830"/>
      <c r="G316" s="833">
        <f t="shared" si="9"/>
        <v>0</v>
      </c>
      <c r="H316" s="636"/>
      <c r="I316" s="639"/>
    </row>
    <row r="317" spans="1:9" s="51" customFormat="1" ht="12.75" customHeight="1" x14ac:dyDescent="0.25">
      <c r="B317" s="640" t="s">
        <v>2851</v>
      </c>
      <c r="C317" s="647" t="s">
        <v>1973</v>
      </c>
      <c r="D317" s="642" t="s">
        <v>2849</v>
      </c>
      <c r="E317" s="832"/>
      <c r="F317" s="830"/>
      <c r="G317" s="833">
        <f t="shared" si="9"/>
        <v>0</v>
      </c>
      <c r="H317" s="636"/>
      <c r="I317" s="639"/>
    </row>
    <row r="318" spans="1:9" s="51" customFormat="1" ht="12.75" customHeight="1" x14ac:dyDescent="0.25">
      <c r="A318" s="51">
        <f>VALUE(B318)</f>
        <v>385</v>
      </c>
      <c r="B318" s="631">
        <v>385</v>
      </c>
      <c r="C318" s="623" t="s">
        <v>1446</v>
      </c>
      <c r="D318" s="623" t="s">
        <v>1447</v>
      </c>
      <c r="E318" s="829">
        <f>IFERROR(VLOOKUP(B318,'vstupne udaje'!$A$6:$K$236,11,FALSE),0)-SUM(E319:E320)</f>
        <v>0</v>
      </c>
      <c r="F318" s="830"/>
      <c r="G318" s="831">
        <f t="shared" si="9"/>
        <v>0</v>
      </c>
      <c r="H318" s="636">
        <f>IFERROR(VLOOKUP(B318,#REF!,11,FALSE),0)-SUM(H319:H320)</f>
        <v>0</v>
      </c>
      <c r="I318" s="639"/>
    </row>
    <row r="319" spans="1:9" s="51" customFormat="1" ht="12.75" customHeight="1" x14ac:dyDescent="0.25">
      <c r="B319" s="640" t="s">
        <v>1379</v>
      </c>
      <c r="C319" s="623" t="s">
        <v>1446</v>
      </c>
      <c r="D319" s="642" t="s">
        <v>1377</v>
      </c>
      <c r="E319" s="832"/>
      <c r="F319" s="830"/>
      <c r="G319" s="833">
        <f t="shared" si="9"/>
        <v>0</v>
      </c>
      <c r="H319" s="636"/>
      <c r="I319" s="639"/>
    </row>
    <row r="320" spans="1:9" s="51" customFormat="1" ht="12.75" customHeight="1" x14ac:dyDescent="0.25">
      <c r="B320" s="640" t="s">
        <v>1380</v>
      </c>
      <c r="C320" s="623" t="s">
        <v>1446</v>
      </c>
      <c r="D320" s="642" t="s">
        <v>1378</v>
      </c>
      <c r="E320" s="832"/>
      <c r="F320" s="830"/>
      <c r="G320" s="833">
        <f t="shared" si="9"/>
        <v>0</v>
      </c>
      <c r="H320" s="636"/>
      <c r="I320" s="639"/>
    </row>
    <row r="321" spans="1:9" s="51" customFormat="1" ht="12.75" customHeight="1" x14ac:dyDescent="0.25">
      <c r="A321" s="51" t="e">
        <f>VALUE(B321)</f>
        <v>#VALUE!</v>
      </c>
      <c r="B321" s="631" t="s">
        <v>3087</v>
      </c>
      <c r="C321" s="623"/>
      <c r="D321" s="623"/>
      <c r="E321" s="829"/>
      <c r="F321" s="830"/>
      <c r="G321" s="831"/>
      <c r="H321" s="636"/>
      <c r="I321" s="639"/>
    </row>
    <row r="322" spans="1:9" s="51" customFormat="1" ht="12.75" customHeight="1" x14ac:dyDescent="0.25">
      <c r="B322" s="652" t="s">
        <v>2337</v>
      </c>
      <c r="C322" s="653" t="s">
        <v>2338</v>
      </c>
      <c r="D322" s="653" t="s">
        <v>2865</v>
      </c>
      <c r="E322" s="835">
        <f>SUM(E323:E340)</f>
        <v>0</v>
      </c>
      <c r="F322" s="836">
        <f>SUM(F323:F340)</f>
        <v>0</v>
      </c>
      <c r="G322" s="837">
        <f t="shared" si="9"/>
        <v>0</v>
      </c>
      <c r="H322" s="675">
        <f>SUM(H323:H340)</f>
        <v>0</v>
      </c>
      <c r="I322" s="639"/>
    </row>
    <row r="323" spans="1:9" s="51" customFormat="1" ht="12.75" customHeight="1" x14ac:dyDescent="0.25">
      <c r="A323" s="51">
        <f>VALUE(B323)</f>
        <v>391</v>
      </c>
      <c r="B323" s="631">
        <v>391</v>
      </c>
      <c r="C323" s="623" t="s">
        <v>1782</v>
      </c>
      <c r="D323" s="623" t="s">
        <v>1783</v>
      </c>
      <c r="E323" s="829">
        <f>IFERROR(VLOOKUP(B323,'vstupne udaje'!$A$6:$K$236,11,FALSE),0)-SUM(E324:E336)</f>
        <v>0</v>
      </c>
      <c r="F323" s="824"/>
      <c r="G323" s="831">
        <f t="shared" si="9"/>
        <v>0</v>
      </c>
      <c r="H323" s="636">
        <f>IFERROR(VLOOKUP(B323,#REF!,11,FALSE),0)-SUM(H324:H336)</f>
        <v>0</v>
      </c>
      <c r="I323" s="639"/>
    </row>
    <row r="324" spans="1:9" s="51" customFormat="1" ht="12.75" customHeight="1" x14ac:dyDescent="0.25">
      <c r="B324" s="640" t="s">
        <v>1784</v>
      </c>
      <c r="C324" s="642" t="s">
        <v>1785</v>
      </c>
      <c r="D324" s="642" t="s">
        <v>1786</v>
      </c>
      <c r="E324" s="832"/>
      <c r="F324" s="830"/>
      <c r="G324" s="833">
        <f t="shared" si="9"/>
        <v>0</v>
      </c>
      <c r="H324" s="636"/>
      <c r="I324" s="639"/>
    </row>
    <row r="325" spans="1:9" s="51" customFormat="1" ht="12.75" customHeight="1" x14ac:dyDescent="0.25">
      <c r="B325" s="640" t="s">
        <v>1787</v>
      </c>
      <c r="C325" s="642" t="s">
        <v>115</v>
      </c>
      <c r="D325" s="642" t="s">
        <v>220</v>
      </c>
      <c r="E325" s="832"/>
      <c r="F325" s="830"/>
      <c r="G325" s="833">
        <f t="shared" si="9"/>
        <v>0</v>
      </c>
      <c r="H325" s="636"/>
      <c r="I325" s="639"/>
    </row>
    <row r="326" spans="1:9" s="53" customFormat="1" ht="12.75" customHeight="1" x14ac:dyDescent="0.25">
      <c r="A326" s="51"/>
      <c r="B326" s="640" t="s">
        <v>2113</v>
      </c>
      <c r="C326" s="642" t="s">
        <v>116</v>
      </c>
      <c r="D326" s="642" t="s">
        <v>221</v>
      </c>
      <c r="E326" s="832"/>
      <c r="F326" s="824"/>
      <c r="G326" s="833">
        <f t="shared" si="9"/>
        <v>0</v>
      </c>
      <c r="H326" s="636"/>
      <c r="I326" s="639"/>
    </row>
    <row r="327" spans="1:9" s="53" customFormat="1" ht="12.75" customHeight="1" x14ac:dyDescent="0.25">
      <c r="A327" s="51"/>
      <c r="B327" s="640" t="s">
        <v>2114</v>
      </c>
      <c r="C327" s="642" t="s">
        <v>117</v>
      </c>
      <c r="D327" s="642" t="s">
        <v>222</v>
      </c>
      <c r="E327" s="832"/>
      <c r="F327" s="834"/>
      <c r="G327" s="833">
        <f t="shared" si="9"/>
        <v>0</v>
      </c>
      <c r="H327" s="636"/>
      <c r="I327" s="639"/>
    </row>
    <row r="328" spans="1:9" s="53" customFormat="1" ht="12.75" customHeight="1" x14ac:dyDescent="0.25">
      <c r="A328" s="51"/>
      <c r="B328" s="640" t="s">
        <v>2115</v>
      </c>
      <c r="C328" s="642" t="s">
        <v>118</v>
      </c>
      <c r="D328" s="642" t="s">
        <v>223</v>
      </c>
      <c r="E328" s="832"/>
      <c r="F328" s="834"/>
      <c r="G328" s="833">
        <f t="shared" si="9"/>
        <v>0</v>
      </c>
      <c r="H328" s="636"/>
      <c r="I328" s="639"/>
    </row>
    <row r="329" spans="1:9" s="51" customFormat="1" ht="12.75" customHeight="1" x14ac:dyDescent="0.25">
      <c r="B329" s="640" t="s">
        <v>2146</v>
      </c>
      <c r="C329" s="642" t="s">
        <v>119</v>
      </c>
      <c r="D329" s="642" t="s">
        <v>1487</v>
      </c>
      <c r="E329" s="832"/>
      <c r="F329" s="830"/>
      <c r="G329" s="833">
        <f t="shared" si="9"/>
        <v>0</v>
      </c>
      <c r="H329" s="636"/>
      <c r="I329" s="639"/>
    </row>
    <row r="330" spans="1:9" s="51" customFormat="1" ht="12.75" customHeight="1" x14ac:dyDescent="0.25">
      <c r="B330" s="640" t="s">
        <v>2147</v>
      </c>
      <c r="C330" s="642" t="s">
        <v>120</v>
      </c>
      <c r="D330" s="642" t="s">
        <v>372</v>
      </c>
      <c r="E330" s="832"/>
      <c r="F330" s="824"/>
      <c r="G330" s="833">
        <f t="shared" si="9"/>
        <v>0</v>
      </c>
      <c r="H330" s="636"/>
      <c r="I330" s="639"/>
    </row>
    <row r="331" spans="1:9" s="51" customFormat="1" ht="12.75" customHeight="1" x14ac:dyDescent="0.25">
      <c r="B331" s="640" t="s">
        <v>2148</v>
      </c>
      <c r="C331" s="642" t="s">
        <v>121</v>
      </c>
      <c r="D331" s="642" t="s">
        <v>373</v>
      </c>
      <c r="E331" s="832"/>
      <c r="F331" s="834"/>
      <c r="G331" s="833">
        <f t="shared" si="9"/>
        <v>0</v>
      </c>
      <c r="H331" s="636"/>
      <c r="I331" s="639"/>
    </row>
    <row r="332" spans="1:9" s="51" customFormat="1" ht="12.75" customHeight="1" x14ac:dyDescent="0.25">
      <c r="B332" s="640" t="s">
        <v>1606</v>
      </c>
      <c r="C332" s="642" t="s">
        <v>2524</v>
      </c>
      <c r="D332" s="642" t="s">
        <v>1531</v>
      </c>
      <c r="E332" s="832"/>
      <c r="F332" s="834"/>
      <c r="G332" s="833">
        <f t="shared" ref="G332:G395" si="10">E332+F332</f>
        <v>0</v>
      </c>
      <c r="H332" s="636"/>
      <c r="I332" s="639"/>
    </row>
    <row r="333" spans="1:9" s="51" customFormat="1" ht="12.75" customHeight="1" x14ac:dyDescent="0.25">
      <c r="B333" s="640" t="s">
        <v>2672</v>
      </c>
      <c r="C333" s="642" t="s">
        <v>1612</v>
      </c>
      <c r="D333" s="642" t="s">
        <v>1532</v>
      </c>
      <c r="E333" s="832"/>
      <c r="F333" s="824"/>
      <c r="G333" s="833">
        <f t="shared" si="10"/>
        <v>0</v>
      </c>
      <c r="H333" s="636"/>
      <c r="I333" s="639"/>
    </row>
    <row r="334" spans="1:9" s="50" customFormat="1" ht="12.75" customHeight="1" x14ac:dyDescent="0.25">
      <c r="A334" s="51"/>
      <c r="B334" s="640" t="s">
        <v>590</v>
      </c>
      <c r="C334" s="642" t="s">
        <v>1613</v>
      </c>
      <c r="D334" s="642" t="s">
        <v>1533</v>
      </c>
      <c r="E334" s="832"/>
      <c r="F334" s="824"/>
      <c r="G334" s="833">
        <f t="shared" si="10"/>
        <v>0</v>
      </c>
      <c r="H334" s="636"/>
      <c r="I334" s="639"/>
    </row>
    <row r="335" spans="1:9" s="51" customFormat="1" ht="12.75" customHeight="1" x14ac:dyDescent="0.25">
      <c r="B335" s="640" t="s">
        <v>591</v>
      </c>
      <c r="C335" s="642" t="s">
        <v>1614</v>
      </c>
      <c r="D335" s="642" t="s">
        <v>589</v>
      </c>
      <c r="E335" s="832"/>
      <c r="F335" s="824"/>
      <c r="G335" s="833">
        <f t="shared" si="10"/>
        <v>0</v>
      </c>
      <c r="H335" s="636"/>
      <c r="I335" s="639"/>
    </row>
    <row r="336" spans="1:9" s="52" customFormat="1" ht="12.75" customHeight="1" x14ac:dyDescent="0.25">
      <c r="A336" s="51"/>
      <c r="B336" s="640" t="s">
        <v>2157</v>
      </c>
      <c r="C336" s="642" t="s">
        <v>1615</v>
      </c>
      <c r="D336" s="642" t="s">
        <v>1607</v>
      </c>
      <c r="E336" s="832"/>
      <c r="F336" s="824"/>
      <c r="G336" s="833">
        <f t="shared" si="10"/>
        <v>0</v>
      </c>
      <c r="H336" s="636"/>
      <c r="I336" s="639"/>
    </row>
    <row r="337" spans="1:9" s="51" customFormat="1" ht="12.75" customHeight="1" x14ac:dyDescent="0.25">
      <c r="A337" s="51">
        <f>VALUE(B337)</f>
        <v>395</v>
      </c>
      <c r="B337" s="631">
        <v>395</v>
      </c>
      <c r="C337" s="623" t="s">
        <v>1576</v>
      </c>
      <c r="D337" s="623" t="s">
        <v>2686</v>
      </c>
      <c r="E337" s="829">
        <f>IFERROR(VLOOKUP(B337,'vstupne udaje'!$A$6:$K$236,11,FALSE),0)</f>
        <v>0</v>
      </c>
      <c r="F337" s="830"/>
      <c r="G337" s="831">
        <f t="shared" si="10"/>
        <v>0</v>
      </c>
      <c r="H337" s="636">
        <f>IFERROR(VLOOKUP(B337,#REF!,11,FALSE),0)</f>
        <v>0</v>
      </c>
      <c r="I337" s="639"/>
    </row>
    <row r="338" spans="1:9" s="51" customFormat="1" ht="12.75" customHeight="1" x14ac:dyDescent="0.25">
      <c r="A338" s="51">
        <f>VALUE(B338)</f>
        <v>398</v>
      </c>
      <c r="B338" s="631">
        <v>398</v>
      </c>
      <c r="C338" s="623" t="s">
        <v>1577</v>
      </c>
      <c r="D338" s="623" t="s">
        <v>1578</v>
      </c>
      <c r="E338" s="829">
        <f>IFERROR(VLOOKUP(B338,'vstupne udaje'!$A$6:$K$236,11,FALSE),0)-SUM(E339:E340)</f>
        <v>0</v>
      </c>
      <c r="F338" s="824"/>
      <c r="G338" s="831">
        <f t="shared" si="10"/>
        <v>0</v>
      </c>
      <c r="H338" s="636">
        <f>IFERROR(VLOOKUP(B338,#REF!,11,FALSE),0)</f>
        <v>0</v>
      </c>
      <c r="I338" s="639"/>
    </row>
    <row r="339" spans="1:9" s="52" customFormat="1" ht="12.75" customHeight="1" x14ac:dyDescent="0.25">
      <c r="A339" s="51"/>
      <c r="B339" s="640" t="s">
        <v>1579</v>
      </c>
      <c r="C339" s="642" t="s">
        <v>1616</v>
      </c>
      <c r="D339" s="642" t="s">
        <v>1580</v>
      </c>
      <c r="E339" s="832"/>
      <c r="F339" s="824"/>
      <c r="G339" s="833">
        <f t="shared" si="10"/>
        <v>0</v>
      </c>
      <c r="H339" s="636"/>
      <c r="I339" s="639"/>
    </row>
    <row r="340" spans="1:9" s="51" customFormat="1" ht="12.75" customHeight="1" x14ac:dyDescent="0.25">
      <c r="B340" s="640" t="s">
        <v>1581</v>
      </c>
      <c r="C340" s="642" t="s">
        <v>1823</v>
      </c>
      <c r="D340" s="642" t="s">
        <v>1582</v>
      </c>
      <c r="E340" s="832"/>
      <c r="F340" s="830"/>
      <c r="G340" s="833">
        <f t="shared" si="10"/>
        <v>0</v>
      </c>
      <c r="H340" s="636"/>
      <c r="I340" s="639"/>
    </row>
    <row r="341" spans="1:9" s="51" customFormat="1" ht="12.75" customHeight="1" x14ac:dyDescent="0.25">
      <c r="A341" s="51" t="e">
        <f>VALUE(B341)</f>
        <v>#VALUE!</v>
      </c>
      <c r="B341" s="631" t="s">
        <v>3087</v>
      </c>
      <c r="C341" s="623"/>
      <c r="D341" s="623"/>
      <c r="E341" s="829"/>
      <c r="F341" s="830"/>
      <c r="G341" s="831"/>
      <c r="H341" s="636"/>
      <c r="I341" s="639"/>
    </row>
    <row r="342" spans="1:9" s="51" customFormat="1" ht="12.75" customHeight="1" x14ac:dyDescent="0.25">
      <c r="B342" s="652" t="s">
        <v>2548</v>
      </c>
      <c r="C342" s="653" t="s">
        <v>2549</v>
      </c>
      <c r="D342" s="653" t="s">
        <v>2550</v>
      </c>
      <c r="E342" s="835">
        <f>E344+E355+E363+E366+E372+E377+E404+E409</f>
        <v>-1848.6299999999992</v>
      </c>
      <c r="F342" s="836">
        <f>F344+F355+F363+F366+F372+F377+F404+F409</f>
        <v>0</v>
      </c>
      <c r="G342" s="837">
        <f t="shared" si="10"/>
        <v>-1848.6299999999992</v>
      </c>
      <c r="H342" s="675">
        <f>H344+H355+H363+H366+H372+H377+H404+H409</f>
        <v>0</v>
      </c>
      <c r="I342" s="639"/>
    </row>
    <row r="343" spans="1:9" s="51" customFormat="1" ht="12.75" customHeight="1" x14ac:dyDescent="0.25">
      <c r="A343" s="51" t="e">
        <f>VALUE(B343)</f>
        <v>#VALUE!</v>
      </c>
      <c r="B343" s="631" t="s">
        <v>3087</v>
      </c>
      <c r="C343" s="623"/>
      <c r="D343" s="623"/>
      <c r="E343" s="829"/>
      <c r="F343" s="830"/>
      <c r="G343" s="831"/>
      <c r="H343" s="636"/>
      <c r="I343" s="639"/>
    </row>
    <row r="344" spans="1:9" s="51" customFormat="1" ht="12.75" customHeight="1" x14ac:dyDescent="0.25">
      <c r="B344" s="652" t="s">
        <v>2551</v>
      </c>
      <c r="C344" s="653" t="s">
        <v>2552</v>
      </c>
      <c r="D344" s="653" t="s">
        <v>2553</v>
      </c>
      <c r="E344" s="835">
        <f>SUM(E345:E353)</f>
        <v>-11618</v>
      </c>
      <c r="F344" s="836">
        <f>SUM(F345:F353)</f>
        <v>0</v>
      </c>
      <c r="G344" s="837">
        <f t="shared" si="10"/>
        <v>-11618</v>
      </c>
      <c r="H344" s="675">
        <f>SUM(H345:H353)</f>
        <v>0</v>
      </c>
      <c r="I344" s="639"/>
    </row>
    <row r="345" spans="1:9" s="51" customFormat="1" ht="12.75" customHeight="1" x14ac:dyDescent="0.25">
      <c r="A345" s="51">
        <f t="shared" ref="A345:A354" si="11">VALUE(B345)</f>
        <v>411</v>
      </c>
      <c r="B345" s="631">
        <v>411</v>
      </c>
      <c r="C345" s="623" t="s">
        <v>2554</v>
      </c>
      <c r="D345" s="623" t="s">
        <v>2555</v>
      </c>
      <c r="E345" s="829">
        <f>IFERROR(VLOOKUP(B345,'vstupne udaje'!$A$6:$K$236,11,FALSE),0)</f>
        <v>-11618</v>
      </c>
      <c r="F345" s="830"/>
      <c r="G345" s="831">
        <f t="shared" si="10"/>
        <v>-11618</v>
      </c>
      <c r="H345" s="636">
        <f>IFERROR(VLOOKUP(B345,#REF!,11,FALSE),0)</f>
        <v>0</v>
      </c>
      <c r="I345" s="639"/>
    </row>
    <row r="346" spans="1:9" s="51" customFormat="1" ht="12.75" customHeight="1" x14ac:dyDescent="0.25">
      <c r="A346" s="51">
        <f t="shared" si="11"/>
        <v>412</v>
      </c>
      <c r="B346" s="631">
        <v>412</v>
      </c>
      <c r="C346" s="623" t="s">
        <v>2556</v>
      </c>
      <c r="D346" s="623" t="s">
        <v>2557</v>
      </c>
      <c r="E346" s="829">
        <f>IFERROR(VLOOKUP(B346,'vstupne udaje'!$A$6:$K$236,11,FALSE),0)</f>
        <v>0</v>
      </c>
      <c r="F346" s="824"/>
      <c r="G346" s="831">
        <f t="shared" si="10"/>
        <v>0</v>
      </c>
      <c r="H346" s="636">
        <f>IFERROR(VLOOKUP(B346,#REF!,11,FALSE),0)</f>
        <v>0</v>
      </c>
      <c r="I346" s="639"/>
    </row>
    <row r="347" spans="1:9" s="52" customFormat="1" ht="12.75" customHeight="1" x14ac:dyDescent="0.25">
      <c r="A347" s="51">
        <f t="shared" si="11"/>
        <v>413</v>
      </c>
      <c r="B347" s="631">
        <v>413</v>
      </c>
      <c r="C347" s="623" t="s">
        <v>2558</v>
      </c>
      <c r="D347" s="623" t="s">
        <v>2097</v>
      </c>
      <c r="E347" s="829">
        <f>IFERROR(VLOOKUP(B347,'vstupne udaje'!$A$6:$K$236,11,FALSE),0)</f>
        <v>0</v>
      </c>
      <c r="F347" s="824"/>
      <c r="G347" s="831">
        <f t="shared" si="10"/>
        <v>0</v>
      </c>
      <c r="H347" s="636">
        <f>IFERROR(VLOOKUP(B347,#REF!,11,FALSE),0)</f>
        <v>0</v>
      </c>
      <c r="I347" s="639"/>
    </row>
    <row r="348" spans="1:9" s="51" customFormat="1" ht="12.75" customHeight="1" x14ac:dyDescent="0.25">
      <c r="A348" s="51">
        <f t="shared" si="11"/>
        <v>414</v>
      </c>
      <c r="B348" s="631">
        <v>414</v>
      </c>
      <c r="C348" s="623" t="s">
        <v>873</v>
      </c>
      <c r="D348" s="623" t="s">
        <v>2098</v>
      </c>
      <c r="E348" s="829">
        <f>IFERROR(VLOOKUP(B348,'vstupne udaje'!$A$6:$K$236,11,FALSE),0)</f>
        <v>0</v>
      </c>
      <c r="F348" s="830"/>
      <c r="G348" s="831">
        <f t="shared" si="10"/>
        <v>0</v>
      </c>
      <c r="H348" s="636">
        <f>IFERROR(VLOOKUP(B348,#REF!,11,FALSE),0)</f>
        <v>0</v>
      </c>
      <c r="I348" s="639"/>
    </row>
    <row r="349" spans="1:9" s="51" customFormat="1" ht="12.75" customHeight="1" x14ac:dyDescent="0.25">
      <c r="A349" s="51">
        <f t="shared" si="11"/>
        <v>415</v>
      </c>
      <c r="B349" s="631">
        <v>415</v>
      </c>
      <c r="C349" s="623" t="s">
        <v>874</v>
      </c>
      <c r="D349" s="623" t="s">
        <v>2099</v>
      </c>
      <c r="E349" s="829">
        <f>IFERROR(VLOOKUP(B349,'vstupne udaje'!$A$6:$K$236,11,FALSE),0)</f>
        <v>0</v>
      </c>
      <c r="F349" s="824"/>
      <c r="G349" s="831">
        <f t="shared" si="10"/>
        <v>0</v>
      </c>
      <c r="H349" s="636">
        <f>IFERROR(VLOOKUP(B349,#REF!,11,FALSE),0)</f>
        <v>0</v>
      </c>
      <c r="I349" s="639"/>
    </row>
    <row r="350" spans="1:9" s="52" customFormat="1" ht="12.75" customHeight="1" x14ac:dyDescent="0.25">
      <c r="A350" s="51">
        <f t="shared" si="11"/>
        <v>416</v>
      </c>
      <c r="B350" s="631">
        <v>416</v>
      </c>
      <c r="C350" s="623" t="s">
        <v>1824</v>
      </c>
      <c r="D350" s="623" t="s">
        <v>1199</v>
      </c>
      <c r="E350" s="829">
        <f>IFERROR(VLOOKUP(B350,'vstupne udaje'!$A$6:$K$236,11,FALSE),0)</f>
        <v>0</v>
      </c>
      <c r="F350" s="824"/>
      <c r="G350" s="831">
        <f t="shared" si="10"/>
        <v>0</v>
      </c>
      <c r="H350" s="636">
        <f>IFERROR(VLOOKUP(B350,#REF!,11,FALSE),0)</f>
        <v>0</v>
      </c>
      <c r="I350" s="639"/>
    </row>
    <row r="351" spans="1:9" s="51" customFormat="1" ht="12.75" customHeight="1" x14ac:dyDescent="0.25">
      <c r="A351" s="51">
        <f t="shared" si="11"/>
        <v>417</v>
      </c>
      <c r="B351" s="631">
        <v>417</v>
      </c>
      <c r="C351" s="623" t="s">
        <v>1825</v>
      </c>
      <c r="D351" s="623" t="s">
        <v>2100</v>
      </c>
      <c r="E351" s="829">
        <f>IFERROR(VLOOKUP(B351,'vstupne udaje'!$A$6:$K$236,11,FALSE),0)</f>
        <v>0</v>
      </c>
      <c r="F351" s="830"/>
      <c r="G351" s="831">
        <f t="shared" si="10"/>
        <v>0</v>
      </c>
      <c r="H351" s="636">
        <f>IFERROR(VLOOKUP(B351,#REF!,11,FALSE),0)</f>
        <v>0</v>
      </c>
      <c r="I351" s="639"/>
    </row>
    <row r="352" spans="1:9" s="51" customFormat="1" ht="12.75" customHeight="1" x14ac:dyDescent="0.25">
      <c r="A352" s="51">
        <f t="shared" si="11"/>
        <v>418</v>
      </c>
      <c r="B352" s="631">
        <v>418</v>
      </c>
      <c r="C352" s="623" t="s">
        <v>1826</v>
      </c>
      <c r="D352" s="623" t="s">
        <v>2101</v>
      </c>
      <c r="E352" s="829">
        <f>IFERROR(VLOOKUP(B352,'vstupne udaje'!$A$6:$K$236,11,FALSE),0)</f>
        <v>0</v>
      </c>
      <c r="F352" s="824"/>
      <c r="G352" s="831">
        <f t="shared" si="10"/>
        <v>0</v>
      </c>
      <c r="H352" s="636">
        <f>IFERROR(VLOOKUP(B352,#REF!,11,FALSE),0)</f>
        <v>0</v>
      </c>
      <c r="I352" s="639"/>
    </row>
    <row r="353" spans="1:9" s="52" customFormat="1" ht="12.75" customHeight="1" x14ac:dyDescent="0.25">
      <c r="A353" s="51">
        <f t="shared" si="11"/>
        <v>419</v>
      </c>
      <c r="B353" s="631">
        <v>419</v>
      </c>
      <c r="C353" s="623" t="s">
        <v>1827</v>
      </c>
      <c r="D353" s="623" t="s">
        <v>2102</v>
      </c>
      <c r="E353" s="829">
        <f>IFERROR(VLOOKUP(B353,'vstupne udaje'!$A$6:$K$236,11,FALSE),0)</f>
        <v>0</v>
      </c>
      <c r="F353" s="824"/>
      <c r="G353" s="831">
        <f t="shared" si="10"/>
        <v>0</v>
      </c>
      <c r="H353" s="636">
        <f>IFERROR(VLOOKUP(B353,#REF!,11,FALSE),0)</f>
        <v>0</v>
      </c>
      <c r="I353" s="639"/>
    </row>
    <row r="354" spans="1:9" s="51" customFormat="1" ht="12.75" customHeight="1" x14ac:dyDescent="0.25">
      <c r="A354" s="51" t="e">
        <f t="shared" si="11"/>
        <v>#VALUE!</v>
      </c>
      <c r="B354" s="631" t="s">
        <v>3087</v>
      </c>
      <c r="C354" s="623"/>
      <c r="D354" s="623"/>
      <c r="E354" s="829"/>
      <c r="F354" s="830"/>
      <c r="G354" s="831"/>
      <c r="H354" s="636"/>
      <c r="I354" s="639"/>
    </row>
    <row r="355" spans="1:9" s="51" customFormat="1" ht="12.75" customHeight="1" x14ac:dyDescent="0.25">
      <c r="B355" s="652" t="s">
        <v>875</v>
      </c>
      <c r="C355" s="653" t="s">
        <v>876</v>
      </c>
      <c r="D355" s="653" t="s">
        <v>2133</v>
      </c>
      <c r="E355" s="835">
        <f>SUM(E356:E361)</f>
        <v>9769.3700000000008</v>
      </c>
      <c r="F355" s="836">
        <f>SUM(F356:F361)</f>
        <v>0</v>
      </c>
      <c r="G355" s="837">
        <f t="shared" si="10"/>
        <v>9769.3700000000008</v>
      </c>
      <c r="H355" s="675">
        <f>SUM(H356:H361)</f>
        <v>0</v>
      </c>
      <c r="I355" s="639"/>
    </row>
    <row r="356" spans="1:9" s="51" customFormat="1" ht="12.75" customHeight="1" x14ac:dyDescent="0.25">
      <c r="A356" s="51">
        <f t="shared" ref="A356:A362" si="12">VALUE(B356)</f>
        <v>421</v>
      </c>
      <c r="B356" s="631">
        <v>421</v>
      </c>
      <c r="C356" s="623" t="s">
        <v>877</v>
      </c>
      <c r="D356" s="623" t="s">
        <v>878</v>
      </c>
      <c r="E356" s="829">
        <f>IFERROR(VLOOKUP(B356,'vstupne udaje'!$A$6:$K$236,11,FALSE),0)</f>
        <v>0</v>
      </c>
      <c r="F356" s="830"/>
      <c r="G356" s="831">
        <f t="shared" si="10"/>
        <v>0</v>
      </c>
      <c r="H356" s="636">
        <f>IFERROR(VLOOKUP(B356,#REF!,11,FALSE),0)</f>
        <v>0</v>
      </c>
      <c r="I356" s="639"/>
    </row>
    <row r="357" spans="1:9" s="51" customFormat="1" ht="12.75" customHeight="1" x14ac:dyDescent="0.25">
      <c r="A357" s="51">
        <f t="shared" si="12"/>
        <v>422</v>
      </c>
      <c r="B357" s="631">
        <v>422</v>
      </c>
      <c r="C357" s="623" t="s">
        <v>879</v>
      </c>
      <c r="D357" s="623" t="s">
        <v>880</v>
      </c>
      <c r="E357" s="829">
        <f>IFERROR(VLOOKUP(B357,'vstupne udaje'!$A$6:$K$236,11,FALSE),0)</f>
        <v>0</v>
      </c>
      <c r="F357" s="824"/>
      <c r="G357" s="831">
        <f t="shared" si="10"/>
        <v>0</v>
      </c>
      <c r="H357" s="636">
        <f>IFERROR(VLOOKUP(B357,#REF!,11,FALSE),0)</f>
        <v>0</v>
      </c>
      <c r="I357" s="639"/>
    </row>
    <row r="358" spans="1:9" s="52" customFormat="1" ht="12.75" customHeight="1" x14ac:dyDescent="0.25">
      <c r="A358" s="51">
        <f t="shared" si="12"/>
        <v>423</v>
      </c>
      <c r="B358" s="631">
        <v>423</v>
      </c>
      <c r="C358" s="623" t="s">
        <v>881</v>
      </c>
      <c r="D358" s="623" t="s">
        <v>882</v>
      </c>
      <c r="E358" s="829">
        <f>IFERROR(VLOOKUP(B358,'vstupne udaje'!$A$6:$K$236,11,FALSE),0)</f>
        <v>0</v>
      </c>
      <c r="F358" s="824"/>
      <c r="G358" s="831">
        <f t="shared" si="10"/>
        <v>0</v>
      </c>
      <c r="H358" s="636">
        <f>IFERROR(VLOOKUP(B358,#REF!,11,FALSE),0)</f>
        <v>0</v>
      </c>
      <c r="I358" s="639"/>
    </row>
    <row r="359" spans="1:9" s="51" customFormat="1" ht="12.75" customHeight="1" x14ac:dyDescent="0.25">
      <c r="A359" s="51">
        <f t="shared" si="12"/>
        <v>427</v>
      </c>
      <c r="B359" s="631">
        <v>427</v>
      </c>
      <c r="C359" s="623" t="s">
        <v>883</v>
      </c>
      <c r="D359" s="623" t="s">
        <v>884</v>
      </c>
      <c r="E359" s="829">
        <f>IFERROR(VLOOKUP(B359,'vstupne udaje'!$A$6:$K$236,11,FALSE),0)</f>
        <v>0</v>
      </c>
      <c r="F359" s="824"/>
      <c r="G359" s="831">
        <f t="shared" si="10"/>
        <v>0</v>
      </c>
      <c r="H359" s="636">
        <f>IFERROR(VLOOKUP(B359,#REF!,11,FALSE),0)</f>
        <v>0</v>
      </c>
      <c r="I359" s="639"/>
    </row>
    <row r="360" spans="1:9" s="51" customFormat="1" ht="12.75" customHeight="1" x14ac:dyDescent="0.25">
      <c r="A360" s="51">
        <f t="shared" si="12"/>
        <v>428</v>
      </c>
      <c r="B360" s="631">
        <v>428</v>
      </c>
      <c r="C360" s="623" t="s">
        <v>38</v>
      </c>
      <c r="D360" s="623" t="s">
        <v>382</v>
      </c>
      <c r="E360" s="829">
        <f>IFERROR(VLOOKUP(B360,'vstupne udaje'!$A$6:$K$236,11,FALSE),0)</f>
        <v>0</v>
      </c>
      <c r="F360" s="830"/>
      <c r="G360" s="831">
        <f t="shared" si="10"/>
        <v>0</v>
      </c>
      <c r="H360" s="636">
        <f>IFERROR(VLOOKUP(B360,#REF!,11,FALSE),0)</f>
        <v>0</v>
      </c>
      <c r="I360" s="639"/>
    </row>
    <row r="361" spans="1:9" s="51" customFormat="1" ht="12.75" customHeight="1" x14ac:dyDescent="0.25">
      <c r="A361" s="51">
        <f t="shared" si="12"/>
        <v>429</v>
      </c>
      <c r="B361" s="631">
        <v>429</v>
      </c>
      <c r="C361" s="623" t="s">
        <v>2388</v>
      </c>
      <c r="D361" s="623" t="s">
        <v>677</v>
      </c>
      <c r="E361" s="829">
        <f>IFERROR(VLOOKUP(B361,'vstupne udaje'!$A$6:$K$236,11,FALSE),0)</f>
        <v>9769.3700000000008</v>
      </c>
      <c r="F361" s="830"/>
      <c r="G361" s="831">
        <f t="shared" si="10"/>
        <v>9769.3700000000008</v>
      </c>
      <c r="H361" s="636">
        <f>IFERROR(VLOOKUP(B361,#REF!,11,FALSE),0)</f>
        <v>0</v>
      </c>
      <c r="I361" s="639"/>
    </row>
    <row r="362" spans="1:9" s="51" customFormat="1" ht="12.75" customHeight="1" x14ac:dyDescent="0.25">
      <c r="A362" s="51" t="e">
        <f t="shared" si="12"/>
        <v>#VALUE!</v>
      </c>
      <c r="B362" s="631" t="s">
        <v>3087</v>
      </c>
      <c r="C362" s="623"/>
      <c r="D362" s="623"/>
      <c r="E362" s="829"/>
      <c r="F362" s="824"/>
      <c r="G362" s="831"/>
      <c r="H362" s="636"/>
      <c r="I362" s="639"/>
    </row>
    <row r="363" spans="1:9" s="52" customFormat="1" ht="12.75" customHeight="1" x14ac:dyDescent="0.25">
      <c r="A363" s="51"/>
      <c r="B363" s="652" t="s">
        <v>2389</v>
      </c>
      <c r="C363" s="653" t="s">
        <v>2390</v>
      </c>
      <c r="D363" s="653" t="s">
        <v>2134</v>
      </c>
      <c r="E363" s="835">
        <f>SUM(E364)</f>
        <v>0</v>
      </c>
      <c r="F363" s="836">
        <f>IFERROR(VLOOKUP(C363,'vstupne udaje'!$A$6:$K$228,11,FALSE),0)</f>
        <v>0</v>
      </c>
      <c r="G363" s="837">
        <f t="shared" si="10"/>
        <v>0</v>
      </c>
      <c r="H363" s="675">
        <f>SUM(H364)</f>
        <v>0</v>
      </c>
      <c r="I363" s="639"/>
    </row>
    <row r="364" spans="1:9" s="51" customFormat="1" ht="12.75" customHeight="1" x14ac:dyDescent="0.25">
      <c r="A364" s="51">
        <f>VALUE(B364)</f>
        <v>431</v>
      </c>
      <c r="B364" s="631">
        <v>431</v>
      </c>
      <c r="C364" s="623" t="s">
        <v>2391</v>
      </c>
      <c r="D364" s="623" t="s">
        <v>2135</v>
      </c>
      <c r="E364" s="829">
        <f>IFERROR(VLOOKUP(B364,'vstupne udaje'!$A$6:$K$236,11,FALSE),0)</f>
        <v>0</v>
      </c>
      <c r="F364" s="824"/>
      <c r="G364" s="831">
        <f t="shared" si="10"/>
        <v>0</v>
      </c>
      <c r="H364" s="636">
        <f>IFERROR(VLOOKUP(B364,#REF!,11,FALSE),0)</f>
        <v>0</v>
      </c>
      <c r="I364" s="639"/>
    </row>
    <row r="365" spans="1:9" s="51" customFormat="1" ht="12.75" customHeight="1" x14ac:dyDescent="0.25">
      <c r="A365" s="51" t="e">
        <f>VALUE(B365)</f>
        <v>#VALUE!</v>
      </c>
      <c r="B365" s="631" t="s">
        <v>3087</v>
      </c>
      <c r="C365" s="623"/>
      <c r="D365" s="623"/>
      <c r="E365" s="829"/>
      <c r="F365" s="830"/>
      <c r="G365" s="831"/>
      <c r="H365" s="636"/>
      <c r="I365" s="639"/>
    </row>
    <row r="366" spans="1:9" s="51" customFormat="1" ht="12.75" customHeight="1" x14ac:dyDescent="0.25">
      <c r="B366" s="652" t="s">
        <v>2392</v>
      </c>
      <c r="C366" s="653" t="s">
        <v>2393</v>
      </c>
      <c r="D366" s="653" t="s">
        <v>2394</v>
      </c>
      <c r="E366" s="835">
        <f>SUM(E367:E370)</f>
        <v>0</v>
      </c>
      <c r="F366" s="836">
        <f>SUM(F367:F370)</f>
        <v>0</v>
      </c>
      <c r="G366" s="837">
        <f t="shared" si="10"/>
        <v>0</v>
      </c>
      <c r="H366" s="675">
        <f>SUM(H367:H370)</f>
        <v>0</v>
      </c>
      <c r="I366" s="639"/>
    </row>
    <row r="367" spans="1:9" s="51" customFormat="1" ht="12.75" customHeight="1" x14ac:dyDescent="0.25">
      <c r="A367" s="51">
        <f>VALUE(B367)</f>
        <v>451</v>
      </c>
      <c r="B367" s="631">
        <v>451</v>
      </c>
      <c r="C367" s="623" t="s">
        <v>2395</v>
      </c>
      <c r="D367" s="623" t="s">
        <v>2396</v>
      </c>
      <c r="E367" s="829">
        <f>IFERROR(VLOOKUP(B367,'vstupne udaje'!$A$6:$K$236,11,FALSE),0)-SUM(E368:E369)</f>
        <v>0</v>
      </c>
      <c r="F367" s="830"/>
      <c r="G367" s="831">
        <f t="shared" si="10"/>
        <v>0</v>
      </c>
      <c r="H367" s="636">
        <f>IFERROR(VLOOKUP(B367,#REF!,11,FALSE),0)</f>
        <v>0</v>
      </c>
      <c r="I367" s="639"/>
    </row>
    <row r="368" spans="1:9" s="51" customFormat="1" ht="12.75" customHeight="1" x14ac:dyDescent="0.25">
      <c r="B368" s="640" t="s">
        <v>2855</v>
      </c>
      <c r="C368" s="647" t="s">
        <v>2395</v>
      </c>
      <c r="D368" s="642" t="s">
        <v>2853</v>
      </c>
      <c r="E368" s="832"/>
      <c r="F368" s="830"/>
      <c r="G368" s="833">
        <f t="shared" si="10"/>
        <v>0</v>
      </c>
      <c r="H368" s="636"/>
      <c r="I368" s="639"/>
    </row>
    <row r="369" spans="1:9" s="51" customFormat="1" ht="12.75" customHeight="1" x14ac:dyDescent="0.25">
      <c r="B369" s="640" t="s">
        <v>2856</v>
      </c>
      <c r="C369" s="647" t="s">
        <v>2395</v>
      </c>
      <c r="D369" s="642" t="s">
        <v>2854</v>
      </c>
      <c r="E369" s="832"/>
      <c r="F369" s="830"/>
      <c r="G369" s="833">
        <f t="shared" si="10"/>
        <v>0</v>
      </c>
      <c r="H369" s="636"/>
      <c r="I369" s="639"/>
    </row>
    <row r="370" spans="1:9" s="51" customFormat="1" ht="12.75" customHeight="1" x14ac:dyDescent="0.25">
      <c r="A370" s="51">
        <f>VALUE(B370)</f>
        <v>459</v>
      </c>
      <c r="B370" s="631">
        <v>459</v>
      </c>
      <c r="C370" s="623" t="s">
        <v>2397</v>
      </c>
      <c r="D370" s="623" t="s">
        <v>2398</v>
      </c>
      <c r="E370" s="829">
        <f>IFERROR(VLOOKUP(B370,'vstupne udaje'!$A$6:$K$236,11,FALSE),0)</f>
        <v>0</v>
      </c>
      <c r="F370" s="824"/>
      <c r="G370" s="831">
        <f t="shared" si="10"/>
        <v>0</v>
      </c>
      <c r="H370" s="636">
        <f>IFERROR(VLOOKUP(B370,#REF!,11,FALSE),0)</f>
        <v>0</v>
      </c>
      <c r="I370" s="639"/>
    </row>
    <row r="371" spans="1:9" s="51" customFormat="1" ht="12.75" customHeight="1" x14ac:dyDescent="0.25">
      <c r="A371" s="51" t="e">
        <f>VALUE(B371)</f>
        <v>#VALUE!</v>
      </c>
      <c r="B371" s="631" t="s">
        <v>3087</v>
      </c>
      <c r="C371" s="623"/>
      <c r="D371" s="623"/>
      <c r="E371" s="829"/>
      <c r="F371" s="830"/>
      <c r="G371" s="831"/>
      <c r="H371" s="636"/>
      <c r="I371" s="639"/>
    </row>
    <row r="372" spans="1:9" s="51" customFormat="1" ht="12.75" customHeight="1" x14ac:dyDescent="0.25">
      <c r="B372" s="652" t="s">
        <v>2399</v>
      </c>
      <c r="C372" s="653" t="s">
        <v>2400</v>
      </c>
      <c r="D372" s="653" t="s">
        <v>2401</v>
      </c>
      <c r="E372" s="835">
        <f>SUM(E373:E375)</f>
        <v>0</v>
      </c>
      <c r="F372" s="836">
        <f>SUM(F373:F375)</f>
        <v>0</v>
      </c>
      <c r="G372" s="837">
        <f t="shared" si="10"/>
        <v>0</v>
      </c>
      <c r="H372" s="675">
        <f>SUM(H373:H375)</f>
        <v>0</v>
      </c>
      <c r="I372" s="639"/>
    </row>
    <row r="373" spans="1:9" s="51" customFormat="1" ht="12.75" customHeight="1" x14ac:dyDescent="0.25">
      <c r="A373" s="51">
        <f>VALUE(B373)</f>
        <v>461</v>
      </c>
      <c r="B373" s="631">
        <v>461</v>
      </c>
      <c r="C373" s="623" t="s">
        <v>2400</v>
      </c>
      <c r="D373" s="623" t="s">
        <v>2401</v>
      </c>
      <c r="E373" s="829">
        <f>IFERROR(VLOOKUP(B373,'vstupne udaje'!$A$6:$K$236,11,FALSE),0)-SUM(E374:E375)</f>
        <v>0</v>
      </c>
      <c r="F373" s="824"/>
      <c r="G373" s="831">
        <f t="shared" si="10"/>
        <v>0</v>
      </c>
      <c r="H373" s="636">
        <f>IFERROR(VLOOKUP(B373,#REF!,11,FALSE),0)</f>
        <v>0</v>
      </c>
      <c r="I373" s="639"/>
    </row>
    <row r="374" spans="1:9" s="51" customFormat="1" ht="12.75" customHeight="1" x14ac:dyDescent="0.25">
      <c r="B374" s="640" t="s">
        <v>2402</v>
      </c>
      <c r="C374" s="642" t="s">
        <v>1500</v>
      </c>
      <c r="D374" s="642" t="s">
        <v>1501</v>
      </c>
      <c r="E374" s="832"/>
      <c r="F374" s="830"/>
      <c r="G374" s="833">
        <f t="shared" si="10"/>
        <v>0</v>
      </c>
      <c r="H374" s="636"/>
      <c r="I374" s="639"/>
    </row>
    <row r="375" spans="1:9" s="51" customFormat="1" ht="12.75" customHeight="1" x14ac:dyDescent="0.25">
      <c r="B375" s="640" t="s">
        <v>1287</v>
      </c>
      <c r="C375" s="642" t="s">
        <v>1284</v>
      </c>
      <c r="D375" s="642" t="s">
        <v>1285</v>
      </c>
      <c r="E375" s="832"/>
      <c r="F375" s="830"/>
      <c r="G375" s="833">
        <f t="shared" si="10"/>
        <v>0</v>
      </c>
      <c r="H375" s="636"/>
      <c r="I375" s="639"/>
    </row>
    <row r="376" spans="1:9" s="51" customFormat="1" ht="12.75" customHeight="1" x14ac:dyDescent="0.25">
      <c r="A376" s="51" t="e">
        <f>VALUE(B376)</f>
        <v>#VALUE!</v>
      </c>
      <c r="B376" s="631" t="s">
        <v>3087</v>
      </c>
      <c r="C376" s="623"/>
      <c r="D376" s="623"/>
      <c r="E376" s="829"/>
      <c r="F376" s="824"/>
      <c r="G376" s="831"/>
      <c r="H376" s="636"/>
      <c r="I376" s="639"/>
    </row>
    <row r="377" spans="1:9" s="51" customFormat="1" ht="12.75" customHeight="1" x14ac:dyDescent="0.25">
      <c r="B377" s="652" t="s">
        <v>1502</v>
      </c>
      <c r="C377" s="653" t="s">
        <v>1503</v>
      </c>
      <c r="D377" s="653" t="s">
        <v>1504</v>
      </c>
      <c r="E377" s="835">
        <f>SUM(E378:E402)</f>
        <v>0</v>
      </c>
      <c r="F377" s="836">
        <f>SUM(F379:F402)</f>
        <v>0</v>
      </c>
      <c r="G377" s="837">
        <f t="shared" si="10"/>
        <v>0</v>
      </c>
      <c r="H377" s="675">
        <f>SUM(H378:H402)</f>
        <v>0</v>
      </c>
      <c r="I377" s="639"/>
    </row>
    <row r="378" spans="1:9" s="51" customFormat="1" ht="12.75" customHeight="1" x14ac:dyDescent="0.25">
      <c r="A378" s="51">
        <f>VALUE(B378)</f>
        <v>471</v>
      </c>
      <c r="B378" s="631">
        <v>471</v>
      </c>
      <c r="C378" s="623" t="s">
        <v>1505</v>
      </c>
      <c r="D378" s="623" t="s">
        <v>2136</v>
      </c>
      <c r="E378" s="829">
        <f>IFERROR(VLOOKUP(B378,'vstupne udaje'!$A$6:$K$236,11,FALSE),0)-SUM(E379:E382)</f>
        <v>0</v>
      </c>
      <c r="F378" s="824"/>
      <c r="G378" s="831">
        <f t="shared" si="10"/>
        <v>0</v>
      </c>
      <c r="H378" s="636">
        <f>IFERROR(VLOOKUP(B378,#REF!,11,FALSE),0)</f>
        <v>0</v>
      </c>
      <c r="I378" s="639"/>
    </row>
    <row r="379" spans="1:9" s="51" customFormat="1" ht="12.75" customHeight="1" x14ac:dyDescent="0.25">
      <c r="B379" s="640" t="s">
        <v>1506</v>
      </c>
      <c r="C379" s="642" t="s">
        <v>1858</v>
      </c>
      <c r="D379" s="642" t="s">
        <v>1536</v>
      </c>
      <c r="E379" s="832"/>
      <c r="F379" s="830"/>
      <c r="G379" s="833">
        <f t="shared" si="10"/>
        <v>0</v>
      </c>
      <c r="H379" s="636"/>
      <c r="I379" s="639"/>
    </row>
    <row r="380" spans="1:9" s="51" customFormat="1" ht="12.75" customHeight="1" x14ac:dyDescent="0.25">
      <c r="B380" s="640" t="s">
        <v>1507</v>
      </c>
      <c r="C380" s="642" t="s">
        <v>88</v>
      </c>
      <c r="D380" s="642" t="s">
        <v>2499</v>
      </c>
      <c r="E380" s="832"/>
      <c r="F380" s="824"/>
      <c r="G380" s="833">
        <f t="shared" si="10"/>
        <v>0</v>
      </c>
      <c r="H380" s="636"/>
      <c r="I380" s="639"/>
    </row>
    <row r="381" spans="1:9" s="51" customFormat="1" ht="12.75" customHeight="1" x14ac:dyDescent="0.25">
      <c r="B381" s="640" t="s">
        <v>1508</v>
      </c>
      <c r="C381" s="642" t="s">
        <v>1933</v>
      </c>
      <c r="D381" s="642" t="s">
        <v>2500</v>
      </c>
      <c r="E381" s="832"/>
      <c r="F381" s="830"/>
      <c r="G381" s="833">
        <f t="shared" si="10"/>
        <v>0</v>
      </c>
      <c r="H381" s="636"/>
      <c r="I381" s="639"/>
    </row>
    <row r="382" spans="1:9" s="51" customFormat="1" ht="12.75" customHeight="1" x14ac:dyDescent="0.25">
      <c r="B382" s="640" t="s">
        <v>202</v>
      </c>
      <c r="C382" s="642" t="s">
        <v>1859</v>
      </c>
      <c r="D382" s="642" t="s">
        <v>2501</v>
      </c>
      <c r="E382" s="832"/>
      <c r="F382" s="830"/>
      <c r="G382" s="833">
        <f t="shared" si="10"/>
        <v>0</v>
      </c>
      <c r="H382" s="636"/>
      <c r="I382" s="639"/>
    </row>
    <row r="383" spans="1:9" s="51" customFormat="1" ht="12.75" customHeight="1" x14ac:dyDescent="0.25">
      <c r="A383" s="51">
        <f>VALUE(B383)</f>
        <v>472</v>
      </c>
      <c r="B383" s="645">
        <v>472</v>
      </c>
      <c r="C383" s="644" t="s">
        <v>2620</v>
      </c>
      <c r="D383" s="644" t="s">
        <v>678</v>
      </c>
      <c r="E383" s="829">
        <f>IFERROR(VLOOKUP(B383,'vstupne udaje'!$A$6:$K$236,11,FALSE),0)</f>
        <v>0</v>
      </c>
      <c r="F383" s="830"/>
      <c r="G383" s="831">
        <f t="shared" si="10"/>
        <v>0</v>
      </c>
      <c r="H383" s="636">
        <f>IFERROR(VLOOKUP(B383,#REF!,11,FALSE),0)</f>
        <v>0</v>
      </c>
      <c r="I383" s="639"/>
    </row>
    <row r="384" spans="1:9" s="51" customFormat="1" ht="12.75" customHeight="1" x14ac:dyDescent="0.25">
      <c r="A384" s="51">
        <f>VALUE(B384)</f>
        <v>473</v>
      </c>
      <c r="B384" s="631">
        <v>473</v>
      </c>
      <c r="C384" s="623" t="s">
        <v>203</v>
      </c>
      <c r="D384" s="623" t="s">
        <v>2137</v>
      </c>
      <c r="E384" s="829">
        <f>IFERROR(VLOOKUP(B384,'vstupne udaje'!$A$6:$K$236,11,FALSE),0)-SUM(E385:E386)</f>
        <v>0</v>
      </c>
      <c r="F384" s="824"/>
      <c r="G384" s="831">
        <f t="shared" si="10"/>
        <v>0</v>
      </c>
      <c r="H384" s="636">
        <f>IFERROR(VLOOKUP(B384,#REF!,11,FALSE),0)</f>
        <v>0</v>
      </c>
      <c r="I384" s="639"/>
    </row>
    <row r="385" spans="1:9" s="51" customFormat="1" ht="12.75" customHeight="1" x14ac:dyDescent="0.25">
      <c r="B385" s="640" t="s">
        <v>204</v>
      </c>
      <c r="C385" s="642" t="s">
        <v>89</v>
      </c>
      <c r="D385" s="642" t="s">
        <v>2754</v>
      </c>
      <c r="E385" s="832"/>
      <c r="F385" s="830"/>
      <c r="G385" s="833">
        <f t="shared" si="10"/>
        <v>0</v>
      </c>
      <c r="H385" s="636"/>
      <c r="I385" s="639"/>
    </row>
    <row r="386" spans="1:9" s="51" customFormat="1" ht="12.75" customHeight="1" x14ac:dyDescent="0.25">
      <c r="B386" s="640" t="s">
        <v>2356</v>
      </c>
      <c r="C386" s="642" t="s">
        <v>90</v>
      </c>
      <c r="D386" s="642" t="s">
        <v>2753</v>
      </c>
      <c r="E386" s="832"/>
      <c r="F386" s="830"/>
      <c r="G386" s="833">
        <f t="shared" si="10"/>
        <v>0</v>
      </c>
      <c r="H386" s="636"/>
      <c r="I386" s="639"/>
    </row>
    <row r="387" spans="1:9" s="51" customFormat="1" ht="12.75" customHeight="1" x14ac:dyDescent="0.25">
      <c r="A387" s="51">
        <f>VALUE(B387)</f>
        <v>474</v>
      </c>
      <c r="B387" s="631">
        <v>474</v>
      </c>
      <c r="C387" s="623" t="s">
        <v>1194</v>
      </c>
      <c r="D387" s="623" t="s">
        <v>1200</v>
      </c>
      <c r="E387" s="829">
        <f>IFERROR(VLOOKUP(B387,'vstupne udaje'!$A$6:$K$236,11,FALSE),0)-SUM(E388:E389)</f>
        <v>0</v>
      </c>
      <c r="F387" s="824"/>
      <c r="G387" s="831">
        <f t="shared" si="10"/>
        <v>0</v>
      </c>
      <c r="H387" s="636">
        <f>IFERROR(VLOOKUP(B387,#REF!,11,FALSE),0)</f>
        <v>0</v>
      </c>
      <c r="I387" s="639"/>
    </row>
    <row r="388" spans="1:9" s="51" customFormat="1" ht="12.75" customHeight="1" x14ac:dyDescent="0.25">
      <c r="B388" s="640" t="s">
        <v>1195</v>
      </c>
      <c r="C388" s="642" t="s">
        <v>91</v>
      </c>
      <c r="D388" s="642" t="s">
        <v>1201</v>
      </c>
      <c r="E388" s="832"/>
      <c r="F388" s="824"/>
      <c r="G388" s="833">
        <f t="shared" si="10"/>
        <v>0</v>
      </c>
      <c r="H388" s="636"/>
      <c r="I388" s="639"/>
    </row>
    <row r="389" spans="1:9" s="50" customFormat="1" ht="12.75" customHeight="1" x14ac:dyDescent="0.25">
      <c r="A389" s="51"/>
      <c r="B389" s="640" t="s">
        <v>1478</v>
      </c>
      <c r="C389" s="642" t="s">
        <v>92</v>
      </c>
      <c r="D389" s="642" t="s">
        <v>1202</v>
      </c>
      <c r="E389" s="832"/>
      <c r="F389" s="824"/>
      <c r="G389" s="833">
        <f t="shared" si="10"/>
        <v>0</v>
      </c>
      <c r="H389" s="636"/>
      <c r="I389" s="639"/>
    </row>
    <row r="390" spans="1:9" s="51" customFormat="1" ht="12.75" customHeight="1" x14ac:dyDescent="0.25">
      <c r="A390" s="51">
        <f>VALUE(B390)</f>
        <v>475</v>
      </c>
      <c r="B390" s="631">
        <v>475</v>
      </c>
      <c r="C390" s="623" t="s">
        <v>1479</v>
      </c>
      <c r="D390" s="623" t="s">
        <v>1480</v>
      </c>
      <c r="E390" s="829">
        <f>IFERROR(VLOOKUP(B390,'vstupne udaje'!$A$6:$K$236,11,FALSE),0)-SUM(E391:E392)</f>
        <v>0</v>
      </c>
      <c r="F390" s="824"/>
      <c r="G390" s="831">
        <f t="shared" si="10"/>
        <v>0</v>
      </c>
      <c r="H390" s="636">
        <f>IFERROR(VLOOKUP(B390,#REF!,11,FALSE),0)</f>
        <v>0</v>
      </c>
      <c r="I390" s="639"/>
    </row>
    <row r="391" spans="1:9" s="52" customFormat="1" ht="12.75" customHeight="1" x14ac:dyDescent="0.25">
      <c r="A391" s="51"/>
      <c r="B391" s="640" t="s">
        <v>1481</v>
      </c>
      <c r="C391" s="642" t="s">
        <v>93</v>
      </c>
      <c r="D391" s="642" t="s">
        <v>2757</v>
      </c>
      <c r="E391" s="832"/>
      <c r="F391" s="830"/>
      <c r="G391" s="833">
        <f t="shared" si="10"/>
        <v>0</v>
      </c>
      <c r="H391" s="636"/>
      <c r="I391" s="639"/>
    </row>
    <row r="392" spans="1:9" s="51" customFormat="1" ht="12.75" customHeight="1" x14ac:dyDescent="0.25">
      <c r="B392" s="640" t="s">
        <v>1482</v>
      </c>
      <c r="C392" s="642" t="s">
        <v>94</v>
      </c>
      <c r="D392" s="642" t="s">
        <v>2756</v>
      </c>
      <c r="E392" s="832"/>
      <c r="F392" s="824"/>
      <c r="G392" s="833">
        <f t="shared" si="10"/>
        <v>0</v>
      </c>
      <c r="H392" s="636"/>
      <c r="I392" s="639"/>
    </row>
    <row r="393" spans="1:9" s="51" customFormat="1" ht="12.75" customHeight="1" x14ac:dyDescent="0.25">
      <c r="A393" s="51">
        <f>VALUE(B393)</f>
        <v>476</v>
      </c>
      <c r="B393" s="645">
        <v>476</v>
      </c>
      <c r="C393" s="644" t="s">
        <v>2621</v>
      </c>
      <c r="D393" s="644" t="s">
        <v>2138</v>
      </c>
      <c r="E393" s="829">
        <f>IFERROR(VLOOKUP(B393,'vstupne udaje'!$A$6:$K$236,11,FALSE),0)</f>
        <v>0</v>
      </c>
      <c r="F393" s="830"/>
      <c r="G393" s="831">
        <f t="shared" si="10"/>
        <v>0</v>
      </c>
      <c r="H393" s="636">
        <f>IFERROR(VLOOKUP(B393,#REF!,11,FALSE),0)</f>
        <v>0</v>
      </c>
      <c r="I393" s="639"/>
    </row>
    <row r="394" spans="1:9" s="51" customFormat="1" ht="12.75" customHeight="1" x14ac:dyDescent="0.25">
      <c r="A394" s="51">
        <f>VALUE(B394)</f>
        <v>478</v>
      </c>
      <c r="B394" s="631">
        <v>478</v>
      </c>
      <c r="C394" s="623" t="s">
        <v>1483</v>
      </c>
      <c r="D394" s="623" t="s">
        <v>1484</v>
      </c>
      <c r="E394" s="829">
        <f>IFERROR(VLOOKUP(B394,'vstupne udaje'!$A$6:$K$236,11,FALSE),0)-SUM(E395:E397)</f>
        <v>0</v>
      </c>
      <c r="F394" s="824"/>
      <c r="G394" s="831">
        <f t="shared" si="10"/>
        <v>0</v>
      </c>
      <c r="H394" s="636">
        <f>IFERROR(VLOOKUP(B394,#REF!,11,FALSE),0)</f>
        <v>0</v>
      </c>
      <c r="I394" s="639"/>
    </row>
    <row r="395" spans="1:9" s="51" customFormat="1" ht="12.75" customHeight="1" x14ac:dyDescent="0.25">
      <c r="B395" s="640" t="s">
        <v>1485</v>
      </c>
      <c r="C395" s="642" t="s">
        <v>1119</v>
      </c>
      <c r="D395" s="642" t="s">
        <v>2760</v>
      </c>
      <c r="E395" s="832"/>
      <c r="F395" s="824"/>
      <c r="G395" s="833">
        <f t="shared" si="10"/>
        <v>0</v>
      </c>
      <c r="H395" s="636"/>
      <c r="I395" s="639"/>
    </row>
    <row r="396" spans="1:9" s="51" customFormat="1" ht="12.75" customHeight="1" x14ac:dyDescent="0.25">
      <c r="B396" s="640" t="s">
        <v>1486</v>
      </c>
      <c r="C396" s="642" t="s">
        <v>1120</v>
      </c>
      <c r="D396" s="642" t="s">
        <v>2758</v>
      </c>
      <c r="E396" s="832"/>
      <c r="F396" s="830"/>
      <c r="G396" s="833">
        <f t="shared" ref="G396:G459" si="13">E396+F396</f>
        <v>0</v>
      </c>
      <c r="H396" s="636"/>
      <c r="I396" s="639"/>
    </row>
    <row r="397" spans="1:9" s="52" customFormat="1" ht="12.75" customHeight="1" x14ac:dyDescent="0.25">
      <c r="A397" s="51"/>
      <c r="B397" s="640" t="s">
        <v>416</v>
      </c>
      <c r="C397" s="642" t="s">
        <v>1010</v>
      </c>
      <c r="D397" s="642" t="s">
        <v>2759</v>
      </c>
      <c r="E397" s="832"/>
      <c r="F397" s="824"/>
      <c r="G397" s="833">
        <f t="shared" si="13"/>
        <v>0</v>
      </c>
      <c r="H397" s="636"/>
      <c r="I397" s="639"/>
    </row>
    <row r="398" spans="1:9" s="51" customFormat="1" ht="12.75" customHeight="1" x14ac:dyDescent="0.25">
      <c r="A398" s="51">
        <f>VALUE(B398)</f>
        <v>479</v>
      </c>
      <c r="B398" s="631">
        <v>479</v>
      </c>
      <c r="C398" s="623" t="s">
        <v>417</v>
      </c>
      <c r="D398" s="623" t="s">
        <v>418</v>
      </c>
      <c r="E398" s="829">
        <f>IFERROR(VLOOKUP(B398,'vstupne udaje'!$A$6:$K$236,11,FALSE),0)-SUM(E399:E402)</f>
        <v>0</v>
      </c>
      <c r="F398" s="824"/>
      <c r="G398" s="831">
        <f t="shared" si="13"/>
        <v>0</v>
      </c>
      <c r="H398" s="636">
        <f>IFERROR(VLOOKUP(B398,#REF!,11,FALSE),0)</f>
        <v>0</v>
      </c>
      <c r="I398" s="639"/>
    </row>
    <row r="399" spans="1:9" s="51" customFormat="1" ht="12.75" customHeight="1" x14ac:dyDescent="0.25">
      <c r="B399" s="640" t="s">
        <v>419</v>
      </c>
      <c r="C399" s="642" t="s">
        <v>1011</v>
      </c>
      <c r="D399" s="642" t="s">
        <v>2762</v>
      </c>
      <c r="E399" s="832"/>
      <c r="F399" s="830"/>
      <c r="G399" s="833">
        <f t="shared" si="13"/>
        <v>0</v>
      </c>
      <c r="H399" s="636"/>
      <c r="I399" s="639"/>
    </row>
    <row r="400" spans="1:9" s="51" customFormat="1" ht="12.75" customHeight="1" x14ac:dyDescent="0.25">
      <c r="B400" s="640" t="s">
        <v>420</v>
      </c>
      <c r="C400" s="642" t="s">
        <v>421</v>
      </c>
      <c r="D400" s="642" t="s">
        <v>2313</v>
      </c>
      <c r="E400" s="832"/>
      <c r="F400" s="830"/>
      <c r="G400" s="833">
        <f t="shared" si="13"/>
        <v>0</v>
      </c>
      <c r="H400" s="636"/>
      <c r="I400" s="639"/>
    </row>
    <row r="401" spans="1:9" s="51" customFormat="1" ht="12.75" customHeight="1" x14ac:dyDescent="0.25">
      <c r="B401" s="640" t="s">
        <v>422</v>
      </c>
      <c r="C401" s="642" t="s">
        <v>1146</v>
      </c>
      <c r="D401" s="642" t="s">
        <v>2314</v>
      </c>
      <c r="E401" s="832"/>
      <c r="F401" s="830"/>
      <c r="G401" s="833">
        <f t="shared" si="13"/>
        <v>0</v>
      </c>
      <c r="H401" s="636"/>
      <c r="I401" s="639"/>
    </row>
    <row r="402" spans="1:9" s="51" customFormat="1" ht="12.75" customHeight="1" x14ac:dyDescent="0.25">
      <c r="B402" s="640" t="s">
        <v>423</v>
      </c>
      <c r="C402" s="642" t="s">
        <v>114</v>
      </c>
      <c r="D402" s="642" t="s">
        <v>2761</v>
      </c>
      <c r="E402" s="832"/>
      <c r="F402" s="830"/>
      <c r="G402" s="833">
        <f t="shared" si="13"/>
        <v>0</v>
      </c>
      <c r="H402" s="636"/>
      <c r="I402" s="639"/>
    </row>
    <row r="403" spans="1:9" s="51" customFormat="1" ht="12.75" customHeight="1" x14ac:dyDescent="0.25">
      <c r="A403" s="51" t="e">
        <f>VALUE(B403)</f>
        <v>#VALUE!</v>
      </c>
      <c r="B403" s="631" t="s">
        <v>3087</v>
      </c>
      <c r="C403" s="623"/>
      <c r="D403" s="623"/>
      <c r="E403" s="829"/>
      <c r="F403" s="830"/>
      <c r="G403" s="831"/>
      <c r="H403" s="636"/>
      <c r="I403" s="639"/>
    </row>
    <row r="404" spans="1:9" s="51" customFormat="1" ht="12.75" customHeight="1" x14ac:dyDescent="0.25">
      <c r="B404" s="652" t="s">
        <v>2139</v>
      </c>
      <c r="C404" s="653" t="s">
        <v>64</v>
      </c>
      <c r="D404" s="653" t="s">
        <v>2140</v>
      </c>
      <c r="E404" s="835">
        <f>SUM(E405:E407)</f>
        <v>0</v>
      </c>
      <c r="F404" s="836">
        <f>SUM(F405:F407)</f>
        <v>0</v>
      </c>
      <c r="G404" s="837">
        <f t="shared" si="13"/>
        <v>0</v>
      </c>
      <c r="H404" s="675">
        <f>SUM(H405:H407)</f>
        <v>0</v>
      </c>
      <c r="I404" s="639"/>
    </row>
    <row r="405" spans="1:9" s="51" customFormat="1" ht="12.75" customHeight="1" x14ac:dyDescent="0.25">
      <c r="A405" s="51">
        <f>VALUE(B405)</f>
        <v>481</v>
      </c>
      <c r="B405" s="631">
        <v>481</v>
      </c>
      <c r="C405" s="623" t="s">
        <v>64</v>
      </c>
      <c r="D405" s="623" t="s">
        <v>2140</v>
      </c>
      <c r="E405" s="829">
        <f>IFERROR(VLOOKUP(B405,'vstupne udaje'!$A$6:$K$236,11,FALSE),0)-SUM(E406:E407)</f>
        <v>0</v>
      </c>
      <c r="F405" s="824"/>
      <c r="G405" s="831">
        <f t="shared" si="13"/>
        <v>0</v>
      </c>
      <c r="H405" s="636">
        <f>IFERROR(VLOOKUP(B405,#REF!,11,FALSE),0)-SUM(H406:H407)</f>
        <v>0</v>
      </c>
      <c r="I405" s="639"/>
    </row>
    <row r="406" spans="1:9" s="51" customFormat="1" ht="12.75" customHeight="1" x14ac:dyDescent="0.25">
      <c r="B406" s="640" t="s">
        <v>683</v>
      </c>
      <c r="C406" s="642" t="s">
        <v>1022</v>
      </c>
      <c r="D406" s="642" t="s">
        <v>685</v>
      </c>
      <c r="E406" s="832"/>
      <c r="F406" s="830"/>
      <c r="G406" s="833">
        <f t="shared" si="13"/>
        <v>0</v>
      </c>
      <c r="H406" s="636"/>
      <c r="I406" s="639"/>
    </row>
    <row r="407" spans="1:9" s="51" customFormat="1" ht="12.75" customHeight="1" x14ac:dyDescent="0.25">
      <c r="B407" s="640" t="s">
        <v>684</v>
      </c>
      <c r="C407" s="642" t="s">
        <v>1023</v>
      </c>
      <c r="D407" s="642" t="s">
        <v>463</v>
      </c>
      <c r="E407" s="832"/>
      <c r="F407" s="830"/>
      <c r="G407" s="833">
        <f t="shared" si="13"/>
        <v>0</v>
      </c>
      <c r="H407" s="636"/>
      <c r="I407" s="639"/>
    </row>
    <row r="408" spans="1:9" s="51" customFormat="1" ht="12.75" customHeight="1" x14ac:dyDescent="0.25">
      <c r="A408" s="51" t="e">
        <f>VALUE(B408)</f>
        <v>#VALUE!</v>
      </c>
      <c r="B408" s="631" t="s">
        <v>3087</v>
      </c>
      <c r="C408" s="623"/>
      <c r="D408" s="623"/>
      <c r="E408" s="829"/>
      <c r="F408" s="830"/>
      <c r="G408" s="831"/>
      <c r="H408" s="636"/>
      <c r="I408" s="639"/>
    </row>
    <row r="409" spans="1:9" s="51" customFormat="1" ht="12.75" customHeight="1" x14ac:dyDescent="0.25">
      <c r="B409" s="652" t="s">
        <v>2141</v>
      </c>
      <c r="C409" s="653" t="s">
        <v>1025</v>
      </c>
      <c r="D409" s="653" t="s">
        <v>2142</v>
      </c>
      <c r="E409" s="835">
        <f>SUM(E410)</f>
        <v>0</v>
      </c>
      <c r="F409" s="836">
        <f>SUM(F410)</f>
        <v>0</v>
      </c>
      <c r="G409" s="837">
        <f t="shared" si="13"/>
        <v>0</v>
      </c>
      <c r="H409" s="675">
        <f>SUM(H410)</f>
        <v>0</v>
      </c>
      <c r="I409" s="639"/>
    </row>
    <row r="410" spans="1:9" s="51" customFormat="1" ht="12.75" customHeight="1" x14ac:dyDescent="0.25">
      <c r="A410" s="51">
        <f>VALUE(B410)</f>
        <v>491</v>
      </c>
      <c r="B410" s="631">
        <v>491</v>
      </c>
      <c r="C410" s="623" t="s">
        <v>1024</v>
      </c>
      <c r="D410" s="623" t="s">
        <v>2143</v>
      </c>
      <c r="E410" s="829">
        <f>IFERROR(VLOOKUP(B410,'vstupne udaje'!$A$6:$K$236,11,FALSE),0)</f>
        <v>0</v>
      </c>
      <c r="F410" s="830"/>
      <c r="G410" s="831">
        <f t="shared" si="13"/>
        <v>0</v>
      </c>
      <c r="H410" s="636">
        <f>IFERROR(VLOOKUP(B410,#REF!,11,FALSE),0)</f>
        <v>0</v>
      </c>
      <c r="I410" s="639"/>
    </row>
    <row r="411" spans="1:9" s="51" customFormat="1" ht="12.75" customHeight="1" x14ac:dyDescent="0.25">
      <c r="A411" s="51" t="e">
        <f>VALUE(B411)</f>
        <v>#VALUE!</v>
      </c>
      <c r="B411" s="631" t="s">
        <v>3087</v>
      </c>
      <c r="C411" s="623"/>
      <c r="D411" s="623"/>
      <c r="E411" s="829"/>
      <c r="F411" s="830"/>
      <c r="G411" s="831"/>
      <c r="H411" s="636"/>
      <c r="I411" s="639"/>
    </row>
    <row r="412" spans="1:9" s="51" customFormat="1" ht="12.75" customHeight="1" x14ac:dyDescent="0.25">
      <c r="B412" s="652" t="s">
        <v>429</v>
      </c>
      <c r="C412" s="653" t="s">
        <v>430</v>
      </c>
      <c r="D412" s="653" t="s">
        <v>431</v>
      </c>
      <c r="E412" s="835">
        <f>E414+E424+E430+E440+E445+E456+E462+E473+E477</f>
        <v>1388.59</v>
      </c>
      <c r="F412" s="836">
        <f>F414+F424+F430+F440+F445+F456+F462+F473+F477</f>
        <v>0</v>
      </c>
      <c r="G412" s="837">
        <f t="shared" si="13"/>
        <v>1388.59</v>
      </c>
      <c r="H412" s="675">
        <f>H414+H424+H430+H440+H445+H456+H462+H473+H477</f>
        <v>0</v>
      </c>
      <c r="I412" s="639"/>
    </row>
    <row r="413" spans="1:9" s="52" customFormat="1" ht="12.75" customHeight="1" x14ac:dyDescent="0.25">
      <c r="A413" s="51" t="e">
        <f>VALUE(B413)</f>
        <v>#VALUE!</v>
      </c>
      <c r="B413" s="631" t="s">
        <v>3087</v>
      </c>
      <c r="C413" s="623"/>
      <c r="D413" s="623"/>
      <c r="E413" s="829"/>
      <c r="F413" s="824"/>
      <c r="G413" s="831"/>
      <c r="H413" s="636"/>
      <c r="I413" s="639"/>
    </row>
    <row r="414" spans="1:9" s="51" customFormat="1" ht="12.75" customHeight="1" x14ac:dyDescent="0.25">
      <c r="B414" s="652" t="s">
        <v>2342</v>
      </c>
      <c r="C414" s="653" t="s">
        <v>2343</v>
      </c>
      <c r="D414" s="653" t="s">
        <v>2485</v>
      </c>
      <c r="E414" s="835">
        <f>SUM(E415:E422)</f>
        <v>6.75</v>
      </c>
      <c r="F414" s="836">
        <f>SUM(F415:F422)</f>
        <v>0</v>
      </c>
      <c r="G414" s="837">
        <f t="shared" si="13"/>
        <v>6.75</v>
      </c>
      <c r="H414" s="675">
        <f>SUM(H415:H422)</f>
        <v>0</v>
      </c>
      <c r="I414" s="639"/>
    </row>
    <row r="415" spans="1:9" s="51" customFormat="1" ht="12.75" customHeight="1" x14ac:dyDescent="0.25">
      <c r="A415" s="51">
        <f>VALUE(B415)</f>
        <v>501</v>
      </c>
      <c r="B415" s="631">
        <v>501</v>
      </c>
      <c r="C415" s="623" t="s">
        <v>2486</v>
      </c>
      <c r="D415" s="623" t="s">
        <v>2487</v>
      </c>
      <c r="E415" s="829">
        <f>IFERROR(VLOOKUP(B415,'vstupne udaje'!$A$6:$K$236,11,FALSE),0)</f>
        <v>6.75</v>
      </c>
      <c r="F415" s="830"/>
      <c r="G415" s="831">
        <f t="shared" si="13"/>
        <v>6.75</v>
      </c>
      <c r="H415" s="636">
        <f>IFERROR(VLOOKUP(B415,#REF!,11,FALSE),0)</f>
        <v>0</v>
      </c>
      <c r="I415" s="639"/>
    </row>
    <row r="416" spans="1:9" s="51" customFormat="1" ht="12.75" customHeight="1" x14ac:dyDescent="0.25">
      <c r="A416" s="51">
        <f>VALUE(B416)</f>
        <v>502</v>
      </c>
      <c r="B416" s="631">
        <v>502</v>
      </c>
      <c r="C416" s="623" t="s">
        <v>2488</v>
      </c>
      <c r="D416" s="623" t="s">
        <v>2489</v>
      </c>
      <c r="E416" s="829">
        <f>IFERROR(VLOOKUP(B416,'vstupne udaje'!$A$6:$K$236,11,FALSE),0)</f>
        <v>0</v>
      </c>
      <c r="F416" s="830"/>
      <c r="G416" s="831">
        <f t="shared" si="13"/>
        <v>0</v>
      </c>
      <c r="H416" s="636">
        <f>IFERROR(VLOOKUP(B416,#REF!,11,FALSE),0)</f>
        <v>0</v>
      </c>
      <c r="I416" s="639"/>
    </row>
    <row r="417" spans="1:9" s="51" customFormat="1" ht="12.75" customHeight="1" x14ac:dyDescent="0.25">
      <c r="A417" s="51">
        <f>VALUE(B417)</f>
        <v>503</v>
      </c>
      <c r="B417" s="631">
        <v>503</v>
      </c>
      <c r="C417" s="623" t="s">
        <v>2490</v>
      </c>
      <c r="D417" s="623" t="s">
        <v>2491</v>
      </c>
      <c r="E417" s="829">
        <f>IFERROR(VLOOKUP(B417,'vstupne udaje'!$A$6:$K$236,11,FALSE),0)</f>
        <v>0</v>
      </c>
      <c r="F417" s="824"/>
      <c r="G417" s="831">
        <f t="shared" si="13"/>
        <v>0</v>
      </c>
      <c r="H417" s="636">
        <f>IFERROR(VLOOKUP(B417,#REF!,11,FALSE),0)</f>
        <v>0</v>
      </c>
      <c r="I417" s="639"/>
    </row>
    <row r="418" spans="1:9" s="52" customFormat="1" ht="12.75" customHeight="1" x14ac:dyDescent="0.25">
      <c r="A418" s="51">
        <f>VALUE(B418)</f>
        <v>504</v>
      </c>
      <c r="B418" s="631">
        <v>504</v>
      </c>
      <c r="C418" s="623" t="s">
        <v>2492</v>
      </c>
      <c r="D418" s="623" t="s">
        <v>2493</v>
      </c>
      <c r="E418" s="829">
        <f>IFERROR(VLOOKUP(B418,'vstupne udaje'!$A$6:$K$236,11,FALSE),0)</f>
        <v>0</v>
      </c>
      <c r="F418" s="824"/>
      <c r="G418" s="831">
        <f t="shared" si="13"/>
        <v>0</v>
      </c>
      <c r="H418" s="636">
        <f>IFERROR(VLOOKUP(B418,#REF!,11,FALSE),0)</f>
        <v>0</v>
      </c>
      <c r="I418" s="639"/>
    </row>
    <row r="419" spans="1:9" s="52" customFormat="1" ht="12.75" customHeight="1" x14ac:dyDescent="0.25">
      <c r="A419" s="51">
        <f>VALUE(B419)</f>
        <v>505</v>
      </c>
      <c r="B419" s="631">
        <v>505</v>
      </c>
      <c r="C419" s="644" t="s">
        <v>2689</v>
      </c>
      <c r="D419" s="623" t="s">
        <v>2688</v>
      </c>
      <c r="E419" s="829">
        <f>IFERROR(VLOOKUP(B419,'vstupne udaje'!$A$6:$K$236,11,FALSE),0)-SUM(E420:E421)</f>
        <v>0</v>
      </c>
      <c r="F419" s="824"/>
      <c r="G419" s="831">
        <f t="shared" si="13"/>
        <v>0</v>
      </c>
      <c r="H419" s="636">
        <f>IFERROR(VLOOKUP(B419,#REF!,11,FALSE),0)-SUM(H420:H421)</f>
        <v>0</v>
      </c>
      <c r="I419" s="639"/>
    </row>
    <row r="420" spans="1:9" s="52" customFormat="1" ht="12.75" customHeight="1" x14ac:dyDescent="0.25">
      <c r="A420" s="51"/>
      <c r="B420" s="640" t="s">
        <v>55</v>
      </c>
      <c r="C420" s="642" t="s">
        <v>57</v>
      </c>
      <c r="D420" s="642" t="s">
        <v>54</v>
      </c>
      <c r="E420" s="832"/>
      <c r="F420" s="830"/>
      <c r="G420" s="833">
        <f t="shared" si="13"/>
        <v>0</v>
      </c>
      <c r="H420" s="636"/>
      <c r="I420" s="639"/>
    </row>
    <row r="421" spans="1:9" s="52" customFormat="1" ht="12.75" customHeight="1" x14ac:dyDescent="0.25">
      <c r="A421" s="51"/>
      <c r="B421" s="640" t="s">
        <v>56</v>
      </c>
      <c r="C421" s="642" t="s">
        <v>58</v>
      </c>
      <c r="D421" s="642" t="s">
        <v>53</v>
      </c>
      <c r="E421" s="832"/>
      <c r="F421" s="830"/>
      <c r="G421" s="833">
        <f t="shared" si="13"/>
        <v>0</v>
      </c>
      <c r="H421" s="636"/>
      <c r="I421" s="639"/>
    </row>
    <row r="422" spans="1:9" s="52" customFormat="1" ht="12.75" customHeight="1" x14ac:dyDescent="0.25">
      <c r="A422" s="51"/>
      <c r="B422" s="631">
        <v>507</v>
      </c>
      <c r="C422" s="644" t="s">
        <v>2823</v>
      </c>
      <c r="D422" s="623" t="s">
        <v>2824</v>
      </c>
      <c r="E422" s="829">
        <f>IFERROR(VLOOKUP(B422,'vstupne udaje'!$A$6:$K$236,11,FALSE),0)</f>
        <v>0</v>
      </c>
      <c r="F422" s="824"/>
      <c r="G422" s="831">
        <f t="shared" si="13"/>
        <v>0</v>
      </c>
      <c r="H422" s="636">
        <f>IFERROR(VLOOKUP(B422,#REF!,11,FALSE),0)</f>
        <v>0</v>
      </c>
      <c r="I422" s="639"/>
    </row>
    <row r="423" spans="1:9" s="51" customFormat="1" ht="12.75" customHeight="1" x14ac:dyDescent="0.25">
      <c r="A423" s="51" t="e">
        <f>VALUE(B423)</f>
        <v>#VALUE!</v>
      </c>
      <c r="B423" s="631" t="s">
        <v>3087</v>
      </c>
      <c r="C423" s="623"/>
      <c r="D423" s="623"/>
      <c r="E423" s="829"/>
      <c r="F423" s="830"/>
      <c r="G423" s="831"/>
      <c r="H423" s="636"/>
      <c r="I423" s="639"/>
    </row>
    <row r="424" spans="1:9" s="51" customFormat="1" ht="12.75" customHeight="1" x14ac:dyDescent="0.25">
      <c r="B424" s="652" t="s">
        <v>2494</v>
      </c>
      <c r="C424" s="653" t="s">
        <v>2495</v>
      </c>
      <c r="D424" s="653" t="s">
        <v>2496</v>
      </c>
      <c r="E424" s="835">
        <f>SUM(E425:E428)</f>
        <v>401.84</v>
      </c>
      <c r="F424" s="836">
        <f>SUM(F425:F428)</f>
        <v>0</v>
      </c>
      <c r="G424" s="837">
        <f t="shared" si="13"/>
        <v>401.84</v>
      </c>
      <c r="H424" s="675">
        <f>SUM(H425:H428)</f>
        <v>0</v>
      </c>
      <c r="I424" s="639"/>
    </row>
    <row r="425" spans="1:9" s="51" customFormat="1" ht="12.75" customHeight="1" x14ac:dyDescent="0.25">
      <c r="A425" s="51">
        <f>VALUE(B425)</f>
        <v>511</v>
      </c>
      <c r="B425" s="631">
        <v>511</v>
      </c>
      <c r="C425" s="623" t="s">
        <v>711</v>
      </c>
      <c r="D425" s="623" t="s">
        <v>712</v>
      </c>
      <c r="E425" s="829">
        <f>IFERROR(VLOOKUP(B425,'vstupne udaje'!$A$6:$K$236,11,FALSE),0)</f>
        <v>0</v>
      </c>
      <c r="F425" s="830"/>
      <c r="G425" s="831">
        <f t="shared" si="13"/>
        <v>0</v>
      </c>
      <c r="H425" s="636">
        <f>IFERROR(VLOOKUP(B425,#REF!,11,FALSE),0)</f>
        <v>0</v>
      </c>
      <c r="I425" s="639"/>
    </row>
    <row r="426" spans="1:9" s="51" customFormat="1" ht="12.75" customHeight="1" x14ac:dyDescent="0.25">
      <c r="A426" s="51">
        <f>VALUE(B426)</f>
        <v>512</v>
      </c>
      <c r="B426" s="631">
        <v>512</v>
      </c>
      <c r="C426" s="623" t="s">
        <v>713</v>
      </c>
      <c r="D426" s="623" t="s">
        <v>714</v>
      </c>
      <c r="E426" s="829">
        <f>IFERROR(VLOOKUP(B426,'vstupne udaje'!$A$6:$K$236,11,FALSE),0)</f>
        <v>0</v>
      </c>
      <c r="F426" s="830"/>
      <c r="G426" s="831">
        <f t="shared" si="13"/>
        <v>0</v>
      </c>
      <c r="H426" s="636">
        <f>IFERROR(VLOOKUP(B426,#REF!,11,FALSE),0)</f>
        <v>0</v>
      </c>
      <c r="I426" s="639"/>
    </row>
    <row r="427" spans="1:9" s="51" customFormat="1" ht="12.75" customHeight="1" x14ac:dyDescent="0.25">
      <c r="A427" s="51">
        <f>VALUE(B427)</f>
        <v>513</v>
      </c>
      <c r="B427" s="631">
        <v>513</v>
      </c>
      <c r="C427" s="623" t="s">
        <v>715</v>
      </c>
      <c r="D427" s="623" t="s">
        <v>1462</v>
      </c>
      <c r="E427" s="829">
        <f>IFERROR(VLOOKUP(B427,'vstupne udaje'!$A$6:$K$236,11,FALSE),0)</f>
        <v>0</v>
      </c>
      <c r="F427" s="830"/>
      <c r="G427" s="831">
        <f t="shared" si="13"/>
        <v>0</v>
      </c>
      <c r="H427" s="636">
        <f>IFERROR(VLOOKUP(B427,#REF!,11,FALSE),0)</f>
        <v>0</v>
      </c>
      <c r="I427" s="639"/>
    </row>
    <row r="428" spans="1:9" s="51" customFormat="1" ht="12.75" customHeight="1" x14ac:dyDescent="0.25">
      <c r="A428" s="51">
        <f>VALUE(B428)</f>
        <v>518</v>
      </c>
      <c r="B428" s="631">
        <v>518</v>
      </c>
      <c r="C428" s="623" t="s">
        <v>1463</v>
      </c>
      <c r="D428" s="623" t="s">
        <v>1464</v>
      </c>
      <c r="E428" s="829">
        <f>IFERROR(VLOOKUP(B428,'vstupne udaje'!$A$6:$K$236,11,FALSE),0)</f>
        <v>401.84</v>
      </c>
      <c r="F428" s="830"/>
      <c r="G428" s="831">
        <f t="shared" si="13"/>
        <v>401.84</v>
      </c>
      <c r="H428" s="636">
        <f>IFERROR(VLOOKUP(B428,#REF!,11,FALSE),0)</f>
        <v>0</v>
      </c>
      <c r="I428" s="639"/>
    </row>
    <row r="429" spans="1:9" s="51" customFormat="1" ht="12.75" customHeight="1" x14ac:dyDescent="0.25">
      <c r="A429" s="51" t="e">
        <f>VALUE(B429)</f>
        <v>#VALUE!</v>
      </c>
      <c r="B429" s="631" t="s">
        <v>3087</v>
      </c>
      <c r="C429" s="623"/>
      <c r="D429" s="623"/>
      <c r="E429" s="829"/>
      <c r="F429" s="830"/>
      <c r="G429" s="831"/>
      <c r="H429" s="636"/>
      <c r="I429" s="639"/>
    </row>
    <row r="430" spans="1:9" s="51" customFormat="1" ht="12.75" customHeight="1" x14ac:dyDescent="0.25">
      <c r="B430" s="652" t="s">
        <v>1465</v>
      </c>
      <c r="C430" s="653" t="s">
        <v>1466</v>
      </c>
      <c r="D430" s="653" t="s">
        <v>1467</v>
      </c>
      <c r="E430" s="835">
        <f>SUM(E431:E438)</f>
        <v>0</v>
      </c>
      <c r="F430" s="836">
        <f>SUM(F431:F438)</f>
        <v>0</v>
      </c>
      <c r="G430" s="837">
        <f t="shared" si="13"/>
        <v>0</v>
      </c>
      <c r="H430" s="675">
        <f>SUM(H431:H438)</f>
        <v>0</v>
      </c>
      <c r="I430" s="639"/>
    </row>
    <row r="431" spans="1:9" s="52" customFormat="1" ht="12.75" customHeight="1" x14ac:dyDescent="0.25">
      <c r="A431" s="51">
        <f t="shared" ref="A431:A495" si="14">VALUE(B431)</f>
        <v>521</v>
      </c>
      <c r="B431" s="631">
        <v>521</v>
      </c>
      <c r="C431" s="623" t="s">
        <v>1468</v>
      </c>
      <c r="D431" s="623" t="s">
        <v>1469</v>
      </c>
      <c r="E431" s="829">
        <f>IFERROR(VLOOKUP(B431,'vstupne udaje'!$A$6:$K$236,11,FALSE),0)</f>
        <v>0</v>
      </c>
      <c r="F431" s="824"/>
      <c r="G431" s="831">
        <f t="shared" si="13"/>
        <v>0</v>
      </c>
      <c r="H431" s="636">
        <f>IFERROR(VLOOKUP(B431,#REF!,11,FALSE),0)</f>
        <v>0</v>
      </c>
      <c r="I431" s="639"/>
    </row>
    <row r="432" spans="1:9" s="51" customFormat="1" ht="12.75" customHeight="1" x14ac:dyDescent="0.25">
      <c r="A432" s="51">
        <f t="shared" si="14"/>
        <v>522</v>
      </c>
      <c r="B432" s="631">
        <v>522</v>
      </c>
      <c r="C432" s="623" t="s">
        <v>1470</v>
      </c>
      <c r="D432" s="623" t="s">
        <v>2144</v>
      </c>
      <c r="E432" s="829">
        <f>IFERROR(VLOOKUP(B432,'vstupne udaje'!$A$6:$K$236,11,FALSE),0)</f>
        <v>0</v>
      </c>
      <c r="F432" s="830"/>
      <c r="G432" s="831">
        <f t="shared" si="13"/>
        <v>0</v>
      </c>
      <c r="H432" s="636">
        <f>IFERROR(VLOOKUP(B432,#REF!,11,FALSE),0)</f>
        <v>0</v>
      </c>
      <c r="I432" s="639"/>
    </row>
    <row r="433" spans="1:9" s="51" customFormat="1" ht="12.75" customHeight="1" x14ac:dyDescent="0.25">
      <c r="A433" s="51">
        <f t="shared" si="14"/>
        <v>523</v>
      </c>
      <c r="B433" s="631">
        <v>523</v>
      </c>
      <c r="C433" s="623" t="s">
        <v>1471</v>
      </c>
      <c r="D433" s="623" t="s">
        <v>1472</v>
      </c>
      <c r="E433" s="829">
        <f>IFERROR(VLOOKUP(B433,'vstupne udaje'!$A$6:$K$236,11,FALSE),0)</f>
        <v>0</v>
      </c>
      <c r="F433" s="830"/>
      <c r="G433" s="831">
        <f t="shared" si="13"/>
        <v>0</v>
      </c>
      <c r="H433" s="636">
        <f>IFERROR(VLOOKUP(B433,#REF!,11,FALSE),0)</f>
        <v>0</v>
      </c>
      <c r="I433" s="639"/>
    </row>
    <row r="434" spans="1:9" s="51" customFormat="1" ht="12.75" customHeight="1" x14ac:dyDescent="0.25">
      <c r="A434" s="51">
        <f t="shared" si="14"/>
        <v>524</v>
      </c>
      <c r="B434" s="631">
        <v>524</v>
      </c>
      <c r="C434" s="623" t="s">
        <v>1473</v>
      </c>
      <c r="D434" s="623" t="s">
        <v>2145</v>
      </c>
      <c r="E434" s="829">
        <f>IFERROR(VLOOKUP(B434,'vstupne udaje'!$A$6:$K$236,11,FALSE),0)</f>
        <v>0</v>
      </c>
      <c r="F434" s="830"/>
      <c r="G434" s="831">
        <f t="shared" si="13"/>
        <v>0</v>
      </c>
      <c r="H434" s="636">
        <f>IFERROR(VLOOKUP(B434,#REF!,11,FALSE),0)</f>
        <v>0</v>
      </c>
      <c r="I434" s="639"/>
    </row>
    <row r="435" spans="1:9" s="51" customFormat="1" ht="12.75" customHeight="1" x14ac:dyDescent="0.25">
      <c r="A435" s="51">
        <f t="shared" si="14"/>
        <v>525</v>
      </c>
      <c r="B435" s="631">
        <v>525</v>
      </c>
      <c r="C435" s="623" t="s">
        <v>1568</v>
      </c>
      <c r="D435" s="623" t="s">
        <v>282</v>
      </c>
      <c r="E435" s="829">
        <f>IFERROR(VLOOKUP(B435,'vstupne udaje'!$A$6:$K$236,11,FALSE),0)</f>
        <v>0</v>
      </c>
      <c r="F435" s="830"/>
      <c r="G435" s="831">
        <f t="shared" si="13"/>
        <v>0</v>
      </c>
      <c r="H435" s="636">
        <f>IFERROR(VLOOKUP(B435,#REF!,11,FALSE),0)</f>
        <v>0</v>
      </c>
      <c r="I435" s="639"/>
    </row>
    <row r="436" spans="1:9" s="51" customFormat="1" ht="12.75" customHeight="1" x14ac:dyDescent="0.25">
      <c r="A436" s="51">
        <f t="shared" si="14"/>
        <v>526</v>
      </c>
      <c r="B436" s="631">
        <v>526</v>
      </c>
      <c r="C436" s="623" t="s">
        <v>1569</v>
      </c>
      <c r="D436" s="623" t="s">
        <v>2315</v>
      </c>
      <c r="E436" s="829">
        <f>IFERROR(VLOOKUP(B436,'vstupne udaje'!$A$6:$K$236,11,FALSE),0)</f>
        <v>0</v>
      </c>
      <c r="F436" s="830"/>
      <c r="G436" s="831">
        <f t="shared" si="13"/>
        <v>0</v>
      </c>
      <c r="H436" s="636">
        <f>IFERROR(VLOOKUP(B436,#REF!,11,FALSE),0)</f>
        <v>0</v>
      </c>
      <c r="I436" s="639"/>
    </row>
    <row r="437" spans="1:9" s="51" customFormat="1" ht="12.75" customHeight="1" x14ac:dyDescent="0.25">
      <c r="A437" s="51">
        <f t="shared" si="14"/>
        <v>527</v>
      </c>
      <c r="B437" s="631">
        <v>527</v>
      </c>
      <c r="C437" s="623" t="s">
        <v>1570</v>
      </c>
      <c r="D437" s="623" t="s">
        <v>1571</v>
      </c>
      <c r="E437" s="829">
        <f>IFERROR(VLOOKUP(B437,'vstupne udaje'!$A$6:$K$236,11,FALSE),0)</f>
        <v>0</v>
      </c>
      <c r="F437" s="830"/>
      <c r="G437" s="831">
        <f t="shared" si="13"/>
        <v>0</v>
      </c>
      <c r="H437" s="636">
        <f>IFERROR(VLOOKUP(B437,#REF!,11,FALSE),0)</f>
        <v>0</v>
      </c>
      <c r="I437" s="639"/>
    </row>
    <row r="438" spans="1:9" s="51" customFormat="1" ht="12.75" customHeight="1" x14ac:dyDescent="0.25">
      <c r="A438" s="51">
        <f t="shared" si="14"/>
        <v>528</v>
      </c>
      <c r="B438" s="631">
        <v>528</v>
      </c>
      <c r="C438" s="623" t="s">
        <v>1572</v>
      </c>
      <c r="D438" s="623" t="s">
        <v>1573</v>
      </c>
      <c r="E438" s="829">
        <f>IFERROR(VLOOKUP(B438,'vstupne udaje'!$A$6:$K$236,11,FALSE),0)</f>
        <v>0</v>
      </c>
      <c r="F438" s="824"/>
      <c r="G438" s="831">
        <f t="shared" si="13"/>
        <v>0</v>
      </c>
      <c r="H438" s="636">
        <f>IFERROR(VLOOKUP(B438,#REF!,11,FALSE),0)</f>
        <v>0</v>
      </c>
      <c r="I438" s="639"/>
    </row>
    <row r="439" spans="1:9" s="52" customFormat="1" ht="12.75" customHeight="1" x14ac:dyDescent="0.25">
      <c r="A439" s="51" t="e">
        <f t="shared" si="14"/>
        <v>#VALUE!</v>
      </c>
      <c r="B439" s="631" t="s">
        <v>3087</v>
      </c>
      <c r="C439" s="623"/>
      <c r="D439" s="623"/>
      <c r="E439" s="829"/>
      <c r="F439" s="824"/>
      <c r="G439" s="831"/>
      <c r="H439" s="636"/>
      <c r="I439" s="639"/>
    </row>
    <row r="440" spans="1:9" s="51" customFormat="1" ht="12.75" customHeight="1" x14ac:dyDescent="0.25">
      <c r="B440" s="652" t="s">
        <v>1574</v>
      </c>
      <c r="C440" s="653" t="s">
        <v>1575</v>
      </c>
      <c r="D440" s="653" t="s">
        <v>374</v>
      </c>
      <c r="E440" s="835">
        <f>SUM(E441:E443)</f>
        <v>0</v>
      </c>
      <c r="F440" s="836">
        <f>SUM(F441:F443)</f>
        <v>0</v>
      </c>
      <c r="G440" s="837">
        <f>E440+F440</f>
        <v>0</v>
      </c>
      <c r="H440" s="675">
        <f>SUM(H441:H443)</f>
        <v>0</v>
      </c>
      <c r="I440" s="639"/>
    </row>
    <row r="441" spans="1:9" s="51" customFormat="1" ht="12.75" customHeight="1" x14ac:dyDescent="0.25">
      <c r="A441" s="51">
        <f t="shared" si="14"/>
        <v>531</v>
      </c>
      <c r="B441" s="631">
        <v>531</v>
      </c>
      <c r="C441" s="644" t="s">
        <v>375</v>
      </c>
      <c r="D441" s="623" t="s">
        <v>2690</v>
      </c>
      <c r="E441" s="829">
        <f>IFERROR(VLOOKUP(B441,'vstupne udaje'!$A$6:$K$236,11,FALSE),0)</f>
        <v>0</v>
      </c>
      <c r="F441" s="830"/>
      <c r="G441" s="831">
        <f t="shared" si="13"/>
        <v>0</v>
      </c>
      <c r="H441" s="636">
        <f>IFERROR(VLOOKUP(B441,#REF!,11,FALSE),0)</f>
        <v>0</v>
      </c>
      <c r="I441" s="639"/>
    </row>
    <row r="442" spans="1:9" s="51" customFormat="1" ht="12.75" customHeight="1" x14ac:dyDescent="0.25">
      <c r="A442" s="51">
        <f t="shared" si="14"/>
        <v>532</v>
      </c>
      <c r="B442" s="631">
        <v>532</v>
      </c>
      <c r="C442" s="623" t="s">
        <v>376</v>
      </c>
      <c r="D442" s="623" t="s">
        <v>377</v>
      </c>
      <c r="E442" s="829">
        <f>IFERROR(VLOOKUP(B442,'vstupne udaje'!$A$6:$K$236,11,FALSE),0)</f>
        <v>0</v>
      </c>
      <c r="F442" s="830"/>
      <c r="G442" s="831">
        <f t="shared" si="13"/>
        <v>0</v>
      </c>
      <c r="H442" s="636">
        <f>IFERROR(VLOOKUP(B442,#REF!,11,FALSE),0)</f>
        <v>0</v>
      </c>
      <c r="I442" s="639"/>
    </row>
    <row r="443" spans="1:9" s="51" customFormat="1" ht="12.75" customHeight="1" x14ac:dyDescent="0.25">
      <c r="A443" s="51">
        <f t="shared" si="14"/>
        <v>538</v>
      </c>
      <c r="B443" s="631">
        <v>538</v>
      </c>
      <c r="C443" s="623" t="s">
        <v>1516</v>
      </c>
      <c r="D443" s="623" t="s">
        <v>2497</v>
      </c>
      <c r="E443" s="829">
        <f>IFERROR(VLOOKUP(B443,'vstupne udaje'!$A$6:$K$236,11,FALSE),0)</f>
        <v>0</v>
      </c>
      <c r="F443" s="830"/>
      <c r="G443" s="831">
        <f t="shared" si="13"/>
        <v>0</v>
      </c>
      <c r="H443" s="636">
        <f>IFERROR(VLOOKUP(B443,#REF!,11,FALSE),0)</f>
        <v>0</v>
      </c>
      <c r="I443" s="639"/>
    </row>
    <row r="444" spans="1:9" s="51" customFormat="1" ht="12.75" customHeight="1" x14ac:dyDescent="0.25">
      <c r="A444" s="51" t="e">
        <f t="shared" si="14"/>
        <v>#VALUE!</v>
      </c>
      <c r="B444" s="631" t="s">
        <v>3087</v>
      </c>
      <c r="C444" s="623"/>
      <c r="D444" s="623"/>
      <c r="E444" s="829"/>
      <c r="F444" s="824"/>
      <c r="G444" s="831"/>
      <c r="H444" s="636"/>
      <c r="I444" s="639"/>
    </row>
    <row r="445" spans="1:9" s="51" customFormat="1" ht="12.75" customHeight="1" x14ac:dyDescent="0.25">
      <c r="B445" s="652" t="s">
        <v>378</v>
      </c>
      <c r="C445" s="653" t="s">
        <v>379</v>
      </c>
      <c r="D445" s="653" t="s">
        <v>380</v>
      </c>
      <c r="E445" s="835">
        <f>SUM(E446:E454)</f>
        <v>20</v>
      </c>
      <c r="F445" s="836">
        <f>SUM(F446:F454)</f>
        <v>0</v>
      </c>
      <c r="G445" s="837">
        <f t="shared" si="13"/>
        <v>20</v>
      </c>
      <c r="H445" s="675">
        <f>SUM(H446:H454)</f>
        <v>0</v>
      </c>
      <c r="I445" s="639"/>
    </row>
    <row r="446" spans="1:9" s="51" customFormat="1" ht="12.75" customHeight="1" x14ac:dyDescent="0.25">
      <c r="A446" s="51">
        <f t="shared" si="14"/>
        <v>541</v>
      </c>
      <c r="B446" s="631">
        <v>541</v>
      </c>
      <c r="C446" s="623" t="s">
        <v>381</v>
      </c>
      <c r="D446" s="623" t="s">
        <v>2316</v>
      </c>
      <c r="E446" s="829">
        <f>IFERROR(VLOOKUP(B446,'vstupne udaje'!$A$6:$K$236,11,FALSE),0)</f>
        <v>0</v>
      </c>
      <c r="F446" s="830"/>
      <c r="G446" s="831">
        <f t="shared" si="13"/>
        <v>0</v>
      </c>
      <c r="H446" s="636">
        <f>IFERROR(VLOOKUP(B446,#REF!,11,FALSE),0)</f>
        <v>0</v>
      </c>
      <c r="I446" s="639"/>
    </row>
    <row r="447" spans="1:9" s="51" customFormat="1" ht="12.75" customHeight="1" x14ac:dyDescent="0.25">
      <c r="A447" s="51">
        <f t="shared" si="14"/>
        <v>542</v>
      </c>
      <c r="B447" s="631">
        <v>542</v>
      </c>
      <c r="C447" s="623" t="s">
        <v>2581</v>
      </c>
      <c r="D447" s="623" t="s">
        <v>2582</v>
      </c>
      <c r="E447" s="829">
        <f>IFERROR(VLOOKUP(B447,'vstupne udaje'!$A$6:$K$236,11,FALSE),0)</f>
        <v>0</v>
      </c>
      <c r="F447" s="830"/>
      <c r="G447" s="831">
        <f t="shared" si="13"/>
        <v>0</v>
      </c>
      <c r="H447" s="636">
        <f>IFERROR(VLOOKUP(B447,#REF!,11,FALSE),0)</f>
        <v>0</v>
      </c>
      <c r="I447" s="639"/>
    </row>
    <row r="448" spans="1:9" s="51" customFormat="1" ht="12.75" customHeight="1" x14ac:dyDescent="0.25">
      <c r="A448" s="51">
        <f t="shared" si="14"/>
        <v>543</v>
      </c>
      <c r="B448" s="631">
        <v>543</v>
      </c>
      <c r="C448" s="623" t="s">
        <v>2583</v>
      </c>
      <c r="D448" s="623" t="s">
        <v>2584</v>
      </c>
      <c r="E448" s="829">
        <f>IFERROR(VLOOKUP(B448,'vstupne udaje'!$A$6:$K$236,11,FALSE),0)</f>
        <v>0</v>
      </c>
      <c r="F448" s="824"/>
      <c r="G448" s="831">
        <f t="shared" si="13"/>
        <v>0</v>
      </c>
      <c r="H448" s="636">
        <f>IFERROR(VLOOKUP(B448,#REF!,11,FALSE),0)</f>
        <v>0</v>
      </c>
      <c r="I448" s="639"/>
    </row>
    <row r="449" spans="1:9" s="52" customFormat="1" ht="12.75" customHeight="1" x14ac:dyDescent="0.25">
      <c r="A449" s="51">
        <f t="shared" si="14"/>
        <v>544</v>
      </c>
      <c r="B449" s="631">
        <v>544</v>
      </c>
      <c r="C449" s="623" t="s">
        <v>2585</v>
      </c>
      <c r="D449" s="623" t="s">
        <v>733</v>
      </c>
      <c r="E449" s="829">
        <f>IFERROR(VLOOKUP(B449,'vstupne udaje'!$A$6:$K$236,11,FALSE),0)</f>
        <v>20</v>
      </c>
      <c r="F449" s="824"/>
      <c r="G449" s="831">
        <f t="shared" si="13"/>
        <v>20</v>
      </c>
      <c r="H449" s="636">
        <f>IFERROR(VLOOKUP(B449,#REF!,11,FALSE),0)</f>
        <v>0</v>
      </c>
      <c r="I449" s="639"/>
    </row>
    <row r="450" spans="1:9" s="51" customFormat="1" ht="12.75" customHeight="1" x14ac:dyDescent="0.25">
      <c r="A450" s="51">
        <f t="shared" si="14"/>
        <v>545</v>
      </c>
      <c r="B450" s="631">
        <v>545</v>
      </c>
      <c r="C450" s="623" t="s">
        <v>2586</v>
      </c>
      <c r="D450" s="623" t="s">
        <v>734</v>
      </c>
      <c r="E450" s="829">
        <f>IFERROR(VLOOKUP(B450,'vstupne udaje'!$A$6:$K$236,11,FALSE),0)</f>
        <v>0</v>
      </c>
      <c r="F450" s="830"/>
      <c r="G450" s="831">
        <f t="shared" si="13"/>
        <v>0</v>
      </c>
      <c r="H450" s="636">
        <f>IFERROR(VLOOKUP(B450,#REF!,11,FALSE),0)</f>
        <v>0</v>
      </c>
      <c r="I450" s="639"/>
    </row>
    <row r="451" spans="1:9" s="51" customFormat="1" ht="12.75" customHeight="1" x14ac:dyDescent="0.25">
      <c r="A451" s="51">
        <f t="shared" si="14"/>
        <v>546</v>
      </c>
      <c r="B451" s="631">
        <v>546</v>
      </c>
      <c r="C451" s="623" t="s">
        <v>2587</v>
      </c>
      <c r="D451" s="623" t="s">
        <v>2588</v>
      </c>
      <c r="E451" s="829">
        <f>IFERROR(VLOOKUP(B451,'vstupne udaje'!$A$6:$K$236,11,FALSE),0)</f>
        <v>0</v>
      </c>
      <c r="F451" s="830"/>
      <c r="G451" s="831">
        <f t="shared" si="13"/>
        <v>0</v>
      </c>
      <c r="H451" s="636">
        <f>IFERROR(VLOOKUP(B451,#REF!,11,FALSE),0)</f>
        <v>0</v>
      </c>
      <c r="I451" s="639"/>
    </row>
    <row r="452" spans="1:9" s="51" customFormat="1" ht="12.75" customHeight="1" x14ac:dyDescent="0.25">
      <c r="A452" s="51">
        <f t="shared" si="14"/>
        <v>547</v>
      </c>
      <c r="B452" s="631">
        <v>547</v>
      </c>
      <c r="C452" s="644" t="s">
        <v>1261</v>
      </c>
      <c r="D452" s="623" t="s">
        <v>2691</v>
      </c>
      <c r="E452" s="829">
        <f>IFERROR(VLOOKUP(B452,'vstupne udaje'!$A$6:$K$236,11,FALSE),0)</f>
        <v>0</v>
      </c>
      <c r="F452" s="830"/>
      <c r="G452" s="831">
        <f t="shared" si="13"/>
        <v>0</v>
      </c>
      <c r="H452" s="636">
        <f>IFERROR(VLOOKUP(B452,#REF!,11,FALSE),0)</f>
        <v>0</v>
      </c>
      <c r="I452" s="639"/>
    </row>
    <row r="453" spans="1:9" s="51" customFormat="1" ht="12.75" customHeight="1" x14ac:dyDescent="0.25">
      <c r="A453" s="51">
        <f t="shared" si="14"/>
        <v>548</v>
      </c>
      <c r="B453" s="631">
        <v>548</v>
      </c>
      <c r="C453" s="623" t="s">
        <v>2508</v>
      </c>
      <c r="D453" s="623" t="s">
        <v>735</v>
      </c>
      <c r="E453" s="829">
        <f>IFERROR(VLOOKUP(B453,'vstupne udaje'!$A$6:$K$236,11,FALSE),0)</f>
        <v>0</v>
      </c>
      <c r="F453" s="830"/>
      <c r="G453" s="831">
        <f t="shared" si="13"/>
        <v>0</v>
      </c>
      <c r="H453" s="636">
        <f>IFERROR(VLOOKUP(B453,#REF!,11,FALSE),0)</f>
        <v>0</v>
      </c>
      <c r="I453" s="639"/>
    </row>
    <row r="454" spans="1:9" s="51" customFormat="1" ht="12.75" customHeight="1" x14ac:dyDescent="0.25">
      <c r="A454" s="51">
        <f t="shared" si="14"/>
        <v>549</v>
      </c>
      <c r="B454" s="631">
        <v>549</v>
      </c>
      <c r="C454" s="623" t="s">
        <v>1831</v>
      </c>
      <c r="D454" s="623" t="s">
        <v>622</v>
      </c>
      <c r="E454" s="829">
        <f>IFERROR(VLOOKUP(B454,'vstupne udaje'!$A$6:$K$236,11,FALSE),0)</f>
        <v>0</v>
      </c>
      <c r="F454" s="830"/>
      <c r="G454" s="831">
        <f t="shared" si="13"/>
        <v>0</v>
      </c>
      <c r="H454" s="636">
        <f>IFERROR(VLOOKUP(B454,#REF!,11,FALSE),0)</f>
        <v>0</v>
      </c>
      <c r="I454" s="639"/>
    </row>
    <row r="455" spans="1:9" s="51" customFormat="1" ht="12.75" customHeight="1" x14ac:dyDescent="0.25">
      <c r="A455" s="51" t="e">
        <f t="shared" si="14"/>
        <v>#VALUE!</v>
      </c>
      <c r="B455" s="631" t="s">
        <v>3087</v>
      </c>
      <c r="C455" s="623"/>
      <c r="D455" s="623"/>
      <c r="E455" s="829"/>
      <c r="F455" s="830"/>
      <c r="G455" s="831"/>
      <c r="H455" s="636"/>
      <c r="I455" s="639"/>
    </row>
    <row r="456" spans="1:9" s="51" customFormat="1" ht="12.75" customHeight="1" x14ac:dyDescent="0.25">
      <c r="B456" s="652" t="s">
        <v>2509</v>
      </c>
      <c r="C456" s="653" t="s">
        <v>305</v>
      </c>
      <c r="D456" s="653" t="s">
        <v>1263</v>
      </c>
      <c r="E456" s="835">
        <f>SUM(E457:E460)</f>
        <v>0</v>
      </c>
      <c r="F456" s="836">
        <f>SUM(F457:F460)</f>
        <v>0</v>
      </c>
      <c r="G456" s="837">
        <f t="shared" si="13"/>
        <v>0</v>
      </c>
      <c r="H456" s="675">
        <f>SUM(H457:H460)</f>
        <v>0</v>
      </c>
      <c r="I456" s="639"/>
    </row>
    <row r="457" spans="1:9" s="52" customFormat="1" ht="12.75" customHeight="1" x14ac:dyDescent="0.25">
      <c r="A457" s="51">
        <f t="shared" si="14"/>
        <v>551</v>
      </c>
      <c r="B457" s="631">
        <v>551</v>
      </c>
      <c r="C457" s="644" t="s">
        <v>2049</v>
      </c>
      <c r="D457" s="623" t="s">
        <v>530</v>
      </c>
      <c r="E457" s="829">
        <f>IFERROR(VLOOKUP(B457,'vstupne udaje'!$A$6:$K$236,11,FALSE),0)</f>
        <v>0</v>
      </c>
      <c r="F457" s="824"/>
      <c r="G457" s="831">
        <f t="shared" si="13"/>
        <v>0</v>
      </c>
      <c r="H457" s="636">
        <f>IFERROR(VLOOKUP(B457,#REF!,11,FALSE),0)</f>
        <v>0</v>
      </c>
      <c r="I457" s="639"/>
    </row>
    <row r="458" spans="1:9" s="51" customFormat="1" ht="12.75" customHeight="1" x14ac:dyDescent="0.25">
      <c r="A458" s="51">
        <f t="shared" si="14"/>
        <v>553</v>
      </c>
      <c r="B458" s="631">
        <v>553</v>
      </c>
      <c r="C458" s="644" t="s">
        <v>1264</v>
      </c>
      <c r="D458" s="623" t="s">
        <v>1262</v>
      </c>
      <c r="E458" s="829">
        <f>IFERROR(VLOOKUP(B458,'vstupne udaje'!$A$6:$K$236,11,FALSE),0)</f>
        <v>0</v>
      </c>
      <c r="F458" s="830"/>
      <c r="G458" s="831">
        <f t="shared" si="13"/>
        <v>0</v>
      </c>
      <c r="H458" s="636">
        <f>IFERROR(VLOOKUP(B458,#REF!,11,FALSE),0)</f>
        <v>0</v>
      </c>
      <c r="I458" s="639"/>
    </row>
    <row r="459" spans="1:9" s="51" customFormat="1" ht="12.75" customHeight="1" x14ac:dyDescent="0.25">
      <c r="A459" s="51">
        <f t="shared" si="14"/>
        <v>555</v>
      </c>
      <c r="B459" s="631">
        <v>555</v>
      </c>
      <c r="C459" s="623" t="s">
        <v>2050</v>
      </c>
      <c r="D459" s="623" t="s">
        <v>1602</v>
      </c>
      <c r="E459" s="829">
        <f>IFERROR(VLOOKUP(B459,'vstupne udaje'!$A$6:$K$236,11,FALSE),0)</f>
        <v>0</v>
      </c>
      <c r="F459" s="830"/>
      <c r="G459" s="831">
        <f t="shared" si="13"/>
        <v>0</v>
      </c>
      <c r="H459" s="636">
        <f>IFERROR(VLOOKUP(B459,#REF!,11,FALSE),0)</f>
        <v>0</v>
      </c>
      <c r="I459" s="639"/>
    </row>
    <row r="460" spans="1:9" s="51" customFormat="1" ht="12.75" customHeight="1" x14ac:dyDescent="0.25">
      <c r="A460" s="51">
        <f t="shared" si="14"/>
        <v>557</v>
      </c>
      <c r="B460" s="631">
        <v>557</v>
      </c>
      <c r="C460" s="623" t="s">
        <v>1565</v>
      </c>
      <c r="D460" s="623" t="s">
        <v>2419</v>
      </c>
      <c r="E460" s="829">
        <f>IFERROR(VLOOKUP(B460,'vstupne udaje'!$A$6:$K$236,11,FALSE),0)</f>
        <v>0</v>
      </c>
      <c r="F460" s="830"/>
      <c r="G460" s="831">
        <f t="shared" ref="G460:G523" si="15">E460+F460</f>
        <v>0</v>
      </c>
      <c r="H460" s="636">
        <f>IFERROR(VLOOKUP(B460,#REF!,11,FALSE),0)</f>
        <v>0</v>
      </c>
      <c r="I460" s="639"/>
    </row>
    <row r="461" spans="1:9" s="51" customFormat="1" ht="12.75" customHeight="1" x14ac:dyDescent="0.25">
      <c r="A461" s="51" t="e">
        <f t="shared" si="14"/>
        <v>#VALUE!</v>
      </c>
      <c r="B461" s="631" t="s">
        <v>3087</v>
      </c>
      <c r="C461" s="623"/>
      <c r="D461" s="623"/>
      <c r="E461" s="829"/>
      <c r="F461" s="830"/>
      <c r="G461" s="831"/>
      <c r="H461" s="636"/>
      <c r="I461" s="639"/>
    </row>
    <row r="462" spans="1:9" s="51" customFormat="1" ht="12.75" customHeight="1" x14ac:dyDescent="0.25">
      <c r="B462" s="652" t="s">
        <v>2622</v>
      </c>
      <c r="C462" s="653" t="s">
        <v>2623</v>
      </c>
      <c r="D462" s="653" t="s">
        <v>2624</v>
      </c>
      <c r="E462" s="835">
        <f>SUM(E463:E471)</f>
        <v>0</v>
      </c>
      <c r="F462" s="836">
        <f>SUM(F464:F471)</f>
        <v>0</v>
      </c>
      <c r="G462" s="837">
        <f t="shared" si="15"/>
        <v>0</v>
      </c>
      <c r="H462" s="675">
        <f>SUM(H463:H471)</f>
        <v>0</v>
      </c>
      <c r="I462" s="639"/>
    </row>
    <row r="463" spans="1:9" s="51" customFormat="1" ht="12.75" customHeight="1" x14ac:dyDescent="0.25">
      <c r="A463" s="51">
        <f t="shared" si="14"/>
        <v>561</v>
      </c>
      <c r="B463" s="631">
        <v>561</v>
      </c>
      <c r="C463" s="623" t="s">
        <v>2625</v>
      </c>
      <c r="D463" s="623" t="s">
        <v>736</v>
      </c>
      <c r="E463" s="829">
        <f>IFERROR(VLOOKUP(B463,'vstupne udaje'!$A$6:$K$236,11,FALSE),0)</f>
        <v>0</v>
      </c>
      <c r="F463" s="824"/>
      <c r="G463" s="831">
        <f t="shared" si="15"/>
        <v>0</v>
      </c>
      <c r="H463" s="636">
        <f>IFERROR(VLOOKUP(B463,#REF!,11,FALSE),0)</f>
        <v>0</v>
      </c>
      <c r="I463" s="639"/>
    </row>
    <row r="464" spans="1:9" s="50" customFormat="1" ht="12.75" customHeight="1" x14ac:dyDescent="0.25">
      <c r="A464" s="51">
        <f t="shared" si="14"/>
        <v>562</v>
      </c>
      <c r="B464" s="631">
        <v>562</v>
      </c>
      <c r="C464" s="623" t="s">
        <v>2626</v>
      </c>
      <c r="D464" s="623" t="s">
        <v>2627</v>
      </c>
      <c r="E464" s="829">
        <f>IFERROR(VLOOKUP(B464,'vstupne udaje'!$A$6:$K$236,11,FALSE),0)</f>
        <v>0</v>
      </c>
      <c r="F464" s="824"/>
      <c r="G464" s="831">
        <f t="shared" si="15"/>
        <v>0</v>
      </c>
      <c r="H464" s="636">
        <f>IFERROR(VLOOKUP(B464,#REF!,11,FALSE),0)</f>
        <v>0</v>
      </c>
      <c r="I464" s="639"/>
    </row>
    <row r="465" spans="1:9" s="51" customFormat="1" ht="12.75" customHeight="1" x14ac:dyDescent="0.25">
      <c r="A465" s="51">
        <f t="shared" si="14"/>
        <v>563</v>
      </c>
      <c r="B465" s="631">
        <v>563</v>
      </c>
      <c r="C465" s="623" t="s">
        <v>2628</v>
      </c>
      <c r="D465" s="623" t="s">
        <v>2629</v>
      </c>
      <c r="E465" s="829">
        <f>IFERROR(VLOOKUP(B465,'vstupne udaje'!$A$6:$K$236,11,FALSE),0)</f>
        <v>0</v>
      </c>
      <c r="F465" s="824"/>
      <c r="G465" s="831">
        <f t="shared" si="15"/>
        <v>0</v>
      </c>
      <c r="H465" s="636">
        <f>IFERROR(VLOOKUP(B465,#REF!,11,FALSE),0)</f>
        <v>0</v>
      </c>
      <c r="I465" s="639"/>
    </row>
    <row r="466" spans="1:9" s="52" customFormat="1" ht="12.75" customHeight="1" x14ac:dyDescent="0.25">
      <c r="A466" s="51">
        <f t="shared" si="14"/>
        <v>564</v>
      </c>
      <c r="B466" s="631">
        <v>564</v>
      </c>
      <c r="C466" s="623" t="s">
        <v>1832</v>
      </c>
      <c r="D466" s="623" t="s">
        <v>737</v>
      </c>
      <c r="E466" s="829">
        <f>IFERROR(VLOOKUP(B466,'vstupne udaje'!$A$6:$K$236,11,FALSE),0)</f>
        <v>0</v>
      </c>
      <c r="F466" s="824"/>
      <c r="G466" s="831">
        <f t="shared" si="15"/>
        <v>0</v>
      </c>
      <c r="H466" s="636">
        <f>IFERROR(VLOOKUP(B466,#REF!,11,FALSE),0)</f>
        <v>0</v>
      </c>
      <c r="I466" s="639"/>
    </row>
    <row r="467" spans="1:9" s="52" customFormat="1" ht="12.75" customHeight="1" x14ac:dyDescent="0.25">
      <c r="A467" s="51">
        <f t="shared" si="14"/>
        <v>565</v>
      </c>
      <c r="B467" s="631">
        <v>565</v>
      </c>
      <c r="C467" s="644" t="s">
        <v>911</v>
      </c>
      <c r="D467" s="623" t="s">
        <v>910</v>
      </c>
      <c r="E467" s="829">
        <f>IFERROR(VLOOKUP(B467,'vstupne udaje'!$A$6:$K$236,11,FALSE),0)</f>
        <v>0</v>
      </c>
      <c r="F467" s="824"/>
      <c r="G467" s="831">
        <f t="shared" si="15"/>
        <v>0</v>
      </c>
      <c r="H467" s="636">
        <f>IFERROR(VLOOKUP(B467,#REF!,11,FALSE),0)</f>
        <v>0</v>
      </c>
      <c r="I467" s="639"/>
    </row>
    <row r="468" spans="1:9" s="51" customFormat="1" ht="12.75" customHeight="1" x14ac:dyDescent="0.25">
      <c r="A468" s="51">
        <f t="shared" si="14"/>
        <v>566</v>
      </c>
      <c r="B468" s="631">
        <v>566</v>
      </c>
      <c r="C468" s="623" t="s">
        <v>1833</v>
      </c>
      <c r="D468" s="623" t="s">
        <v>738</v>
      </c>
      <c r="E468" s="829">
        <f>IFERROR(VLOOKUP(B468,'vstupne udaje'!$A$6:$K$236,11,FALSE),0)</f>
        <v>0</v>
      </c>
      <c r="F468" s="830"/>
      <c r="G468" s="831">
        <f t="shared" si="15"/>
        <v>0</v>
      </c>
      <c r="H468" s="636">
        <f>IFERROR(VLOOKUP(B468,#REF!,11,FALSE),0)</f>
        <v>0</v>
      </c>
      <c r="I468" s="639"/>
    </row>
    <row r="469" spans="1:9" s="51" customFormat="1" ht="12.75" customHeight="1" x14ac:dyDescent="0.25">
      <c r="A469" s="51">
        <f t="shared" si="14"/>
        <v>567</v>
      </c>
      <c r="B469" s="631">
        <v>567</v>
      </c>
      <c r="C469" s="623" t="s">
        <v>1834</v>
      </c>
      <c r="D469" s="623" t="s">
        <v>739</v>
      </c>
      <c r="E469" s="829">
        <f>IFERROR(VLOOKUP(B469,'vstupne udaje'!$A$6:$K$236,11,FALSE),0)</f>
        <v>0</v>
      </c>
      <c r="F469" s="830"/>
      <c r="G469" s="831">
        <f t="shared" si="15"/>
        <v>0</v>
      </c>
      <c r="H469" s="636">
        <f>IFERROR(VLOOKUP(B469,#REF!,11,FALSE),0)</f>
        <v>0</v>
      </c>
      <c r="I469" s="639"/>
    </row>
    <row r="470" spans="1:9" s="51" customFormat="1" ht="12.75" customHeight="1" x14ac:dyDescent="0.25">
      <c r="A470" s="51">
        <f t="shared" si="14"/>
        <v>568</v>
      </c>
      <c r="B470" s="631">
        <v>568</v>
      </c>
      <c r="C470" s="623" t="s">
        <v>2630</v>
      </c>
      <c r="D470" s="623" t="s">
        <v>2631</v>
      </c>
      <c r="E470" s="829">
        <f>IFERROR(VLOOKUP(B470,'vstupne udaje'!$A$6:$K$236,11,FALSE),0)</f>
        <v>0</v>
      </c>
      <c r="F470" s="830"/>
      <c r="G470" s="831">
        <f t="shared" si="15"/>
        <v>0</v>
      </c>
      <c r="H470" s="636">
        <f>IFERROR(VLOOKUP(B470,#REF!,11,FALSE),0)</f>
        <v>0</v>
      </c>
      <c r="I470" s="639"/>
    </row>
    <row r="471" spans="1:9" s="51" customFormat="1" ht="12.75" customHeight="1" x14ac:dyDescent="0.25">
      <c r="A471" s="51">
        <f t="shared" si="14"/>
        <v>569</v>
      </c>
      <c r="B471" s="631">
        <v>569</v>
      </c>
      <c r="C471" s="623" t="s">
        <v>1830</v>
      </c>
      <c r="D471" s="623" t="s">
        <v>740</v>
      </c>
      <c r="E471" s="829">
        <f>IFERROR(VLOOKUP(B471,'vstupne udaje'!$A$6:$K$236,11,FALSE),0)</f>
        <v>0</v>
      </c>
      <c r="F471" s="824"/>
      <c r="G471" s="831">
        <f t="shared" si="15"/>
        <v>0</v>
      </c>
      <c r="H471" s="636">
        <f>IFERROR(VLOOKUP(B471,#REF!,11,FALSE),0)</f>
        <v>0</v>
      </c>
      <c r="I471" s="639"/>
    </row>
    <row r="472" spans="1:9" s="52" customFormat="1" ht="12.75" customHeight="1" x14ac:dyDescent="0.25">
      <c r="A472" s="51" t="e">
        <f t="shared" si="14"/>
        <v>#VALUE!</v>
      </c>
      <c r="B472" s="631" t="s">
        <v>3087</v>
      </c>
      <c r="C472" s="623"/>
      <c r="D472" s="623"/>
      <c r="E472" s="829"/>
      <c r="F472" s="824"/>
      <c r="G472" s="831"/>
      <c r="H472" s="636"/>
      <c r="I472" s="639"/>
    </row>
    <row r="473" spans="1:9" s="51" customFormat="1" ht="12.75" customHeight="1" x14ac:dyDescent="0.25">
      <c r="B473" s="652" t="s">
        <v>618</v>
      </c>
      <c r="C473" s="653" t="s">
        <v>619</v>
      </c>
      <c r="D473" s="653" t="s">
        <v>620</v>
      </c>
      <c r="E473" s="835">
        <f>SUM(E474:E475)</f>
        <v>0</v>
      </c>
      <c r="F473" s="836">
        <f>SUM(F474:F475)</f>
        <v>0</v>
      </c>
      <c r="G473" s="837">
        <f t="shared" si="15"/>
        <v>0</v>
      </c>
      <c r="H473" s="675">
        <f>SUM(H474:H475)</f>
        <v>0</v>
      </c>
      <c r="I473" s="639"/>
    </row>
    <row r="474" spans="1:9" s="51" customFormat="1" ht="12.75" customHeight="1" x14ac:dyDescent="0.25">
      <c r="A474" s="51">
        <f t="shared" si="14"/>
        <v>582</v>
      </c>
      <c r="B474" s="631">
        <v>582</v>
      </c>
      <c r="C474" s="623" t="s">
        <v>621</v>
      </c>
      <c r="D474" s="623" t="s">
        <v>741</v>
      </c>
      <c r="E474" s="829">
        <f>IFERROR(VLOOKUP(B474,'vstupne udaje'!$A$6:$K$228,11,FALSE),0)</f>
        <v>0</v>
      </c>
      <c r="F474" s="830"/>
      <c r="G474" s="831">
        <f t="shared" si="15"/>
        <v>0</v>
      </c>
      <c r="H474" s="636">
        <f>IFERROR(VLOOKUP(B474,#REF!,11,FALSE),0)</f>
        <v>0</v>
      </c>
      <c r="I474" s="639"/>
    </row>
    <row r="475" spans="1:9" s="51" customFormat="1" ht="12.75" customHeight="1" x14ac:dyDescent="0.25">
      <c r="A475" s="51">
        <f t="shared" si="14"/>
        <v>588</v>
      </c>
      <c r="B475" s="631">
        <v>588</v>
      </c>
      <c r="C475" s="623" t="s">
        <v>623</v>
      </c>
      <c r="D475" s="623" t="s">
        <v>624</v>
      </c>
      <c r="E475" s="829">
        <f>IFERROR(VLOOKUP(B475,'vstupne udaje'!$A$6:$K$228,11,FALSE),0)</f>
        <v>0</v>
      </c>
      <c r="F475" s="830"/>
      <c r="G475" s="831">
        <f t="shared" si="15"/>
        <v>0</v>
      </c>
      <c r="H475" s="636">
        <f>IFERROR(VLOOKUP(B475,#REF!,11,FALSE),0)</f>
        <v>0</v>
      </c>
      <c r="I475" s="639"/>
    </row>
    <row r="476" spans="1:9" s="51" customFormat="1" ht="12.75" customHeight="1" x14ac:dyDescent="0.25">
      <c r="A476" s="51" t="e">
        <f t="shared" si="14"/>
        <v>#VALUE!</v>
      </c>
      <c r="B476" s="631" t="s">
        <v>3087</v>
      </c>
      <c r="C476" s="623"/>
      <c r="D476" s="623"/>
      <c r="E476" s="829"/>
      <c r="F476" s="824"/>
      <c r="G476" s="831"/>
      <c r="H476" s="636"/>
      <c r="I476" s="639"/>
    </row>
    <row r="477" spans="1:9" s="52" customFormat="1" ht="12.75" customHeight="1" x14ac:dyDescent="0.25">
      <c r="A477" s="51"/>
      <c r="B477" s="652" t="s">
        <v>625</v>
      </c>
      <c r="C477" s="653" t="s">
        <v>626</v>
      </c>
      <c r="D477" s="653" t="s">
        <v>742</v>
      </c>
      <c r="E477" s="835">
        <f>SUM(E478:E485)</f>
        <v>960</v>
      </c>
      <c r="F477" s="836">
        <f>SUM(F478:F485)</f>
        <v>0</v>
      </c>
      <c r="G477" s="837">
        <f t="shared" si="15"/>
        <v>960</v>
      </c>
      <c r="H477" s="675">
        <f>SUM(H478:H485)</f>
        <v>0</v>
      </c>
      <c r="I477" s="639"/>
    </row>
    <row r="478" spans="1:9" s="51" customFormat="1" ht="12.75" customHeight="1" x14ac:dyDescent="0.25">
      <c r="A478" s="51">
        <f t="shared" si="14"/>
        <v>591</v>
      </c>
      <c r="B478" s="631">
        <v>591</v>
      </c>
      <c r="C478" s="623" t="s">
        <v>2208</v>
      </c>
      <c r="D478" s="623" t="s">
        <v>2209</v>
      </c>
      <c r="E478" s="829">
        <f>IFERROR(VLOOKUP(B478,'vstupne udaje'!$A$6:$K$236,11,FALSE),0)</f>
        <v>960</v>
      </c>
      <c r="F478" s="830"/>
      <c r="G478" s="831">
        <f t="shared" si="15"/>
        <v>960</v>
      </c>
      <c r="H478" s="636">
        <f>IFERROR(VLOOKUP(B478,#REF!,11,FALSE),0)</f>
        <v>0</v>
      </c>
      <c r="I478" s="639"/>
    </row>
    <row r="479" spans="1:9" s="51" customFormat="1" ht="12.75" customHeight="1" x14ac:dyDescent="0.25">
      <c r="A479" s="51">
        <f t="shared" si="14"/>
        <v>592</v>
      </c>
      <c r="B479" s="631">
        <v>592</v>
      </c>
      <c r="C479" s="623" t="s">
        <v>2210</v>
      </c>
      <c r="D479" s="623" t="s">
        <v>2440</v>
      </c>
      <c r="E479" s="829">
        <f>IFERROR(VLOOKUP(B479,'vstupne udaje'!$A$6:$K$236,11,FALSE),0)</f>
        <v>0</v>
      </c>
      <c r="F479" s="830"/>
      <c r="G479" s="831">
        <f t="shared" si="15"/>
        <v>0</v>
      </c>
      <c r="H479" s="636">
        <f>IFERROR(VLOOKUP(B479,#REF!,11,FALSE),0)</f>
        <v>0</v>
      </c>
      <c r="I479" s="639"/>
    </row>
    <row r="480" spans="1:9" s="51" customFormat="1" ht="12.75" customHeight="1" x14ac:dyDescent="0.25">
      <c r="A480" s="51">
        <f t="shared" si="14"/>
        <v>593</v>
      </c>
      <c r="B480" s="631">
        <v>593</v>
      </c>
      <c r="C480" s="623" t="s">
        <v>2472</v>
      </c>
      <c r="D480" s="623" t="s">
        <v>104</v>
      </c>
      <c r="E480" s="829">
        <f>IFERROR(VLOOKUP(B480,'vstupne udaje'!$A$6:$K$236,11,FALSE),0)</f>
        <v>0</v>
      </c>
      <c r="F480" s="830"/>
      <c r="G480" s="831">
        <f t="shared" si="15"/>
        <v>0</v>
      </c>
      <c r="H480" s="636">
        <f>IFERROR(VLOOKUP(B480,#REF!,11,FALSE),0)</f>
        <v>0</v>
      </c>
      <c r="I480" s="639"/>
    </row>
    <row r="481" spans="1:9" s="51" customFormat="1" ht="12.75" customHeight="1" x14ac:dyDescent="0.25">
      <c r="A481" s="51">
        <f t="shared" si="14"/>
        <v>594</v>
      </c>
      <c r="B481" s="631">
        <v>594</v>
      </c>
      <c r="C481" s="623" t="s">
        <v>2568</v>
      </c>
      <c r="D481" s="623" t="s">
        <v>103</v>
      </c>
      <c r="E481" s="829">
        <f>IFERROR(VLOOKUP(B481,'vstupne udaje'!$A$6:$K$236,11,FALSE),0)</f>
        <v>0</v>
      </c>
      <c r="F481" s="830"/>
      <c r="G481" s="831">
        <f t="shared" si="15"/>
        <v>0</v>
      </c>
      <c r="H481" s="636">
        <f>IFERROR(VLOOKUP(B481,#REF!,11,FALSE),0)</f>
        <v>0</v>
      </c>
      <c r="I481" s="639"/>
    </row>
    <row r="482" spans="1:9" s="51" customFormat="1" ht="12.75" customHeight="1" x14ac:dyDescent="0.25">
      <c r="A482" s="51">
        <f t="shared" si="14"/>
        <v>595</v>
      </c>
      <c r="B482" s="631">
        <v>595</v>
      </c>
      <c r="C482" s="623" t="s">
        <v>2569</v>
      </c>
      <c r="D482" s="623" t="s">
        <v>2570</v>
      </c>
      <c r="E482" s="829">
        <f>IFERROR(VLOOKUP(B482,'vstupne udaje'!$A$6:$K$236,11,FALSE),0)</f>
        <v>0</v>
      </c>
      <c r="F482" s="830"/>
      <c r="G482" s="831">
        <f t="shared" si="15"/>
        <v>0</v>
      </c>
      <c r="H482" s="636">
        <f>IFERROR(VLOOKUP(B482,#REF!,11,FALSE),0)</f>
        <v>0</v>
      </c>
      <c r="I482" s="639"/>
    </row>
    <row r="483" spans="1:9" s="51" customFormat="1" ht="12.75" customHeight="1" x14ac:dyDescent="0.25">
      <c r="A483" s="51">
        <f t="shared" si="14"/>
        <v>596</v>
      </c>
      <c r="B483" s="631">
        <v>596</v>
      </c>
      <c r="C483" s="623" t="s">
        <v>2571</v>
      </c>
      <c r="D483" s="623" t="s">
        <v>2525</v>
      </c>
      <c r="E483" s="829">
        <f>IFERROR(VLOOKUP(B483,'vstupne udaje'!$A$6:$K$236,11,FALSE),0)</f>
        <v>0</v>
      </c>
      <c r="F483" s="830"/>
      <c r="G483" s="831">
        <f t="shared" si="15"/>
        <v>0</v>
      </c>
      <c r="H483" s="636">
        <f>IFERROR(VLOOKUP(B483,#REF!,11,FALSE),0)</f>
        <v>0</v>
      </c>
      <c r="I483" s="639"/>
    </row>
    <row r="484" spans="1:9" s="51" customFormat="1" ht="12.75" customHeight="1" x14ac:dyDescent="0.25">
      <c r="A484" s="51">
        <f t="shared" si="14"/>
        <v>597</v>
      </c>
      <c r="B484" s="631">
        <v>597</v>
      </c>
      <c r="C484" s="623" t="s">
        <v>2572</v>
      </c>
      <c r="D484" s="623" t="s">
        <v>1984</v>
      </c>
      <c r="E484" s="829">
        <f>IFERROR(VLOOKUP(B484,'vstupne udaje'!$A$6:$K$236,11,FALSE),0)</f>
        <v>0</v>
      </c>
      <c r="F484" s="824"/>
      <c r="G484" s="831">
        <f t="shared" si="15"/>
        <v>0</v>
      </c>
      <c r="H484" s="636">
        <f>IFERROR(VLOOKUP(B484,#REF!,11,FALSE),0)</f>
        <v>0</v>
      </c>
      <c r="I484" s="639"/>
    </row>
    <row r="485" spans="1:9" s="52" customFormat="1" ht="12.75" customHeight="1" x14ac:dyDescent="0.25">
      <c r="A485" s="51">
        <f t="shared" si="14"/>
        <v>598</v>
      </c>
      <c r="B485" s="631">
        <v>598</v>
      </c>
      <c r="C485" s="623" t="s">
        <v>2573</v>
      </c>
      <c r="D485" s="623" t="s">
        <v>2574</v>
      </c>
      <c r="E485" s="829">
        <f>IFERROR(VLOOKUP(B485,'vstupne udaje'!$A$6:$K$236,11,FALSE),0)</f>
        <v>0</v>
      </c>
      <c r="F485" s="824"/>
      <c r="G485" s="831">
        <f t="shared" si="15"/>
        <v>0</v>
      </c>
      <c r="H485" s="636">
        <f>IFERROR(VLOOKUP(B485,#REF!,11,FALSE),0)</f>
        <v>0</v>
      </c>
      <c r="I485" s="639"/>
    </row>
    <row r="486" spans="1:9" s="51" customFormat="1" ht="12.75" customHeight="1" x14ac:dyDescent="0.25">
      <c r="A486" s="51" t="e">
        <f t="shared" si="14"/>
        <v>#VALUE!</v>
      </c>
      <c r="B486" s="631" t="s">
        <v>3087</v>
      </c>
      <c r="C486" s="623"/>
      <c r="D486" s="623"/>
      <c r="E486" s="829"/>
      <c r="F486" s="830"/>
      <c r="G486" s="831"/>
      <c r="H486" s="636"/>
      <c r="I486" s="639"/>
    </row>
    <row r="487" spans="1:9" s="51" customFormat="1" ht="12.75" customHeight="1" x14ac:dyDescent="0.25">
      <c r="B487" s="652" t="s">
        <v>2575</v>
      </c>
      <c r="C487" s="653" t="s">
        <v>2576</v>
      </c>
      <c r="D487" s="653" t="s">
        <v>562</v>
      </c>
      <c r="E487" s="835">
        <f>E489+E496+E502+E508+E516+E520+E533+E537</f>
        <v>0</v>
      </c>
      <c r="F487" s="836">
        <f>F489+F496+F502+F508+F516+F520+F533+F537</f>
        <v>0</v>
      </c>
      <c r="G487" s="837">
        <f t="shared" si="15"/>
        <v>0</v>
      </c>
      <c r="H487" s="675">
        <f>H489+H496+H502+H508+H516+H520+H533+H537</f>
        <v>0</v>
      </c>
      <c r="I487" s="639"/>
    </row>
    <row r="488" spans="1:9" s="51" customFormat="1" ht="12.75" customHeight="1" x14ac:dyDescent="0.25">
      <c r="A488" s="51" t="e">
        <f t="shared" si="14"/>
        <v>#VALUE!</v>
      </c>
      <c r="B488" s="631" t="s">
        <v>3087</v>
      </c>
      <c r="C488" s="623"/>
      <c r="D488" s="623"/>
      <c r="E488" s="829"/>
      <c r="F488" s="830"/>
      <c r="G488" s="831"/>
      <c r="H488" s="636"/>
      <c r="I488" s="639"/>
    </row>
    <row r="489" spans="1:9" s="51" customFormat="1" ht="12.75" customHeight="1" x14ac:dyDescent="0.25">
      <c r="B489" s="652" t="s">
        <v>2577</v>
      </c>
      <c r="C489" s="653" t="s">
        <v>2578</v>
      </c>
      <c r="D489" s="653" t="s">
        <v>1012</v>
      </c>
      <c r="E489" s="835">
        <f>SUM(E490:E494)</f>
        <v>0</v>
      </c>
      <c r="F489" s="836">
        <f>SUM(F490:F494)</f>
        <v>0</v>
      </c>
      <c r="G489" s="837">
        <f t="shared" si="15"/>
        <v>0</v>
      </c>
      <c r="H489" s="675">
        <f>SUM(H490:H494)</f>
        <v>0</v>
      </c>
      <c r="I489" s="639"/>
    </row>
    <row r="490" spans="1:9" s="51" customFormat="1" ht="12.75" customHeight="1" x14ac:dyDescent="0.25">
      <c r="A490" s="51">
        <f t="shared" si="14"/>
        <v>601</v>
      </c>
      <c r="B490" s="631">
        <v>601</v>
      </c>
      <c r="C490" s="623" t="s">
        <v>1013</v>
      </c>
      <c r="D490" s="623" t="s">
        <v>1014</v>
      </c>
      <c r="E490" s="829">
        <f>IFERROR(VLOOKUP(B490,'vstupne udaje'!$A$6:$K$236,11,FALSE),0)</f>
        <v>0</v>
      </c>
      <c r="F490" s="830"/>
      <c r="G490" s="831">
        <f t="shared" si="15"/>
        <v>0</v>
      </c>
      <c r="H490" s="636">
        <f>IFERROR(VLOOKUP(B490,#REF!,11,FALSE),0)</f>
        <v>0</v>
      </c>
      <c r="I490" s="639"/>
    </row>
    <row r="491" spans="1:9" s="51" customFormat="1" ht="12.75" customHeight="1" x14ac:dyDescent="0.25">
      <c r="A491" s="51">
        <f t="shared" si="14"/>
        <v>602</v>
      </c>
      <c r="B491" s="631">
        <v>602</v>
      </c>
      <c r="C491" s="623" t="s">
        <v>1400</v>
      </c>
      <c r="D491" s="623" t="s">
        <v>1401</v>
      </c>
      <c r="E491" s="829">
        <f>IFERROR(VLOOKUP(B491,'vstupne udaje'!$A$6:$K$236,11,FALSE),0)</f>
        <v>0</v>
      </c>
      <c r="F491" s="824"/>
      <c r="G491" s="831">
        <f t="shared" si="15"/>
        <v>0</v>
      </c>
      <c r="H491" s="636">
        <f>IFERROR(VLOOKUP(B491,#REF!,11,FALSE),0)</f>
        <v>0</v>
      </c>
      <c r="I491" s="672"/>
    </row>
    <row r="492" spans="1:9" s="52" customFormat="1" ht="12.75" customHeight="1" x14ac:dyDescent="0.25">
      <c r="A492" s="51">
        <f t="shared" si="14"/>
        <v>604</v>
      </c>
      <c r="B492" s="631">
        <v>604</v>
      </c>
      <c r="C492" s="623" t="s">
        <v>1402</v>
      </c>
      <c r="D492" s="623" t="s">
        <v>1403</v>
      </c>
      <c r="E492" s="829">
        <f>IFERROR(VLOOKUP(B492,'vstupne udaje'!$A$6:$K$236,11,FALSE),0)</f>
        <v>0</v>
      </c>
      <c r="F492" s="824"/>
      <c r="G492" s="831">
        <f t="shared" si="15"/>
        <v>0</v>
      </c>
      <c r="H492" s="636">
        <f>IFERROR(VLOOKUP(B492,#REF!,11,FALSE),0)</f>
        <v>0</v>
      </c>
      <c r="I492" s="639"/>
    </row>
    <row r="493" spans="1:9" s="52" customFormat="1" ht="12.75" customHeight="1" x14ac:dyDescent="0.25">
      <c r="A493" s="51"/>
      <c r="B493" s="631">
        <v>606</v>
      </c>
      <c r="C493" s="623" t="s">
        <v>2827</v>
      </c>
      <c r="D493" s="623" t="s">
        <v>2828</v>
      </c>
      <c r="E493" s="829">
        <f>IFERROR(VLOOKUP(B493,'vstupne udaje'!$A$6:$K$236,11,FALSE),0)</f>
        <v>0</v>
      </c>
      <c r="F493" s="824"/>
      <c r="G493" s="831">
        <f t="shared" si="15"/>
        <v>0</v>
      </c>
      <c r="H493" s="636">
        <f>IFERROR(VLOOKUP(B493,#REF!,11,FALSE),0)</f>
        <v>0</v>
      </c>
      <c r="I493" s="639"/>
    </row>
    <row r="494" spans="1:9" s="52" customFormat="1" ht="12.75" customHeight="1" x14ac:dyDescent="0.25">
      <c r="A494" s="51"/>
      <c r="B494" s="631">
        <v>607</v>
      </c>
      <c r="C494" s="623" t="s">
        <v>2825</v>
      </c>
      <c r="D494" s="623" t="s">
        <v>2826</v>
      </c>
      <c r="E494" s="829">
        <f>IFERROR(VLOOKUP(B494,'vstupne udaje'!$A$6:$K$236,11,FALSE),0)</f>
        <v>0</v>
      </c>
      <c r="F494" s="824"/>
      <c r="G494" s="831">
        <f t="shared" si="15"/>
        <v>0</v>
      </c>
      <c r="H494" s="636">
        <f>IFERROR(VLOOKUP(B494,#REF!,11,FALSE),0)</f>
        <v>0</v>
      </c>
      <c r="I494" s="639"/>
    </row>
    <row r="495" spans="1:9" s="51" customFormat="1" ht="12.75" customHeight="1" x14ac:dyDescent="0.25">
      <c r="A495" s="51" t="e">
        <f t="shared" si="14"/>
        <v>#VALUE!</v>
      </c>
      <c r="B495" s="631" t="s">
        <v>3087</v>
      </c>
      <c r="C495" s="623"/>
      <c r="D495" s="623"/>
      <c r="E495" s="829"/>
      <c r="F495" s="830"/>
      <c r="G495" s="831"/>
      <c r="H495" s="636"/>
      <c r="I495" s="639"/>
    </row>
    <row r="496" spans="1:9" s="51" customFormat="1" ht="12.75" customHeight="1" x14ac:dyDescent="0.25">
      <c r="B496" s="652" t="s">
        <v>1404</v>
      </c>
      <c r="C496" s="653" t="s">
        <v>2838</v>
      </c>
      <c r="D496" s="653" t="s">
        <v>563</v>
      </c>
      <c r="E496" s="835">
        <f>SUM(E497:E500)</f>
        <v>0</v>
      </c>
      <c r="F496" s="836">
        <f>SUM(F497:F500)</f>
        <v>0</v>
      </c>
      <c r="G496" s="837">
        <f t="shared" si="15"/>
        <v>0</v>
      </c>
      <c r="H496" s="675">
        <f>SUM(H497:H500)</f>
        <v>0</v>
      </c>
      <c r="I496" s="639"/>
    </row>
    <row r="497" spans="1:9" s="51" customFormat="1" ht="12.75" customHeight="1" x14ac:dyDescent="0.25">
      <c r="A497" s="51">
        <f t="shared" ref="A497:A539" si="16">VALUE(B497)</f>
        <v>611</v>
      </c>
      <c r="B497" s="631">
        <v>611</v>
      </c>
      <c r="C497" s="623" t="s">
        <v>1608</v>
      </c>
      <c r="D497" s="623" t="s">
        <v>1609</v>
      </c>
      <c r="E497" s="829">
        <f>IFERROR(VLOOKUP(B497,'vstupne udaje'!$A$6:$K$236,11,FALSE),0)</f>
        <v>0</v>
      </c>
      <c r="F497" s="830"/>
      <c r="G497" s="831">
        <f t="shared" si="15"/>
        <v>0</v>
      </c>
      <c r="H497" s="636">
        <f>IFERROR(VLOOKUP(B497,#REF!,11,FALSE),0)</f>
        <v>0</v>
      </c>
      <c r="I497" s="639"/>
    </row>
    <row r="498" spans="1:9" s="51" customFormat="1" ht="12.75" customHeight="1" x14ac:dyDescent="0.25">
      <c r="A498" s="51">
        <f t="shared" si="16"/>
        <v>612</v>
      </c>
      <c r="B498" s="631">
        <v>612</v>
      </c>
      <c r="C498" s="623" t="s">
        <v>1610</v>
      </c>
      <c r="D498" s="623" t="s">
        <v>1090</v>
      </c>
      <c r="E498" s="829">
        <f>IFERROR(VLOOKUP(B498,'vstupne udaje'!$A$6:$K$236,11,FALSE),0)</f>
        <v>0</v>
      </c>
      <c r="F498" s="824"/>
      <c r="G498" s="831">
        <f t="shared" si="15"/>
        <v>0</v>
      </c>
      <c r="H498" s="636">
        <f>IFERROR(VLOOKUP(B498,#REF!,11,FALSE),0)</f>
        <v>0</v>
      </c>
      <c r="I498" s="639"/>
    </row>
    <row r="499" spans="1:9" s="51" customFormat="1" ht="12.75" customHeight="1" x14ac:dyDescent="0.25">
      <c r="A499" s="51">
        <f t="shared" si="16"/>
        <v>613</v>
      </c>
      <c r="B499" s="631">
        <v>613</v>
      </c>
      <c r="C499" s="623" t="s">
        <v>446</v>
      </c>
      <c r="D499" s="623" t="s">
        <v>447</v>
      </c>
      <c r="E499" s="829">
        <f>IFERROR(VLOOKUP(B499,'vstupne udaje'!$A$6:$K$236,11,FALSE),0)</f>
        <v>0</v>
      </c>
      <c r="F499" s="830"/>
      <c r="G499" s="831">
        <f t="shared" si="15"/>
        <v>0</v>
      </c>
      <c r="H499" s="636">
        <f>IFERROR(VLOOKUP(B499,#REF!,11,FALSE),0)</f>
        <v>0</v>
      </c>
      <c r="I499" s="639"/>
    </row>
    <row r="500" spans="1:9" s="51" customFormat="1" ht="12.75" customHeight="1" x14ac:dyDescent="0.25">
      <c r="A500" s="51">
        <f t="shared" si="16"/>
        <v>614</v>
      </c>
      <c r="B500" s="631">
        <v>614</v>
      </c>
      <c r="C500" s="623" t="s">
        <v>448</v>
      </c>
      <c r="D500" s="623" t="s">
        <v>449</v>
      </c>
      <c r="E500" s="829">
        <f>IFERROR(VLOOKUP(B500,'vstupne udaje'!$A$6:$K$236,11,FALSE),0)</f>
        <v>0</v>
      </c>
      <c r="F500" s="839"/>
      <c r="G500" s="831">
        <f t="shared" si="15"/>
        <v>0</v>
      </c>
      <c r="H500" s="636">
        <f>IFERROR(VLOOKUP(B500,#REF!,11,FALSE),0)</f>
        <v>0</v>
      </c>
      <c r="I500" s="639"/>
    </row>
    <row r="501" spans="1:9" s="51" customFormat="1" ht="12.75" customHeight="1" x14ac:dyDescent="0.25">
      <c r="A501" s="51" t="e">
        <f t="shared" si="16"/>
        <v>#VALUE!</v>
      </c>
      <c r="B501" s="631" t="s">
        <v>3087</v>
      </c>
      <c r="C501" s="623"/>
      <c r="D501" s="623"/>
      <c r="E501" s="829"/>
      <c r="F501" s="839"/>
      <c r="G501" s="831"/>
      <c r="H501" s="636"/>
      <c r="I501" s="639"/>
    </row>
    <row r="502" spans="1:9" s="51" customFormat="1" ht="12.75" customHeight="1" x14ac:dyDescent="0.25">
      <c r="B502" s="652" t="s">
        <v>450</v>
      </c>
      <c r="C502" s="653" t="s">
        <v>451</v>
      </c>
      <c r="D502" s="653" t="s">
        <v>1091</v>
      </c>
      <c r="E502" s="835">
        <f>SUM(E503:E506)</f>
        <v>0</v>
      </c>
      <c r="F502" s="836">
        <f>SUM(F504:F506)</f>
        <v>0</v>
      </c>
      <c r="G502" s="837">
        <f t="shared" si="15"/>
        <v>0</v>
      </c>
      <c r="H502" s="675">
        <f>SUM(H503:H506)</f>
        <v>0</v>
      </c>
      <c r="I502" s="639"/>
    </row>
    <row r="503" spans="1:9" s="51" customFormat="1" ht="12.75" customHeight="1" x14ac:dyDescent="0.25">
      <c r="A503" s="51">
        <f t="shared" si="16"/>
        <v>621</v>
      </c>
      <c r="B503" s="631">
        <v>621</v>
      </c>
      <c r="C503" s="623" t="s">
        <v>1587</v>
      </c>
      <c r="D503" s="623" t="s">
        <v>1092</v>
      </c>
      <c r="E503" s="829">
        <f>IFERROR(VLOOKUP(B503,'vstupne udaje'!$A$6:$K$236,11,FALSE),0)</f>
        <v>0</v>
      </c>
      <c r="F503" s="830"/>
      <c r="G503" s="831">
        <f t="shared" si="15"/>
        <v>0</v>
      </c>
      <c r="H503" s="636">
        <f>IFERROR(VLOOKUP(B503,#REF!,11,FALSE),0)</f>
        <v>0</v>
      </c>
      <c r="I503" s="639"/>
    </row>
    <row r="504" spans="1:9" s="51" customFormat="1" ht="12.75" customHeight="1" x14ac:dyDescent="0.25">
      <c r="A504" s="51">
        <f t="shared" si="16"/>
        <v>622</v>
      </c>
      <c r="B504" s="631">
        <v>622</v>
      </c>
      <c r="C504" s="623" t="s">
        <v>2168</v>
      </c>
      <c r="D504" s="623" t="s">
        <v>1093</v>
      </c>
      <c r="E504" s="829">
        <f>IFERROR(VLOOKUP(B504,'vstupne udaje'!$A$6:$K$236,11,FALSE),0)</f>
        <v>0</v>
      </c>
      <c r="F504" s="824"/>
      <c r="G504" s="831">
        <f t="shared" si="15"/>
        <v>0</v>
      </c>
      <c r="H504" s="636">
        <f>IFERROR(VLOOKUP(B504,#REF!,11,FALSE),0)</f>
        <v>0</v>
      </c>
      <c r="I504" s="639"/>
    </row>
    <row r="505" spans="1:9" s="52" customFormat="1" ht="12.75" customHeight="1" x14ac:dyDescent="0.25">
      <c r="A505" s="51">
        <f t="shared" si="16"/>
        <v>623</v>
      </c>
      <c r="B505" s="631">
        <v>623</v>
      </c>
      <c r="C505" s="623" t="s">
        <v>2169</v>
      </c>
      <c r="D505" s="623" t="s">
        <v>1094</v>
      </c>
      <c r="E505" s="829">
        <f>IFERROR(VLOOKUP(B505,'vstupne udaje'!$A$6:$K$236,11,FALSE),0)</f>
        <v>0</v>
      </c>
      <c r="F505" s="824"/>
      <c r="G505" s="831">
        <f t="shared" si="15"/>
        <v>0</v>
      </c>
      <c r="H505" s="636">
        <f>IFERROR(VLOOKUP(B505,#REF!,11,FALSE),0)</f>
        <v>0</v>
      </c>
      <c r="I505" s="639"/>
    </row>
    <row r="506" spans="1:9" s="51" customFormat="1" ht="12.75" customHeight="1" x14ac:dyDescent="0.25">
      <c r="A506" s="51">
        <f t="shared" si="16"/>
        <v>624</v>
      </c>
      <c r="B506" s="631">
        <v>624</v>
      </c>
      <c r="C506" s="623" t="s">
        <v>2170</v>
      </c>
      <c r="D506" s="623" t="s">
        <v>1095</v>
      </c>
      <c r="E506" s="829">
        <f>IFERROR(VLOOKUP(B506,'vstupne udaje'!$A$6:$K$236,11,FALSE),0)</f>
        <v>0</v>
      </c>
      <c r="F506" s="830"/>
      <c r="G506" s="831">
        <f t="shared" si="15"/>
        <v>0</v>
      </c>
      <c r="H506" s="636">
        <f>IFERROR(VLOOKUP(B506,#REF!,11,FALSE),0)</f>
        <v>0</v>
      </c>
      <c r="I506" s="639"/>
    </row>
    <row r="507" spans="1:9" s="51" customFormat="1" ht="12.75" customHeight="1" x14ac:dyDescent="0.25">
      <c r="A507" s="51" t="e">
        <f t="shared" si="16"/>
        <v>#VALUE!</v>
      </c>
      <c r="B507" s="631" t="s">
        <v>3087</v>
      </c>
      <c r="C507" s="623"/>
      <c r="D507" s="623"/>
      <c r="E507" s="829"/>
      <c r="F507" s="830"/>
      <c r="G507" s="831"/>
      <c r="H507" s="636"/>
      <c r="I507" s="639"/>
    </row>
    <row r="508" spans="1:9" s="51" customFormat="1" ht="12.75" customHeight="1" x14ac:dyDescent="0.25">
      <c r="B508" s="652" t="s">
        <v>2171</v>
      </c>
      <c r="C508" s="653" t="s">
        <v>2172</v>
      </c>
      <c r="D508" s="653" t="s">
        <v>1096</v>
      </c>
      <c r="E508" s="835">
        <f>SUM(E509:E514)</f>
        <v>0</v>
      </c>
      <c r="F508" s="836">
        <f>SUM(F510:F514)</f>
        <v>0</v>
      </c>
      <c r="G508" s="837">
        <f t="shared" si="15"/>
        <v>0</v>
      </c>
      <c r="H508" s="675">
        <f>SUM(H509:H514)</f>
        <v>0</v>
      </c>
      <c r="I508" s="639"/>
    </row>
    <row r="509" spans="1:9" s="52" customFormat="1" ht="12.75" customHeight="1" x14ac:dyDescent="0.25">
      <c r="A509" s="51">
        <f t="shared" si="16"/>
        <v>641</v>
      </c>
      <c r="B509" s="631">
        <v>641</v>
      </c>
      <c r="C509" s="623" t="s">
        <v>2173</v>
      </c>
      <c r="D509" s="623" t="s">
        <v>673</v>
      </c>
      <c r="E509" s="829">
        <f>IFERROR(VLOOKUP(B509,'vstupne udaje'!$A$6:$K$236,11,FALSE),0)</f>
        <v>0</v>
      </c>
      <c r="F509" s="824"/>
      <c r="G509" s="831">
        <f t="shared" si="15"/>
        <v>0</v>
      </c>
      <c r="H509" s="636">
        <f>IFERROR(VLOOKUP(B509,#REF!,11,FALSE),0)</f>
        <v>0</v>
      </c>
      <c r="I509" s="639"/>
    </row>
    <row r="510" spans="1:9" s="51" customFormat="1" ht="12.75" customHeight="1" x14ac:dyDescent="0.25">
      <c r="A510" s="51">
        <f t="shared" si="16"/>
        <v>642</v>
      </c>
      <c r="B510" s="631">
        <v>642</v>
      </c>
      <c r="C510" s="623" t="s">
        <v>2174</v>
      </c>
      <c r="D510" s="623" t="s">
        <v>2175</v>
      </c>
      <c r="E510" s="829">
        <f>IFERROR(VLOOKUP(B510,'vstupne udaje'!$A$6:$K$236,11,FALSE),0)</f>
        <v>0</v>
      </c>
      <c r="F510" s="830"/>
      <c r="G510" s="831">
        <f t="shared" si="15"/>
        <v>0</v>
      </c>
      <c r="H510" s="636">
        <f>IFERROR(VLOOKUP(B510,#REF!,11,FALSE),0)</f>
        <v>0</v>
      </c>
      <c r="I510" s="639"/>
    </row>
    <row r="511" spans="1:9" s="51" customFormat="1" ht="12.75" customHeight="1" x14ac:dyDescent="0.25">
      <c r="A511" s="51">
        <f t="shared" si="16"/>
        <v>644</v>
      </c>
      <c r="B511" s="631">
        <v>644</v>
      </c>
      <c r="C511" s="623" t="s">
        <v>2585</v>
      </c>
      <c r="D511" s="623" t="s">
        <v>106</v>
      </c>
      <c r="E511" s="829">
        <f>IFERROR(VLOOKUP(B511,'vstupne udaje'!$A$6:$K$236,11,FALSE),0)</f>
        <v>0</v>
      </c>
      <c r="F511" s="830"/>
      <c r="G511" s="831">
        <f t="shared" si="15"/>
        <v>0</v>
      </c>
      <c r="H511" s="636">
        <f>IFERROR(VLOOKUP(B511,#REF!,11,FALSE),0)</f>
        <v>0</v>
      </c>
      <c r="I511" s="639"/>
    </row>
    <row r="512" spans="1:9" s="51" customFormat="1" ht="12.75" customHeight="1" x14ac:dyDescent="0.25">
      <c r="A512" s="51">
        <f t="shared" si="16"/>
        <v>645</v>
      </c>
      <c r="B512" s="631">
        <v>645</v>
      </c>
      <c r="C512" s="623" t="s">
        <v>2586</v>
      </c>
      <c r="D512" s="623" t="s">
        <v>105</v>
      </c>
      <c r="E512" s="829">
        <f>IFERROR(VLOOKUP(B512,'vstupne udaje'!$A$6:$K$236,11,FALSE),0)</f>
        <v>0</v>
      </c>
      <c r="F512" s="830"/>
      <c r="G512" s="831">
        <f t="shared" si="15"/>
        <v>0</v>
      </c>
      <c r="H512" s="636">
        <f>IFERROR(VLOOKUP(B512,#REF!,11,FALSE),0)</f>
        <v>0</v>
      </c>
      <c r="I512" s="639"/>
    </row>
    <row r="513" spans="1:9" s="51" customFormat="1" ht="12.75" customHeight="1" x14ac:dyDescent="0.25">
      <c r="A513" s="51">
        <f t="shared" si="16"/>
        <v>646</v>
      </c>
      <c r="B513" s="631">
        <v>646</v>
      </c>
      <c r="C513" s="623" t="s">
        <v>1396</v>
      </c>
      <c r="D513" s="623" t="s">
        <v>1397</v>
      </c>
      <c r="E513" s="829">
        <f>IFERROR(VLOOKUP(B513,'vstupne udaje'!$A$6:$K$236,11,FALSE),0)</f>
        <v>0</v>
      </c>
      <c r="F513" s="830"/>
      <c r="G513" s="831">
        <f t="shared" si="15"/>
        <v>0</v>
      </c>
      <c r="H513" s="636">
        <f>IFERROR(VLOOKUP(B513,#REF!,11,FALSE),0)</f>
        <v>0</v>
      </c>
      <c r="I513" s="639"/>
    </row>
    <row r="514" spans="1:9" s="51" customFormat="1" ht="12.75" customHeight="1" x14ac:dyDescent="0.25">
      <c r="A514" s="51">
        <f t="shared" si="16"/>
        <v>648</v>
      </c>
      <c r="B514" s="631">
        <v>648</v>
      </c>
      <c r="C514" s="623" t="s">
        <v>1398</v>
      </c>
      <c r="D514" s="623" t="s">
        <v>1097</v>
      </c>
      <c r="E514" s="829">
        <f>IFERROR(VLOOKUP(B514,'vstupne udaje'!$A$6:$K$236,11,FALSE),0)</f>
        <v>0</v>
      </c>
      <c r="F514" s="824"/>
      <c r="G514" s="831">
        <f t="shared" si="15"/>
        <v>0</v>
      </c>
      <c r="H514" s="636">
        <f>IFERROR(VLOOKUP(B514,#REF!,11,FALSE),0)</f>
        <v>0</v>
      </c>
      <c r="I514" s="672"/>
    </row>
    <row r="515" spans="1:9" s="52" customFormat="1" ht="12.75" customHeight="1" x14ac:dyDescent="0.25">
      <c r="A515" s="51" t="e">
        <f t="shared" si="16"/>
        <v>#VALUE!</v>
      </c>
      <c r="B515" s="631" t="s">
        <v>3087</v>
      </c>
      <c r="C515" s="623"/>
      <c r="D515" s="623"/>
      <c r="E515" s="829"/>
      <c r="F515" s="824"/>
      <c r="G515" s="831"/>
      <c r="H515" s="636"/>
      <c r="I515" s="639"/>
    </row>
    <row r="516" spans="1:9" s="51" customFormat="1" ht="12.75" customHeight="1" x14ac:dyDescent="0.25">
      <c r="B516" s="652" t="s">
        <v>1399</v>
      </c>
      <c r="C516" s="653" t="s">
        <v>257</v>
      </c>
      <c r="D516" s="653" t="s">
        <v>1098</v>
      </c>
      <c r="E516" s="835">
        <f>SUM(E517:E518)</f>
        <v>0</v>
      </c>
      <c r="F516" s="836">
        <f>SUM(F517:F518)</f>
        <v>0</v>
      </c>
      <c r="G516" s="837">
        <f t="shared" si="15"/>
        <v>0</v>
      </c>
      <c r="H516" s="675">
        <f>SUM(H517:H518)</f>
        <v>0</v>
      </c>
      <c r="I516" s="639"/>
    </row>
    <row r="517" spans="1:9" s="51" customFormat="1" ht="12.75" customHeight="1" x14ac:dyDescent="0.25">
      <c r="A517" s="51">
        <f t="shared" si="16"/>
        <v>655</v>
      </c>
      <c r="B517" s="631">
        <v>655</v>
      </c>
      <c r="C517" s="623" t="s">
        <v>2418</v>
      </c>
      <c r="D517" s="623" t="s">
        <v>1602</v>
      </c>
      <c r="E517" s="829">
        <f>IFERROR(VLOOKUP(B517,'vstupne udaje'!$A$6:$K$236,11,FALSE),0)</f>
        <v>0</v>
      </c>
      <c r="F517" s="840"/>
      <c r="G517" s="831">
        <f t="shared" si="15"/>
        <v>0</v>
      </c>
      <c r="H517" s="636">
        <f>IFERROR(VLOOKUP(B517,#REF!,11,FALSE),0)</f>
        <v>0</v>
      </c>
      <c r="I517" s="639"/>
    </row>
    <row r="518" spans="1:9" s="54" customFormat="1" ht="12.75" customHeight="1" x14ac:dyDescent="0.25">
      <c r="A518" s="51">
        <f t="shared" si="16"/>
        <v>657</v>
      </c>
      <c r="B518" s="631">
        <v>657</v>
      </c>
      <c r="C518" s="623" t="s">
        <v>1565</v>
      </c>
      <c r="D518" s="623" t="s">
        <v>2419</v>
      </c>
      <c r="E518" s="829">
        <f>IFERROR(VLOOKUP(B518,'vstupne udaje'!$A$6:$K$236,11,FALSE),0)</f>
        <v>0</v>
      </c>
      <c r="F518" s="824"/>
      <c r="G518" s="831">
        <f t="shared" si="15"/>
        <v>0</v>
      </c>
      <c r="H518" s="636">
        <f>IFERROR(VLOOKUP(B518,#REF!,11,FALSE),0)</f>
        <v>0</v>
      </c>
      <c r="I518" s="639"/>
    </row>
    <row r="519" spans="1:9" s="54" customFormat="1" ht="12.75" customHeight="1" x14ac:dyDescent="0.25">
      <c r="A519" s="51" t="e">
        <f t="shared" si="16"/>
        <v>#VALUE!</v>
      </c>
      <c r="B519" s="631" t="s">
        <v>3087</v>
      </c>
      <c r="C519" s="623"/>
      <c r="D519" s="623"/>
      <c r="E519" s="829"/>
      <c r="F519" s="824"/>
      <c r="G519" s="831"/>
      <c r="H519" s="636"/>
      <c r="I519" s="639"/>
    </row>
    <row r="520" spans="1:9" s="54" customFormat="1" ht="12.75" customHeight="1" x14ac:dyDescent="0.25">
      <c r="A520" s="51"/>
      <c r="B520" s="652" t="s">
        <v>2420</v>
      </c>
      <c r="C520" s="653" t="s">
        <v>2421</v>
      </c>
      <c r="D520" s="653" t="s">
        <v>2422</v>
      </c>
      <c r="E520" s="835">
        <f>SUM(E521:E531)</f>
        <v>0</v>
      </c>
      <c r="F520" s="836">
        <f>SUM(F521:F531)</f>
        <v>0</v>
      </c>
      <c r="G520" s="837">
        <f t="shared" si="15"/>
        <v>0</v>
      </c>
      <c r="H520" s="675">
        <f>SUM(H521:H531)</f>
        <v>0</v>
      </c>
      <c r="I520" s="639"/>
    </row>
    <row r="521" spans="1:9" s="54" customFormat="1" ht="12.75" customHeight="1" x14ac:dyDescent="0.25">
      <c r="A521" s="51">
        <f t="shared" si="16"/>
        <v>661</v>
      </c>
      <c r="B521" s="631">
        <v>661</v>
      </c>
      <c r="C521" s="623" t="s">
        <v>2423</v>
      </c>
      <c r="D521" s="623" t="s">
        <v>926</v>
      </c>
      <c r="E521" s="829">
        <f>IFERROR(VLOOKUP(B521,'vstupne udaje'!$A$6:$K$236,11,FALSE),0)</f>
        <v>0</v>
      </c>
      <c r="F521" s="824"/>
      <c r="G521" s="831">
        <f t="shared" si="15"/>
        <v>0</v>
      </c>
      <c r="H521" s="636">
        <f>IFERROR(VLOOKUP(B521,#REF!,11,FALSE),0)</f>
        <v>0</v>
      </c>
      <c r="I521" s="639"/>
    </row>
    <row r="522" spans="1:9" s="54" customFormat="1" ht="12.75" customHeight="1" x14ac:dyDescent="0.25">
      <c r="A522" s="51">
        <f t="shared" si="16"/>
        <v>662</v>
      </c>
      <c r="B522" s="631">
        <v>662</v>
      </c>
      <c r="C522" s="623" t="s">
        <v>2424</v>
      </c>
      <c r="D522" s="623" t="s">
        <v>2627</v>
      </c>
      <c r="E522" s="829">
        <f>IFERROR(VLOOKUP(B522,'vstupne udaje'!$A$6:$K$236,11,FALSE),0)</f>
        <v>0</v>
      </c>
      <c r="F522" s="824"/>
      <c r="G522" s="831">
        <f t="shared" si="15"/>
        <v>0</v>
      </c>
      <c r="H522" s="636">
        <f>IFERROR(VLOOKUP(B522,#REF!,11,FALSE),0)</f>
        <v>0</v>
      </c>
      <c r="I522" s="639"/>
    </row>
    <row r="523" spans="1:9" s="54" customFormat="1" ht="12.75" customHeight="1" x14ac:dyDescent="0.25">
      <c r="A523" s="51">
        <f t="shared" si="16"/>
        <v>663</v>
      </c>
      <c r="B523" s="631">
        <v>663</v>
      </c>
      <c r="C523" s="623" t="s">
        <v>2425</v>
      </c>
      <c r="D523" s="623" t="s">
        <v>2426</v>
      </c>
      <c r="E523" s="829">
        <f>IFERROR(VLOOKUP(B523,'vstupne udaje'!$A$6:$K$236,11,FALSE),0)</f>
        <v>0</v>
      </c>
      <c r="F523" s="824"/>
      <c r="G523" s="831">
        <f t="shared" si="15"/>
        <v>0</v>
      </c>
      <c r="H523" s="636">
        <f>IFERROR(VLOOKUP(B523,#REF!,11,FALSE),0)</f>
        <v>0</v>
      </c>
      <c r="I523" s="639"/>
    </row>
    <row r="524" spans="1:9" s="54" customFormat="1" ht="12.75" customHeight="1" x14ac:dyDescent="0.25">
      <c r="A524" s="51">
        <f t="shared" si="16"/>
        <v>664</v>
      </c>
      <c r="B524" s="631">
        <v>664</v>
      </c>
      <c r="C524" s="644" t="s">
        <v>1829</v>
      </c>
      <c r="D524" s="623" t="s">
        <v>927</v>
      </c>
      <c r="E524" s="829">
        <f>IFERROR(VLOOKUP(B524,'vstupne udaje'!$A$6:$K$236,11,FALSE),0)</f>
        <v>0</v>
      </c>
      <c r="F524" s="824"/>
      <c r="G524" s="831">
        <f t="shared" ref="G524:G531" si="17">E524+F524</f>
        <v>0</v>
      </c>
      <c r="H524" s="636">
        <f>IFERROR(VLOOKUP(B524,#REF!,11,FALSE),0)</f>
        <v>0</v>
      </c>
      <c r="I524" s="639"/>
    </row>
    <row r="525" spans="1:9" s="54" customFormat="1" ht="12.75" customHeight="1" x14ac:dyDescent="0.25">
      <c r="A525" s="51">
        <f t="shared" si="16"/>
        <v>665</v>
      </c>
      <c r="B525" s="645">
        <v>665</v>
      </c>
      <c r="C525" s="644" t="s">
        <v>2427</v>
      </c>
      <c r="D525" s="644" t="s">
        <v>928</v>
      </c>
      <c r="E525" s="829">
        <f>IFERROR(VLOOKUP(B525,'vstupne udaje'!$A$6:$K$236,11,FALSE),0)-SUM(E526:E528)</f>
        <v>0</v>
      </c>
      <c r="F525" s="824"/>
      <c r="G525" s="831">
        <f t="shared" si="17"/>
        <v>0</v>
      </c>
      <c r="H525" s="636">
        <f>IFERROR(VLOOKUP(B525,#REF!,11,FALSE),0)</f>
        <v>0</v>
      </c>
      <c r="I525" s="639"/>
    </row>
    <row r="526" spans="1:9" s="54" customFormat="1" ht="12.75" customHeight="1" x14ac:dyDescent="0.25">
      <c r="A526" s="51"/>
      <c r="B526" s="640" t="s">
        <v>2428</v>
      </c>
      <c r="C526" s="642" t="s">
        <v>2429</v>
      </c>
      <c r="D526" s="642" t="s">
        <v>1793</v>
      </c>
      <c r="E526" s="832"/>
      <c r="F526" s="824"/>
      <c r="G526" s="833">
        <f t="shared" si="17"/>
        <v>0</v>
      </c>
      <c r="H526" s="636"/>
      <c r="I526" s="639"/>
    </row>
    <row r="527" spans="1:9" s="54" customFormat="1" ht="12.75" customHeight="1" x14ac:dyDescent="0.25">
      <c r="A527" s="51"/>
      <c r="B527" s="640" t="s">
        <v>1849</v>
      </c>
      <c r="C527" s="642" t="s">
        <v>1850</v>
      </c>
      <c r="D527" s="642" t="s">
        <v>674</v>
      </c>
      <c r="E527" s="832"/>
      <c r="F527" s="824"/>
      <c r="G527" s="833">
        <f t="shared" si="17"/>
        <v>0</v>
      </c>
      <c r="H527" s="636"/>
      <c r="I527" s="639"/>
    </row>
    <row r="528" spans="1:9" s="54" customFormat="1" ht="12.75" customHeight="1" x14ac:dyDescent="0.25">
      <c r="A528" s="51"/>
      <c r="B528" s="640" t="s">
        <v>1851</v>
      </c>
      <c r="C528" s="642" t="s">
        <v>1852</v>
      </c>
      <c r="D528" s="642" t="s">
        <v>675</v>
      </c>
      <c r="E528" s="832"/>
      <c r="F528" s="824"/>
      <c r="G528" s="833">
        <f t="shared" si="17"/>
        <v>0</v>
      </c>
      <c r="H528" s="636"/>
      <c r="I528" s="639"/>
    </row>
    <row r="529" spans="1:9" s="54" customFormat="1" ht="12.75" customHeight="1" x14ac:dyDescent="0.25">
      <c r="A529" s="51">
        <f t="shared" si="16"/>
        <v>666</v>
      </c>
      <c r="B529" s="631">
        <v>666</v>
      </c>
      <c r="C529" s="623" t="s">
        <v>1853</v>
      </c>
      <c r="D529" s="623" t="s">
        <v>1854</v>
      </c>
      <c r="E529" s="829">
        <f>IFERROR(VLOOKUP(B529,'vstupne udaje'!$A$6:$K$236,11,FALSE),0)</f>
        <v>0</v>
      </c>
      <c r="F529" s="824"/>
      <c r="G529" s="831">
        <f t="shared" si="17"/>
        <v>0</v>
      </c>
      <c r="H529" s="636">
        <f>IFERROR(VLOOKUP(B529,#REF!,11,FALSE),0)</f>
        <v>0</v>
      </c>
      <c r="I529" s="639"/>
    </row>
    <row r="530" spans="1:9" s="54" customFormat="1" ht="12.75" customHeight="1" x14ac:dyDescent="0.25">
      <c r="A530" s="51">
        <f t="shared" si="16"/>
        <v>667</v>
      </c>
      <c r="B530" s="631">
        <v>667</v>
      </c>
      <c r="C530" s="623" t="s">
        <v>1828</v>
      </c>
      <c r="D530" s="623" t="s">
        <v>929</v>
      </c>
      <c r="E530" s="829">
        <f>IFERROR(VLOOKUP(B530,'vstupne udaje'!$A$6:$K$236,11,FALSE),0)</f>
        <v>0</v>
      </c>
      <c r="F530" s="824"/>
      <c r="G530" s="831">
        <f t="shared" si="17"/>
        <v>0</v>
      </c>
      <c r="H530" s="636">
        <f>IFERROR(VLOOKUP(B530,#REF!,11,FALSE),0)</f>
        <v>0</v>
      </c>
      <c r="I530" s="639"/>
    </row>
    <row r="531" spans="1:9" s="54" customFormat="1" ht="12.75" customHeight="1" x14ac:dyDescent="0.25">
      <c r="A531" s="51">
        <f t="shared" si="16"/>
        <v>668</v>
      </c>
      <c r="B531" s="631">
        <v>668</v>
      </c>
      <c r="C531" s="623" t="s">
        <v>1855</v>
      </c>
      <c r="D531" s="623" t="s">
        <v>1856</v>
      </c>
      <c r="E531" s="829">
        <f>IFERROR(VLOOKUP(B531,'vstupne udaje'!$A$6:$K$236,11,FALSE),0)</f>
        <v>0</v>
      </c>
      <c r="F531" s="824"/>
      <c r="G531" s="831">
        <f t="shared" si="17"/>
        <v>0</v>
      </c>
      <c r="H531" s="636">
        <f>IFERROR(VLOOKUP(B531,#REF!,11,FALSE),0)</f>
        <v>0</v>
      </c>
      <c r="I531" s="639"/>
    </row>
    <row r="532" spans="1:9" s="54" customFormat="1" ht="12.75" customHeight="1" x14ac:dyDescent="0.25">
      <c r="A532" s="51" t="e">
        <f t="shared" si="16"/>
        <v>#VALUE!</v>
      </c>
      <c r="B532" s="631" t="s">
        <v>3087</v>
      </c>
      <c r="C532" s="623"/>
      <c r="D532" s="623"/>
      <c r="E532" s="829"/>
      <c r="F532" s="824"/>
      <c r="G532" s="831"/>
      <c r="H532" s="636"/>
      <c r="I532" s="639"/>
    </row>
    <row r="533" spans="1:9" s="54" customFormat="1" ht="12.75" customHeight="1" x14ac:dyDescent="0.25">
      <c r="A533" s="51"/>
      <c r="B533" s="652" t="s">
        <v>1857</v>
      </c>
      <c r="C533" s="653" t="s">
        <v>2300</v>
      </c>
      <c r="D533" s="653" t="s">
        <v>2301</v>
      </c>
      <c r="E533" s="835">
        <f>SUM(E534:E535)</f>
        <v>0</v>
      </c>
      <c r="F533" s="836">
        <f>SUM(F534:F535)</f>
        <v>0</v>
      </c>
      <c r="G533" s="837"/>
      <c r="H533" s="675">
        <f>SUM(H534:H535)</f>
        <v>0</v>
      </c>
      <c r="I533" s="639"/>
    </row>
    <row r="534" spans="1:9" s="54" customFormat="1" ht="12.75" customHeight="1" x14ac:dyDescent="0.25">
      <c r="A534" s="51">
        <f t="shared" si="16"/>
        <v>682</v>
      </c>
      <c r="B534" s="631">
        <v>682</v>
      </c>
      <c r="C534" s="623" t="s">
        <v>1601</v>
      </c>
      <c r="D534" s="623" t="s">
        <v>930</v>
      </c>
      <c r="E534" s="829">
        <f>IFERROR(VLOOKUP(B534,'vstupne udaje'!$A$6:$K$236,11,FALSE),0)</f>
        <v>0</v>
      </c>
      <c r="F534" s="824"/>
      <c r="G534" s="831">
        <f>E534+F534</f>
        <v>0</v>
      </c>
      <c r="H534" s="636">
        <f>IFERROR(VLOOKUP(B534,#REF!,11,FALSE),0)</f>
        <v>0</v>
      </c>
      <c r="I534" s="639"/>
    </row>
    <row r="535" spans="1:9" s="54" customFormat="1" ht="12.75" customHeight="1" x14ac:dyDescent="0.25">
      <c r="A535" s="51">
        <f t="shared" si="16"/>
        <v>688</v>
      </c>
      <c r="B535" s="631">
        <v>688</v>
      </c>
      <c r="C535" s="623" t="s">
        <v>2302</v>
      </c>
      <c r="D535" s="623" t="s">
        <v>686</v>
      </c>
      <c r="E535" s="829">
        <f>IFERROR(VLOOKUP(B535,'vstupne udaje'!$A$6:$K$236,11,FALSE),0)</f>
        <v>0</v>
      </c>
      <c r="F535" s="824"/>
      <c r="G535" s="831">
        <f>E535+F535</f>
        <v>0</v>
      </c>
      <c r="H535" s="636">
        <f>IFERROR(VLOOKUP(B535,#REF!,11,FALSE),0)</f>
        <v>0</v>
      </c>
      <c r="I535" s="639"/>
    </row>
    <row r="536" spans="1:9" s="54" customFormat="1" ht="12.75" customHeight="1" x14ac:dyDescent="0.25">
      <c r="A536" s="51" t="e">
        <f t="shared" si="16"/>
        <v>#VALUE!</v>
      </c>
      <c r="B536" s="631" t="s">
        <v>3087</v>
      </c>
      <c r="C536" s="623"/>
      <c r="D536" s="623"/>
      <c r="E536" s="829"/>
      <c r="F536" s="824"/>
      <c r="G536" s="831"/>
      <c r="H536" s="636"/>
      <c r="I536" s="639"/>
    </row>
    <row r="537" spans="1:9" s="54" customFormat="1" ht="12.75" customHeight="1" x14ac:dyDescent="0.25">
      <c r="A537" s="51"/>
      <c r="B537" s="652" t="s">
        <v>687</v>
      </c>
      <c r="C537" s="653" t="s">
        <v>688</v>
      </c>
      <c r="D537" s="653" t="s">
        <v>689</v>
      </c>
      <c r="E537" s="835">
        <f>SUM(E538:E539)</f>
        <v>0</v>
      </c>
      <c r="F537" s="836">
        <f>SUM(F538:F539)</f>
        <v>0</v>
      </c>
      <c r="G537" s="837"/>
      <c r="H537" s="675">
        <f>SUM(H538:H539)</f>
        <v>0</v>
      </c>
      <c r="I537" s="639"/>
    </row>
    <row r="538" spans="1:9" s="54" customFormat="1" ht="12.75" customHeight="1" x14ac:dyDescent="0.25">
      <c r="A538" s="51">
        <f t="shared" si="16"/>
        <v>697</v>
      </c>
      <c r="B538" s="631">
        <v>697</v>
      </c>
      <c r="C538" s="623" t="s">
        <v>690</v>
      </c>
      <c r="D538" s="623" t="s">
        <v>931</v>
      </c>
      <c r="E538" s="829">
        <f>IFERROR(VLOOKUP(B538,'vstupne udaje'!$A$6:$K$236,11,FALSE),0)</f>
        <v>0</v>
      </c>
      <c r="F538" s="824"/>
      <c r="G538" s="831">
        <f>E538+F538</f>
        <v>0</v>
      </c>
      <c r="H538" s="636">
        <f>IFERROR(VLOOKUP(B538,#REF!,11,FALSE),0)</f>
        <v>0</v>
      </c>
      <c r="I538" s="639"/>
    </row>
    <row r="539" spans="1:9" s="54" customFormat="1" ht="12.75" customHeight="1" x14ac:dyDescent="0.25">
      <c r="A539" s="51">
        <f t="shared" si="16"/>
        <v>698</v>
      </c>
      <c r="B539" s="631">
        <v>698</v>
      </c>
      <c r="C539" s="623" t="s">
        <v>691</v>
      </c>
      <c r="D539" s="623" t="s">
        <v>692</v>
      </c>
      <c r="E539" s="829">
        <f>IFERROR(VLOOKUP(B539,'vstupne udaje'!$A$6:$K$236,11,FALSE),0)</f>
        <v>0</v>
      </c>
      <c r="F539" s="824"/>
      <c r="G539" s="831">
        <f>E539+F539</f>
        <v>0</v>
      </c>
      <c r="H539" s="636">
        <f>IFERROR(VLOOKUP(B539,#REF!,11,FALSE),0)</f>
        <v>0</v>
      </c>
      <c r="I539" s="639"/>
    </row>
    <row r="540" spans="1:9" s="54" customFormat="1" ht="12.75" customHeight="1" x14ac:dyDescent="0.25">
      <c r="B540" s="631" t="s">
        <v>3087</v>
      </c>
      <c r="C540" s="623"/>
      <c r="D540" s="623"/>
      <c r="E540" s="841"/>
      <c r="F540" s="824"/>
      <c r="G540" s="831"/>
      <c r="H540" s="648"/>
      <c r="I540" s="639"/>
    </row>
    <row r="541" spans="1:9" s="54" customFormat="1" ht="12.75" customHeight="1" x14ac:dyDescent="0.25">
      <c r="B541" s="649"/>
      <c r="C541" s="650" t="s">
        <v>693</v>
      </c>
      <c r="D541" s="650" t="s">
        <v>1385</v>
      </c>
      <c r="E541" s="819">
        <f>E9+E103+E138+E178+E342+E412+E487</f>
        <v>4.5474735088646412E-13</v>
      </c>
      <c r="F541" s="819">
        <f t="shared" ref="F541:H541" si="18">F9+F103+F138+F178+F342+F412+F487</f>
        <v>0</v>
      </c>
      <c r="G541" s="842">
        <f t="shared" si="18"/>
        <v>4.5474735088646412E-13</v>
      </c>
      <c r="H541" s="689">
        <f t="shared" si="18"/>
        <v>0</v>
      </c>
      <c r="I541" s="639"/>
    </row>
    <row r="542" spans="1:9" x14ac:dyDescent="0.25">
      <c r="I542" s="564"/>
    </row>
    <row r="543" spans="1:9" x14ac:dyDescent="0.25">
      <c r="H543" s="9"/>
      <c r="I543" s="564"/>
    </row>
    <row r="544" spans="1:9" x14ac:dyDescent="0.25">
      <c r="H544" s="9"/>
      <c r="I544" s="564"/>
    </row>
    <row r="545" spans="9:9" x14ac:dyDescent="0.25">
      <c r="I545" s="564"/>
    </row>
    <row r="546" spans="9:9" x14ac:dyDescent="0.25">
      <c r="I546" s="564"/>
    </row>
    <row r="547" spans="9:9" x14ac:dyDescent="0.25">
      <c r="I547" s="564"/>
    </row>
    <row r="548" spans="9:9" x14ac:dyDescent="0.25">
      <c r="I548" s="564"/>
    </row>
    <row r="549" spans="9:9" x14ac:dyDescent="0.25">
      <c r="I549" s="564"/>
    </row>
    <row r="550" spans="9:9" x14ac:dyDescent="0.25">
      <c r="I550" s="564"/>
    </row>
    <row r="551" spans="9:9" x14ac:dyDescent="0.25">
      <c r="I551" s="564"/>
    </row>
    <row r="552" spans="9:9" x14ac:dyDescent="0.25">
      <c r="I552" s="564"/>
    </row>
    <row r="553" spans="9:9" x14ac:dyDescent="0.25">
      <c r="I553" s="564"/>
    </row>
    <row r="554" spans="9:9" x14ac:dyDescent="0.25">
      <c r="I554" s="564"/>
    </row>
    <row r="555" spans="9:9" x14ac:dyDescent="0.25">
      <c r="I555" s="564"/>
    </row>
    <row r="556" spans="9:9" x14ac:dyDescent="0.25">
      <c r="I556" s="564"/>
    </row>
    <row r="557" spans="9:9" x14ac:dyDescent="0.25">
      <c r="I557" s="564"/>
    </row>
    <row r="558" spans="9:9" x14ac:dyDescent="0.25">
      <c r="I558" s="564"/>
    </row>
    <row r="559" spans="9:9" x14ac:dyDescent="0.25">
      <c r="I559" s="564"/>
    </row>
    <row r="560" spans="9:9" x14ac:dyDescent="0.25">
      <c r="I560" s="564"/>
    </row>
    <row r="561" spans="9:9" x14ac:dyDescent="0.25">
      <c r="I561" s="564"/>
    </row>
    <row r="562" spans="9:9" x14ac:dyDescent="0.25">
      <c r="I562" s="564"/>
    </row>
    <row r="563" spans="9:9" x14ac:dyDescent="0.25">
      <c r="I563" s="564"/>
    </row>
    <row r="564" spans="9:9" x14ac:dyDescent="0.25">
      <c r="I564" s="564"/>
    </row>
    <row r="565" spans="9:9" x14ac:dyDescent="0.25">
      <c r="I565" s="564"/>
    </row>
    <row r="566" spans="9:9" x14ac:dyDescent="0.25">
      <c r="I566" s="564"/>
    </row>
    <row r="567" spans="9:9" x14ac:dyDescent="0.25">
      <c r="I567" s="564"/>
    </row>
    <row r="568" spans="9:9" x14ac:dyDescent="0.25">
      <c r="I568" s="564"/>
    </row>
    <row r="569" spans="9:9" x14ac:dyDescent="0.25">
      <c r="I569" s="564"/>
    </row>
    <row r="570" spans="9:9" x14ac:dyDescent="0.25">
      <c r="I570" s="564"/>
    </row>
    <row r="571" spans="9:9" x14ac:dyDescent="0.25">
      <c r="I571" s="564"/>
    </row>
    <row r="572" spans="9:9" x14ac:dyDescent="0.25">
      <c r="I572" s="564"/>
    </row>
    <row r="573" spans="9:9" x14ac:dyDescent="0.25">
      <c r="I573" s="564"/>
    </row>
    <row r="574" spans="9:9" x14ac:dyDescent="0.25">
      <c r="I574" s="564"/>
    </row>
    <row r="575" spans="9:9" x14ac:dyDescent="0.25">
      <c r="I575" s="564"/>
    </row>
    <row r="576" spans="9:9" x14ac:dyDescent="0.25">
      <c r="I576" s="564"/>
    </row>
    <row r="577" spans="9:9" x14ac:dyDescent="0.25">
      <c r="I577" s="564"/>
    </row>
    <row r="578" spans="9:9" x14ac:dyDescent="0.25">
      <c r="I578" s="564"/>
    </row>
    <row r="579" spans="9:9" x14ac:dyDescent="0.25">
      <c r="I579" s="564"/>
    </row>
    <row r="580" spans="9:9" x14ac:dyDescent="0.25">
      <c r="I580" s="564"/>
    </row>
    <row r="581" spans="9:9" x14ac:dyDescent="0.25">
      <c r="I581" s="564"/>
    </row>
    <row r="582" spans="9:9" x14ac:dyDescent="0.25">
      <c r="I582" s="564"/>
    </row>
    <row r="583" spans="9:9" x14ac:dyDescent="0.25">
      <c r="I583" s="564"/>
    </row>
    <row r="584" spans="9:9" x14ac:dyDescent="0.25">
      <c r="I584" s="564"/>
    </row>
    <row r="585" spans="9:9" x14ac:dyDescent="0.25">
      <c r="I585" s="564"/>
    </row>
    <row r="586" spans="9:9" x14ac:dyDescent="0.25">
      <c r="I586" s="564"/>
    </row>
    <row r="587" spans="9:9" x14ac:dyDescent="0.25">
      <c r="I587" s="564"/>
    </row>
    <row r="588" spans="9:9" x14ac:dyDescent="0.25">
      <c r="I588" s="564"/>
    </row>
    <row r="589" spans="9:9" x14ac:dyDescent="0.25">
      <c r="I589" s="564"/>
    </row>
    <row r="590" spans="9:9" x14ac:dyDescent="0.25">
      <c r="I590" s="564"/>
    </row>
    <row r="591" spans="9:9" x14ac:dyDescent="0.25">
      <c r="I591" s="564"/>
    </row>
  </sheetData>
  <autoFilter ref="A8:J541"/>
  <customSheetViews>
    <customSheetView guid="{305BD771-46DB-4130-A6E1-9C92E07EE410}" showRuler="0" topLeftCell="A414">
      <selection activeCell="F427" sqref="F427"/>
      <pageMargins left="0.31" right="0.74803149606299213" top="0.21" bottom="0.17" header="0.22" footer="0.18"/>
      <printOptions headings="1"/>
      <pageSetup paperSize="9" fitToHeight="9" orientation="landscape" r:id="rId1"/>
      <headerFooter alignWithMargins="0">
        <oddHeader>&amp;A</oddHeader>
        <oddFooter>Page &amp;P</oddFooter>
      </headerFooter>
    </customSheetView>
  </customSheetViews>
  <phoneticPr fontId="7" type="noConversion"/>
  <conditionalFormatting sqref="F538:F540 F12:F18 F20:F25 F27:F29 F31:F34 F36:F39 F41:F52 F54:F60 F62:F67 F10 F106:F109 F111:F119 F121:F125 F104 F141:F143 F145:F149 F151:F153 F155:F157 F159:F169 F171:F172 F139 F181:F204 F206:F214 F216:F224 F226:F244 F246:F261 F263:F271 F273:F304 F306:F321 F179 F345:F354 F356:F362 F364:F365 F367:F371 F373:F376 F378:F403 F405:F408 F343 F415:F423 F425:F429 F431:F439 F441:F444 F446:F455 F457:F461 F463:F472 F474:F476 F413 F490:F495 F497:F501 F503:F507 F509:F515 F517:F519 F521:F532 F534:F536 F8 F69:F102 F127:F137 F174:F177 F323:F341 F410:F411 F478:F486 F488">
    <cfRule type="notContainsBlanks" dxfId="0" priority="1">
      <formula>LEN(TRIM(F8))&gt;0</formula>
    </cfRule>
  </conditionalFormatting>
  <printOptions headings="1"/>
  <pageMargins left="0.31" right="0.74803149606299213" top="0.21" bottom="0.17" header="0.22" footer="0.18"/>
  <pageSetup paperSize="9" fitToHeight="9" orientation="landscape" r:id="rId2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3"/>
  </sheetPr>
  <dimension ref="A1:L180"/>
  <sheetViews>
    <sheetView workbookViewId="0">
      <pane ySplit="3" topLeftCell="A4" activePane="bottomLeft" state="frozen"/>
      <selection pane="bottomLeft" activeCell="G121" sqref="G121"/>
    </sheetView>
  </sheetViews>
  <sheetFormatPr defaultColWidth="9.109375" defaultRowHeight="10.199999999999999" x14ac:dyDescent="0.2"/>
  <cols>
    <col min="1" max="1" width="3.44140625" style="696" customWidth="1"/>
    <col min="2" max="2" width="4.88671875" style="743" customWidth="1"/>
    <col min="3" max="3" width="2.6640625" style="744" bestFit="1" customWidth="1"/>
    <col min="4" max="4" width="52.109375" style="696" customWidth="1"/>
    <col min="5" max="5" width="5.109375" style="700" customWidth="1"/>
    <col min="6" max="7" width="11.6640625" style="700" bestFit="1" customWidth="1"/>
    <col min="8" max="9" width="11.44140625" style="700" bestFit="1" customWidth="1"/>
    <col min="10" max="16384" width="9.109375" style="700"/>
  </cols>
  <sheetData>
    <row r="1" spans="1:12" ht="18" x14ac:dyDescent="0.35">
      <c r="B1" s="697"/>
      <c r="C1" s="698"/>
      <c r="D1" s="699" t="s">
        <v>1556</v>
      </c>
      <c r="G1" s="701"/>
      <c r="H1" s="701"/>
      <c r="I1" s="701"/>
      <c r="J1" s="701"/>
    </row>
    <row r="2" spans="1:12" ht="15.6" x14ac:dyDescent="0.3">
      <c r="B2" s="702"/>
      <c r="C2" s="703"/>
      <c r="D2" s="704" t="e">
        <f>CONCATENATE(#REF!," ",#REF!)</f>
        <v>#REF!</v>
      </c>
      <c r="F2" s="705"/>
      <c r="G2" s="701"/>
      <c r="H2" s="706"/>
      <c r="I2" s="706"/>
      <c r="J2" s="706"/>
    </row>
    <row r="3" spans="1:12" x14ac:dyDescent="0.2">
      <c r="B3" s="702"/>
      <c r="C3" s="707"/>
      <c r="D3" s="708" t="e">
        <f>#REF!</f>
        <v>#REF!</v>
      </c>
      <c r="G3" s="701"/>
      <c r="H3" s="701"/>
      <c r="I3" s="701"/>
      <c r="J3" s="701"/>
    </row>
    <row r="4" spans="1:12" x14ac:dyDescent="0.2">
      <c r="B4" s="702"/>
      <c r="C4" s="707"/>
      <c r="D4" s="709"/>
      <c r="E4" s="701"/>
      <c r="F4" s="701"/>
      <c r="G4" s="701"/>
      <c r="H4" s="701"/>
      <c r="I4" s="710"/>
    </row>
    <row r="5" spans="1:12" x14ac:dyDescent="0.2">
      <c r="A5" s="702"/>
      <c r="B5" s="707"/>
      <c r="C5" s="709"/>
      <c r="D5" s="711"/>
      <c r="E5" s="712" t="s">
        <v>424</v>
      </c>
      <c r="F5" s="712" t="s">
        <v>425</v>
      </c>
      <c r="G5" s="712" t="s">
        <v>426</v>
      </c>
      <c r="H5" s="712" t="s">
        <v>427</v>
      </c>
      <c r="I5" s="712" t="s">
        <v>2131</v>
      </c>
    </row>
    <row r="6" spans="1:12" x14ac:dyDescent="0.2">
      <c r="A6" s="702"/>
      <c r="B6" s="713"/>
      <c r="C6" s="714"/>
      <c r="D6" s="711"/>
      <c r="E6" s="712"/>
      <c r="F6" s="715" t="s">
        <v>2837</v>
      </c>
      <c r="G6" s="715" t="s">
        <v>2837</v>
      </c>
      <c r="H6" s="715" t="s">
        <v>2837</v>
      </c>
      <c r="I6" s="715" t="s">
        <v>2837</v>
      </c>
    </row>
    <row r="7" spans="1:12" x14ac:dyDescent="0.2">
      <c r="A7" s="702"/>
      <c r="B7" s="713"/>
      <c r="C7" s="714"/>
      <c r="D7" s="711"/>
      <c r="E7" s="716"/>
      <c r="F7" s="716"/>
      <c r="G7" s="716"/>
      <c r="H7" s="716"/>
      <c r="I7" s="716"/>
    </row>
    <row r="8" spans="1:12" s="723" customFormat="1" ht="11.25" customHeight="1" x14ac:dyDescent="0.2">
      <c r="A8" s="717"/>
      <c r="B8" s="718"/>
      <c r="C8" s="719"/>
      <c r="D8" s="720" t="s">
        <v>1406</v>
      </c>
      <c r="E8" s="721" t="s">
        <v>433</v>
      </c>
      <c r="F8" s="722">
        <f>F11+F44+F80</f>
        <v>9087.01</v>
      </c>
      <c r="G8" s="722">
        <f>G11+G44+G80</f>
        <v>0</v>
      </c>
      <c r="H8" s="722">
        <f>H101+H11+H44+H80</f>
        <v>9087.01</v>
      </c>
      <c r="I8" s="722">
        <f>I11+I44+I80</f>
        <v>8541</v>
      </c>
      <c r="K8" s="724"/>
      <c r="L8" s="724"/>
    </row>
    <row r="9" spans="1:12" s="723" customFormat="1" ht="11.25" customHeight="1" x14ac:dyDescent="0.2">
      <c r="A9" s="717"/>
      <c r="B9" s="718"/>
      <c r="C9" s="719"/>
      <c r="D9" s="720"/>
      <c r="E9" s="719"/>
      <c r="F9" s="724"/>
      <c r="G9" s="724"/>
      <c r="H9" s="724"/>
      <c r="I9" s="724"/>
      <c r="K9" s="724"/>
      <c r="L9" s="724"/>
    </row>
    <row r="10" spans="1:12" s="723" customFormat="1" ht="11.25" customHeight="1" x14ac:dyDescent="0.2">
      <c r="A10" s="719"/>
      <c r="B10" s="718"/>
      <c r="C10" s="725"/>
      <c r="D10" s="720"/>
      <c r="E10" s="719"/>
      <c r="F10" s="724"/>
      <c r="G10" s="724"/>
      <c r="H10" s="724"/>
      <c r="I10" s="724"/>
      <c r="K10" s="724"/>
      <c r="L10" s="724"/>
    </row>
    <row r="11" spans="1:12" s="723" customFormat="1" ht="11.25" customHeight="1" x14ac:dyDescent="0.2">
      <c r="A11" s="719" t="s">
        <v>932</v>
      </c>
      <c r="B11" s="718"/>
      <c r="C11" s="725"/>
      <c r="D11" s="720" t="s">
        <v>1407</v>
      </c>
      <c r="E11" s="721" t="s">
        <v>434</v>
      </c>
      <c r="F11" s="722">
        <f>F13+F23+F34</f>
        <v>0</v>
      </c>
      <c r="G11" s="722">
        <f>G13+G23+G34</f>
        <v>0</v>
      </c>
      <c r="H11" s="722">
        <f>H13+H23+H34</f>
        <v>0</v>
      </c>
      <c r="I11" s="722">
        <f>I13+I23+I34</f>
        <v>0</v>
      </c>
      <c r="K11" s="724"/>
      <c r="L11" s="724"/>
    </row>
    <row r="12" spans="1:12" s="723" customFormat="1" ht="11.25" customHeight="1" x14ac:dyDescent="0.2">
      <c r="A12" s="719"/>
      <c r="B12" s="718"/>
      <c r="C12" s="725"/>
      <c r="D12" s="720"/>
      <c r="E12" s="719"/>
      <c r="F12" s="724"/>
      <c r="G12" s="724"/>
      <c r="H12" s="724"/>
      <c r="I12" s="724"/>
      <c r="K12" s="724"/>
      <c r="L12" s="724"/>
    </row>
    <row r="13" spans="1:12" s="723" customFormat="1" ht="11.25" customHeight="1" x14ac:dyDescent="0.2">
      <c r="A13" s="717"/>
      <c r="B13" s="719" t="s">
        <v>948</v>
      </c>
      <c r="C13" s="725"/>
      <c r="D13" s="720" t="s">
        <v>636</v>
      </c>
      <c r="E13" s="721" t="s">
        <v>435</v>
      </c>
      <c r="F13" s="722">
        <f>F14+F15+F16+F17+F18+F19+F20+F21</f>
        <v>0</v>
      </c>
      <c r="G13" s="722">
        <f>G14+G15+G16+G17+G18+G19+G20+G21</f>
        <v>0</v>
      </c>
      <c r="H13" s="722">
        <f>H14+H15+H16+H17+H18+H19+H20+H21</f>
        <v>0</v>
      </c>
      <c r="I13" s="722">
        <f>SUM(I14:I21)</f>
        <v>0</v>
      </c>
      <c r="K13" s="724"/>
      <c r="L13" s="724"/>
    </row>
    <row r="14" spans="1:12" s="723" customFormat="1" ht="11.25" customHeight="1" x14ac:dyDescent="0.2">
      <c r="A14" s="717"/>
      <c r="B14" s="718"/>
      <c r="C14" s="726" t="s">
        <v>935</v>
      </c>
      <c r="D14" s="727" t="s">
        <v>1548</v>
      </c>
      <c r="E14" s="728" t="s">
        <v>436</v>
      </c>
      <c r="F14" s="729">
        <f>'kontrola LD'!G12</f>
        <v>0</v>
      </c>
      <c r="G14" s="729">
        <f>-'kontrola LD'!G54-'kontrola LD'!G70</f>
        <v>0</v>
      </c>
      <c r="H14" s="729">
        <f t="shared" ref="H14:H21" si="0">F14-G14</f>
        <v>0</v>
      </c>
      <c r="I14" s="729">
        <f>'kontrola LD'!H12+'kontrola LD'!H54+'kontrola LD'!H70</f>
        <v>0</v>
      </c>
      <c r="J14" s="730"/>
      <c r="K14" s="731"/>
      <c r="L14" s="731"/>
    </row>
    <row r="15" spans="1:12" s="723" customFormat="1" ht="11.25" customHeight="1" x14ac:dyDescent="0.2">
      <c r="A15" s="717"/>
      <c r="B15" s="718"/>
      <c r="C15" s="726" t="s">
        <v>937</v>
      </c>
      <c r="D15" s="727" t="s">
        <v>1754</v>
      </c>
      <c r="E15" s="728" t="s">
        <v>437</v>
      </c>
      <c r="F15" s="729">
        <f>'kontrola LD'!G13</f>
        <v>0</v>
      </c>
      <c r="G15" s="729">
        <f>-'kontrola LD'!G55-'kontrola LD'!G71</f>
        <v>0</v>
      </c>
      <c r="H15" s="729">
        <f t="shared" si="0"/>
        <v>0</v>
      </c>
      <c r="I15" s="729">
        <f>'kontrola LD'!H13+'kontrola LD'!H55+'kontrola LD'!H71</f>
        <v>0</v>
      </c>
      <c r="K15" s="731"/>
      <c r="L15" s="731"/>
    </row>
    <row r="16" spans="1:12" s="723" customFormat="1" ht="11.25" customHeight="1" x14ac:dyDescent="0.2">
      <c r="A16" s="717"/>
      <c r="B16" s="718"/>
      <c r="C16" s="726" t="s">
        <v>938</v>
      </c>
      <c r="D16" s="727" t="s">
        <v>2744</v>
      </c>
      <c r="E16" s="728" t="s">
        <v>438</v>
      </c>
      <c r="F16" s="729">
        <f>'kontrola LD'!G14</f>
        <v>0</v>
      </c>
      <c r="G16" s="729">
        <f>-'kontrola LD'!G56-'kontrola LD'!G72</f>
        <v>0</v>
      </c>
      <c r="H16" s="729">
        <f t="shared" si="0"/>
        <v>0</v>
      </c>
      <c r="I16" s="729">
        <f>'kontrola LD'!H14+'kontrola LD'!H56+'kontrola LD'!H72</f>
        <v>0</v>
      </c>
      <c r="K16" s="731"/>
      <c r="L16" s="731"/>
    </row>
    <row r="17" spans="1:12" s="723" customFormat="1" ht="11.25" customHeight="1" x14ac:dyDescent="0.2">
      <c r="A17" s="717"/>
      <c r="B17" s="718"/>
      <c r="C17" s="726" t="s">
        <v>432</v>
      </c>
      <c r="D17" s="727" t="s">
        <v>2745</v>
      </c>
      <c r="E17" s="728" t="s">
        <v>439</v>
      </c>
      <c r="F17" s="729">
        <f>'kontrola LD'!G15</f>
        <v>0</v>
      </c>
      <c r="G17" s="729">
        <f>-'kontrola LD'!G57-'kontrola LD'!G73</f>
        <v>0</v>
      </c>
      <c r="H17" s="729">
        <f t="shared" si="0"/>
        <v>0</v>
      </c>
      <c r="I17" s="729">
        <f>'kontrola LD'!H15+'kontrola LD'!H57+'kontrola LD'!H73</f>
        <v>0</v>
      </c>
      <c r="K17" s="731"/>
      <c r="L17" s="731"/>
    </row>
    <row r="18" spans="1:12" s="723" customFormat="1" ht="11.25" customHeight="1" x14ac:dyDescent="0.2">
      <c r="A18" s="717"/>
      <c r="B18" s="718"/>
      <c r="C18" s="726" t="s">
        <v>1089</v>
      </c>
      <c r="D18" s="727" t="s">
        <v>2746</v>
      </c>
      <c r="E18" s="728" t="s">
        <v>440</v>
      </c>
      <c r="F18" s="729">
        <f>'kontrola LD'!G16</f>
        <v>0</v>
      </c>
      <c r="G18" s="729">
        <f>-'kontrola LD'!G58-'kontrola LD'!G74</f>
        <v>0</v>
      </c>
      <c r="H18" s="729">
        <f t="shared" si="0"/>
        <v>0</v>
      </c>
      <c r="I18" s="729">
        <f>'kontrola LD'!H16+'kontrola LD'!H58+'kontrola LD'!H74</f>
        <v>0</v>
      </c>
      <c r="K18" s="731"/>
      <c r="L18" s="731"/>
    </row>
    <row r="19" spans="1:12" s="723" customFormat="1" ht="11.25" customHeight="1" x14ac:dyDescent="0.2">
      <c r="A19" s="717"/>
      <c r="B19" s="718"/>
      <c r="C19" s="726" t="s">
        <v>939</v>
      </c>
      <c r="D19" s="727" t="s">
        <v>2747</v>
      </c>
      <c r="E19" s="728" t="s">
        <v>441</v>
      </c>
      <c r="F19" s="729">
        <f>'kontrola LD'!G17</f>
        <v>0</v>
      </c>
      <c r="G19" s="729">
        <f>-'kontrola LD'!G59-'kontrola LD'!G75</f>
        <v>0</v>
      </c>
      <c r="H19" s="729">
        <f t="shared" si="0"/>
        <v>0</v>
      </c>
      <c r="I19" s="729">
        <f>'kontrola LD'!H17+'kontrola LD'!H59+'kontrola LD'!H75</f>
        <v>0</v>
      </c>
      <c r="K19" s="731"/>
      <c r="L19" s="731"/>
    </row>
    <row r="20" spans="1:12" s="723" customFormat="1" ht="11.25" customHeight="1" x14ac:dyDescent="0.2">
      <c r="A20" s="717"/>
      <c r="B20" s="718"/>
      <c r="C20" s="726" t="s">
        <v>940</v>
      </c>
      <c r="D20" s="727" t="s">
        <v>2748</v>
      </c>
      <c r="E20" s="728" t="s">
        <v>1567</v>
      </c>
      <c r="F20" s="729">
        <f>'kontrola LD'!G31</f>
        <v>0</v>
      </c>
      <c r="G20" s="729">
        <f>-'kontrola LD'!G83</f>
        <v>0</v>
      </c>
      <c r="H20" s="729">
        <f t="shared" si="0"/>
        <v>0</v>
      </c>
      <c r="I20" s="729">
        <f>'kontrola LD'!H31+'kontrola LD'!H83</f>
        <v>0</v>
      </c>
      <c r="K20" s="731"/>
      <c r="L20" s="731"/>
    </row>
    <row r="21" spans="1:12" s="723" customFormat="1" ht="11.25" customHeight="1" x14ac:dyDescent="0.2">
      <c r="A21" s="717"/>
      <c r="B21" s="718"/>
      <c r="C21" s="726" t="s">
        <v>936</v>
      </c>
      <c r="D21" s="727" t="s">
        <v>2749</v>
      </c>
      <c r="E21" s="728" t="s">
        <v>2697</v>
      </c>
      <c r="F21" s="729">
        <f>'kontrola LD'!G36</f>
        <v>0</v>
      </c>
      <c r="G21" s="729">
        <f>-'kontrola LD'!G86</f>
        <v>0</v>
      </c>
      <c r="H21" s="729">
        <f t="shared" si="0"/>
        <v>0</v>
      </c>
      <c r="I21" s="729">
        <f>'kontrola LD'!H36+'kontrola LD'!H86</f>
        <v>0</v>
      </c>
      <c r="K21" s="731"/>
      <c r="L21" s="731"/>
    </row>
    <row r="22" spans="1:12" s="723" customFormat="1" ht="11.25" customHeight="1" x14ac:dyDescent="0.2">
      <c r="A22" s="717"/>
      <c r="B22" s="718"/>
      <c r="C22" s="726"/>
      <c r="D22" s="727"/>
      <c r="E22" s="726"/>
      <c r="F22" s="731"/>
      <c r="G22" s="731"/>
      <c r="H22" s="731"/>
      <c r="I22" s="731"/>
      <c r="K22" s="731"/>
      <c r="L22" s="731"/>
    </row>
    <row r="23" spans="1:12" s="723" customFormat="1" ht="11.25" customHeight="1" x14ac:dyDescent="0.2">
      <c r="A23" s="717"/>
      <c r="B23" s="719" t="s">
        <v>949</v>
      </c>
      <c r="C23" s="725"/>
      <c r="D23" s="720" t="s">
        <v>1408</v>
      </c>
      <c r="E23" s="721" t="s">
        <v>2699</v>
      </c>
      <c r="F23" s="722">
        <f>F24+F25+F26+F27+F28+F29+F30+F31+F32</f>
        <v>0</v>
      </c>
      <c r="G23" s="722">
        <f>G24+G25+G26+G27+G28+G29+G30+G31+G32</f>
        <v>0</v>
      </c>
      <c r="H23" s="722">
        <f>H24+H25+H26+H27+H28+H29+H30+H31+H32</f>
        <v>0</v>
      </c>
      <c r="I23" s="722">
        <f>SUM(I24:I32)</f>
        <v>0</v>
      </c>
      <c r="K23" s="724"/>
      <c r="L23" s="724"/>
    </row>
    <row r="24" spans="1:12" s="723" customFormat="1" ht="11.25" customHeight="1" x14ac:dyDescent="0.2">
      <c r="A24" s="717"/>
      <c r="B24" s="718"/>
      <c r="C24" s="726" t="s">
        <v>935</v>
      </c>
      <c r="D24" s="727" t="s">
        <v>19</v>
      </c>
      <c r="E24" s="728" t="s">
        <v>262</v>
      </c>
      <c r="F24" s="729">
        <f>'kontrola LD'!G27</f>
        <v>0</v>
      </c>
      <c r="G24" s="729">
        <f>-'kontrola LD'!G77</f>
        <v>0</v>
      </c>
      <c r="H24" s="729">
        <f t="shared" ref="H24:H32" si="1">F24-G24</f>
        <v>0</v>
      </c>
      <c r="I24" s="729">
        <f>'kontrola LD'!H27+'kontrola LD'!H77</f>
        <v>0</v>
      </c>
      <c r="K24" s="731"/>
      <c r="L24" s="731"/>
    </row>
    <row r="25" spans="1:12" s="723" customFormat="1" ht="11.25" customHeight="1" x14ac:dyDescent="0.2">
      <c r="A25" s="717"/>
      <c r="B25" s="718"/>
      <c r="C25" s="726" t="s">
        <v>937</v>
      </c>
      <c r="D25" s="727" t="s">
        <v>2750</v>
      </c>
      <c r="E25" s="728" t="s">
        <v>2767</v>
      </c>
      <c r="F25" s="729">
        <f>'kontrola LD'!G20</f>
        <v>0</v>
      </c>
      <c r="G25" s="729">
        <f>-'kontrola LD'!G62-'kontrola LD'!G78</f>
        <v>0</v>
      </c>
      <c r="H25" s="729">
        <f t="shared" si="1"/>
        <v>0</v>
      </c>
      <c r="I25" s="729">
        <f>'kontrola LD'!H20+'kontrola LD'!H62+'kontrola LD'!H78</f>
        <v>0</v>
      </c>
      <c r="K25" s="731"/>
      <c r="L25" s="731"/>
    </row>
    <row r="26" spans="1:12" s="723" customFormat="1" ht="11.25" customHeight="1" x14ac:dyDescent="0.2">
      <c r="A26" s="717"/>
      <c r="B26" s="718"/>
      <c r="C26" s="726" t="s">
        <v>938</v>
      </c>
      <c r="D26" s="727" t="s">
        <v>95</v>
      </c>
      <c r="E26" s="728" t="s">
        <v>347</v>
      </c>
      <c r="F26" s="729">
        <f>'kontrola LD'!G21</f>
        <v>0</v>
      </c>
      <c r="G26" s="729">
        <f>-'kontrola LD'!G63-'kontrola LD'!G79</f>
        <v>0</v>
      </c>
      <c r="H26" s="729">
        <f t="shared" si="1"/>
        <v>0</v>
      </c>
      <c r="I26" s="729">
        <f>'kontrola LD'!H21+'kontrola LD'!H63+'kontrola LD'!H79</f>
        <v>0</v>
      </c>
      <c r="K26" s="731"/>
      <c r="L26" s="731"/>
    </row>
    <row r="27" spans="1:12" s="723" customFormat="1" ht="11.25" customHeight="1" x14ac:dyDescent="0.2">
      <c r="A27" s="717"/>
      <c r="B27" s="718"/>
      <c r="C27" s="726" t="s">
        <v>432</v>
      </c>
      <c r="D27" s="727" t="s">
        <v>96</v>
      </c>
      <c r="E27" s="728" t="s">
        <v>743</v>
      </c>
      <c r="F27" s="729">
        <f>'kontrola LD'!G22</f>
        <v>0</v>
      </c>
      <c r="G27" s="729">
        <f>-'kontrola LD'!G64-'kontrola LD'!G80</f>
        <v>0</v>
      </c>
      <c r="H27" s="729">
        <f t="shared" si="1"/>
        <v>0</v>
      </c>
      <c r="I27" s="729">
        <f>'kontrola LD'!H22+'kontrola LD'!H64+'kontrola LD'!H80</f>
        <v>0</v>
      </c>
      <c r="K27" s="731"/>
      <c r="L27" s="731"/>
    </row>
    <row r="28" spans="1:12" s="723" customFormat="1" ht="11.25" customHeight="1" x14ac:dyDescent="0.2">
      <c r="A28" s="717"/>
      <c r="B28" s="718"/>
      <c r="C28" s="726" t="s">
        <v>1089</v>
      </c>
      <c r="D28" s="727" t="s">
        <v>97</v>
      </c>
      <c r="E28" s="728" t="s">
        <v>744</v>
      </c>
      <c r="F28" s="729">
        <f>'kontrola LD'!G23</f>
        <v>0</v>
      </c>
      <c r="G28" s="729">
        <f>-'kontrola LD'!G65-'kontrola LD'!G81</f>
        <v>0</v>
      </c>
      <c r="H28" s="729">
        <f t="shared" si="1"/>
        <v>0</v>
      </c>
      <c r="I28" s="729">
        <f>'kontrola LD'!H23+'kontrola LD'!H65+'kontrola LD'!H81</f>
        <v>0</v>
      </c>
      <c r="K28" s="731"/>
      <c r="L28" s="731"/>
    </row>
    <row r="29" spans="1:12" s="723" customFormat="1" ht="11.25" customHeight="1" x14ac:dyDescent="0.2">
      <c r="A29" s="717"/>
      <c r="B29" s="718"/>
      <c r="C29" s="726" t="s">
        <v>939</v>
      </c>
      <c r="D29" s="727" t="s">
        <v>98</v>
      </c>
      <c r="E29" s="728" t="s">
        <v>2770</v>
      </c>
      <c r="F29" s="729">
        <f>'kontrola LD'!G24+'kontrola LD'!G28</f>
        <v>0</v>
      </c>
      <c r="G29" s="729">
        <f>-'kontrola LD'!G66-'kontrola LD'!G82</f>
        <v>0</v>
      </c>
      <c r="H29" s="729">
        <f t="shared" si="1"/>
        <v>0</v>
      </c>
      <c r="I29" s="729">
        <f>'kontrola LD'!H24+'kontrola LD'!H28+'kontrola LD'!H66+'kontrola LD'!H82</f>
        <v>0</v>
      </c>
      <c r="K29" s="731"/>
      <c r="L29" s="731"/>
    </row>
    <row r="30" spans="1:12" s="723" customFormat="1" ht="11.25" customHeight="1" x14ac:dyDescent="0.2">
      <c r="A30" s="717"/>
      <c r="B30" s="718"/>
      <c r="C30" s="726" t="s">
        <v>940</v>
      </c>
      <c r="D30" s="727" t="s">
        <v>1913</v>
      </c>
      <c r="E30" s="728" t="s">
        <v>2771</v>
      </c>
      <c r="F30" s="729">
        <f>'kontrola LD'!G32</f>
        <v>0</v>
      </c>
      <c r="G30" s="729">
        <f>-'kontrola LD'!G84</f>
        <v>0</v>
      </c>
      <c r="H30" s="729">
        <f t="shared" si="1"/>
        <v>0</v>
      </c>
      <c r="I30" s="729">
        <f>'kontrola LD'!H32+'kontrola LD'!H84</f>
        <v>0</v>
      </c>
      <c r="K30" s="731"/>
      <c r="L30" s="731"/>
    </row>
    <row r="31" spans="1:12" s="723" customFormat="1" ht="11.25" customHeight="1" x14ac:dyDescent="0.2">
      <c r="A31" s="717"/>
      <c r="B31" s="718"/>
      <c r="C31" s="726" t="s">
        <v>936</v>
      </c>
      <c r="D31" s="727" t="s">
        <v>2325</v>
      </c>
      <c r="E31" s="728" t="s">
        <v>745</v>
      </c>
      <c r="F31" s="729">
        <f>'kontrola LD'!G37</f>
        <v>0</v>
      </c>
      <c r="G31" s="729">
        <f>-'kontrola LD'!G87</f>
        <v>0</v>
      </c>
      <c r="H31" s="729">
        <f t="shared" si="1"/>
        <v>0</v>
      </c>
      <c r="I31" s="729">
        <f>'kontrola LD'!H37+'kontrola LD'!H87</f>
        <v>0</v>
      </c>
      <c r="K31" s="731"/>
      <c r="L31" s="731"/>
    </row>
    <row r="32" spans="1:12" s="723" customFormat="1" ht="11.25" customHeight="1" x14ac:dyDescent="0.2">
      <c r="A32" s="717"/>
      <c r="B32" s="718"/>
      <c r="C32" s="726" t="s">
        <v>941</v>
      </c>
      <c r="D32" s="727" t="s">
        <v>2326</v>
      </c>
      <c r="E32" s="728" t="s">
        <v>2775</v>
      </c>
      <c r="F32" s="729">
        <f>'kontrola LD'!G100</f>
        <v>0</v>
      </c>
      <c r="G32" s="729">
        <f>-'kontrola LD'!G101</f>
        <v>0</v>
      </c>
      <c r="H32" s="729">
        <f t="shared" si="1"/>
        <v>0</v>
      </c>
      <c r="I32" s="729">
        <f>'kontrola LD'!H100+'kontrola LD'!H101</f>
        <v>0</v>
      </c>
      <c r="K32" s="731"/>
      <c r="L32" s="731"/>
    </row>
    <row r="33" spans="1:12" s="723" customFormat="1" ht="11.25" customHeight="1" x14ac:dyDescent="0.2">
      <c r="A33" s="717"/>
      <c r="B33" s="718"/>
      <c r="C33" s="726"/>
      <c r="D33" s="727"/>
      <c r="E33" s="726"/>
      <c r="F33" s="731"/>
      <c r="G33" s="731"/>
      <c r="H33" s="731"/>
      <c r="I33" s="731"/>
      <c r="K33" s="731"/>
      <c r="L33" s="731"/>
    </row>
    <row r="34" spans="1:12" s="723" customFormat="1" ht="11.25" customHeight="1" x14ac:dyDescent="0.2">
      <c r="A34" s="717"/>
      <c r="B34" s="719" t="s">
        <v>1749</v>
      </c>
      <c r="C34" s="725"/>
      <c r="D34" s="720" t="s">
        <v>1409</v>
      </c>
      <c r="E34" s="721" t="s">
        <v>2776</v>
      </c>
      <c r="F34" s="722">
        <f>F35+F36+F37+F38+F39+F40+F41+F42</f>
        <v>0</v>
      </c>
      <c r="G34" s="722">
        <f>G35+G36+G37+G38+G39+G40+G41+G42</f>
        <v>0</v>
      </c>
      <c r="H34" s="722">
        <f>H35+H36+H37+H38+H39+H40+H41+H42</f>
        <v>0</v>
      </c>
      <c r="I34" s="722">
        <f>SUM(I35:I42)</f>
        <v>0</v>
      </c>
      <c r="K34" s="724"/>
      <c r="L34" s="724"/>
    </row>
    <row r="35" spans="1:12" s="723" customFormat="1" ht="11.25" customHeight="1" x14ac:dyDescent="0.2">
      <c r="A35" s="717"/>
      <c r="B35" s="718"/>
      <c r="C35" s="726" t="s">
        <v>935</v>
      </c>
      <c r="D35" s="727" t="s">
        <v>42</v>
      </c>
      <c r="E35" s="728" t="s">
        <v>902</v>
      </c>
      <c r="F35" s="729">
        <f>'kontrola LD'!G41</f>
        <v>0</v>
      </c>
      <c r="G35" s="729">
        <f>-'kontrola LD'!G90</f>
        <v>0</v>
      </c>
      <c r="H35" s="729">
        <f t="shared" ref="H35:H42" si="2">F35-G35</f>
        <v>0</v>
      </c>
      <c r="I35" s="729">
        <f>'kontrola LD'!H41+'kontrola LD'!H90</f>
        <v>0</v>
      </c>
      <c r="K35" s="731"/>
      <c r="L35" s="731"/>
    </row>
    <row r="36" spans="1:12" s="723" customFormat="1" ht="20.399999999999999" x14ac:dyDescent="0.2">
      <c r="A36" s="717"/>
      <c r="B36" s="718"/>
      <c r="C36" s="726" t="s">
        <v>937</v>
      </c>
      <c r="D36" s="727" t="s">
        <v>43</v>
      </c>
      <c r="E36" s="728" t="s">
        <v>1037</v>
      </c>
      <c r="F36" s="729">
        <f>'kontrola LD'!G42</f>
        <v>0</v>
      </c>
      <c r="G36" s="729">
        <f>-'kontrola LD'!G91</f>
        <v>0</v>
      </c>
      <c r="H36" s="729">
        <f t="shared" si="2"/>
        <v>0</v>
      </c>
      <c r="I36" s="729">
        <f>'kontrola LD'!H42+'kontrola LD'!H91</f>
        <v>0</v>
      </c>
      <c r="K36" s="731"/>
      <c r="L36" s="731"/>
    </row>
    <row r="37" spans="1:12" s="723" customFormat="1" ht="11.25" customHeight="1" x14ac:dyDescent="0.2">
      <c r="A37" s="717"/>
      <c r="B37" s="718"/>
      <c r="C37" s="726" t="s">
        <v>938</v>
      </c>
      <c r="D37" s="727" t="s">
        <v>2327</v>
      </c>
      <c r="E37" s="728" t="s">
        <v>1038</v>
      </c>
      <c r="F37" s="729">
        <f>'kontrola LD'!G43+'kontrola LD'!G44</f>
        <v>0</v>
      </c>
      <c r="G37" s="729">
        <f>-'kontrola LD'!G92-'kontrola LD'!G93</f>
        <v>0</v>
      </c>
      <c r="H37" s="729">
        <f t="shared" si="2"/>
        <v>0</v>
      </c>
      <c r="I37" s="729">
        <f>'kontrola LD'!H43+'kontrola LD'!H44+'kontrola LD'!H92+'kontrola LD'!H93</f>
        <v>0</v>
      </c>
      <c r="K37" s="731"/>
      <c r="L37" s="731"/>
    </row>
    <row r="38" spans="1:12" s="723" customFormat="1" ht="11.25" customHeight="1" x14ac:dyDescent="0.2">
      <c r="A38" s="717"/>
      <c r="B38" s="718"/>
      <c r="C38" s="726" t="s">
        <v>432</v>
      </c>
      <c r="D38" s="727" t="s">
        <v>2328</v>
      </c>
      <c r="E38" s="728" t="s">
        <v>1041</v>
      </c>
      <c r="F38" s="729">
        <f>'kontrola LD'!G47</f>
        <v>0</v>
      </c>
      <c r="G38" s="729">
        <f>-'kontrola LD'!G95</f>
        <v>0</v>
      </c>
      <c r="H38" s="729">
        <f t="shared" si="2"/>
        <v>0</v>
      </c>
      <c r="I38" s="729">
        <f>'kontrola LD'!H47+'kontrola LD'!H95</f>
        <v>0</v>
      </c>
      <c r="K38" s="731"/>
      <c r="L38" s="731"/>
    </row>
    <row r="39" spans="1:12" s="723" customFormat="1" ht="11.25" customHeight="1" x14ac:dyDescent="0.2">
      <c r="A39" s="717"/>
      <c r="B39" s="718"/>
      <c r="C39" s="726" t="s">
        <v>1089</v>
      </c>
      <c r="D39" s="727" t="s">
        <v>2329</v>
      </c>
      <c r="E39" s="728" t="s">
        <v>747</v>
      </c>
      <c r="F39" s="729">
        <f>'kontrola LD'!G50+'kontrola LD'!G51</f>
        <v>0</v>
      </c>
      <c r="G39" s="729">
        <f>-'kontrola LD'!G97-'kontrola LD'!G98</f>
        <v>0</v>
      </c>
      <c r="H39" s="729">
        <f t="shared" si="2"/>
        <v>0</v>
      </c>
      <c r="I39" s="729">
        <f>'kontrola LD'!H50+'kontrola LD'!H51+'kontrola LD'!H97+'kontrola LD'!H98</f>
        <v>0</v>
      </c>
      <c r="K39" s="731"/>
      <c r="L39" s="731"/>
    </row>
    <row r="40" spans="1:12" s="723" customFormat="1" ht="11.25" customHeight="1" x14ac:dyDescent="0.2">
      <c r="A40" s="717"/>
      <c r="B40" s="718"/>
      <c r="C40" s="726" t="s">
        <v>939</v>
      </c>
      <c r="D40" s="727" t="s">
        <v>2330</v>
      </c>
      <c r="E40" s="728" t="s">
        <v>2633</v>
      </c>
      <c r="F40" s="729">
        <f>'kontrola LD'!G46+'kontrola LD'!G49</f>
        <v>0</v>
      </c>
      <c r="G40" s="729">
        <f>-'kontrola LD'!G94-'kontrola LD'!G96</f>
        <v>0</v>
      </c>
      <c r="H40" s="729">
        <f t="shared" si="2"/>
        <v>0</v>
      </c>
      <c r="I40" s="729">
        <f>'kontrola LD'!H46+'kontrola LD'!H49+'kontrola LD'!H94+'kontrola LD'!H96</f>
        <v>0</v>
      </c>
      <c r="K40" s="731"/>
      <c r="L40" s="731"/>
    </row>
    <row r="41" spans="1:12" s="723" customFormat="1" ht="11.25" customHeight="1" x14ac:dyDescent="0.2">
      <c r="A41" s="717"/>
      <c r="B41" s="718"/>
      <c r="C41" s="726" t="s">
        <v>940</v>
      </c>
      <c r="D41" s="727" t="s">
        <v>2331</v>
      </c>
      <c r="E41" s="728" t="s">
        <v>308</v>
      </c>
      <c r="F41" s="729">
        <f>'kontrola LD'!G33</f>
        <v>0</v>
      </c>
      <c r="G41" s="729">
        <f>-'kontrola LD'!G99</f>
        <v>0</v>
      </c>
      <c r="H41" s="729">
        <f t="shared" si="2"/>
        <v>0</v>
      </c>
      <c r="I41" s="729">
        <f>'kontrola LD'!H33+'kontrola LD'!H99</f>
        <v>0</v>
      </c>
      <c r="K41" s="731"/>
      <c r="L41" s="731"/>
    </row>
    <row r="42" spans="1:12" s="723" customFormat="1" ht="11.25" customHeight="1" x14ac:dyDescent="0.2">
      <c r="A42" s="717"/>
      <c r="B42" s="718"/>
      <c r="C42" s="726" t="s">
        <v>936</v>
      </c>
      <c r="D42" s="727" t="s">
        <v>2332</v>
      </c>
      <c r="E42" s="728" t="s">
        <v>1802</v>
      </c>
      <c r="F42" s="729">
        <f>'kontrola LD'!G38</f>
        <v>0</v>
      </c>
      <c r="G42" s="729">
        <f>-'kontrola LD'!G88</f>
        <v>0</v>
      </c>
      <c r="H42" s="729">
        <f t="shared" si="2"/>
        <v>0</v>
      </c>
      <c r="I42" s="729">
        <f>'kontrola LD'!H38+'kontrola LD'!H88</f>
        <v>0</v>
      </c>
      <c r="K42" s="731"/>
      <c r="L42" s="731"/>
    </row>
    <row r="43" spans="1:12" s="723" customFormat="1" ht="11.25" customHeight="1" x14ac:dyDescent="0.2">
      <c r="A43" s="717"/>
      <c r="B43" s="718"/>
      <c r="C43" s="726"/>
      <c r="D43" s="727"/>
      <c r="E43" s="726"/>
      <c r="F43" s="731"/>
      <c r="G43" s="731"/>
      <c r="H43" s="731"/>
      <c r="I43" s="731"/>
      <c r="K43" s="731"/>
      <c r="L43" s="731"/>
    </row>
    <row r="44" spans="1:12" s="723" customFormat="1" ht="11.25" customHeight="1" x14ac:dyDescent="0.2">
      <c r="A44" s="719" t="s">
        <v>933</v>
      </c>
      <c r="B44" s="718"/>
      <c r="C44" s="725"/>
      <c r="D44" s="720" t="s">
        <v>1368</v>
      </c>
      <c r="E44" s="721" t="s">
        <v>312</v>
      </c>
      <c r="F44" s="722">
        <f>F46+F54+F63+F73</f>
        <v>9087.01</v>
      </c>
      <c r="G44" s="722">
        <f>G46+G54+G63+G73</f>
        <v>0</v>
      </c>
      <c r="H44" s="722">
        <f>H46+H54+H63+H73</f>
        <v>9087.01</v>
      </c>
      <c r="I44" s="722">
        <f>I46+I54+I63+I73</f>
        <v>8541</v>
      </c>
      <c r="K44" s="724"/>
      <c r="L44" s="724"/>
    </row>
    <row r="45" spans="1:12" s="723" customFormat="1" ht="11.25" customHeight="1" x14ac:dyDescent="0.2">
      <c r="A45" s="719"/>
      <c r="B45" s="718"/>
      <c r="C45" s="725"/>
      <c r="D45" s="720"/>
      <c r="E45" s="719"/>
      <c r="F45" s="724"/>
      <c r="G45" s="724"/>
      <c r="H45" s="724"/>
      <c r="I45" s="724"/>
      <c r="K45" s="724"/>
      <c r="L45" s="724"/>
    </row>
    <row r="46" spans="1:12" s="723" customFormat="1" ht="11.25" customHeight="1" x14ac:dyDescent="0.2">
      <c r="A46" s="717"/>
      <c r="B46" s="719" t="s">
        <v>942</v>
      </c>
      <c r="C46" s="725"/>
      <c r="D46" s="720" t="s">
        <v>1410</v>
      </c>
      <c r="E46" s="721" t="s">
        <v>315</v>
      </c>
      <c r="F46" s="722">
        <f>F47+F48+F49+F50+F51+F52</f>
        <v>0</v>
      </c>
      <c r="G46" s="722">
        <f>G47+G48+G49+G50+G51+G52</f>
        <v>0</v>
      </c>
      <c r="H46" s="722">
        <f>H47+H48+H49+H50+H51+H52</f>
        <v>0</v>
      </c>
      <c r="I46" s="722">
        <f>SUM(I47:I52)</f>
        <v>0</v>
      </c>
      <c r="K46" s="724"/>
      <c r="L46" s="724"/>
    </row>
    <row r="47" spans="1:12" s="723" customFormat="1" ht="11.25" customHeight="1" x14ac:dyDescent="0.2">
      <c r="A47" s="717"/>
      <c r="B47" s="718"/>
      <c r="C47" s="726" t="s">
        <v>935</v>
      </c>
      <c r="D47" s="727" t="s">
        <v>1157</v>
      </c>
      <c r="E47" s="728" t="s">
        <v>1805</v>
      </c>
      <c r="F47" s="729">
        <f>'kontrola LD'!G106+'kontrola LD'!G107+'kontrola LD'!G108</f>
        <v>0</v>
      </c>
      <c r="G47" s="729">
        <f>-'kontrola LD'!G127</f>
        <v>0</v>
      </c>
      <c r="H47" s="729">
        <f t="shared" ref="H47:H52" si="3">F47-G47</f>
        <v>0</v>
      </c>
      <c r="I47" s="729">
        <f>'kontrola LD'!H106+'kontrola LD'!H107+'kontrola LD'!H108+'kontrola LD'!H127</f>
        <v>0</v>
      </c>
      <c r="K47" s="731"/>
      <c r="L47" s="731"/>
    </row>
    <row r="48" spans="1:12" s="723" customFormat="1" ht="11.25" customHeight="1" x14ac:dyDescent="0.2">
      <c r="A48" s="717"/>
      <c r="B48" s="718"/>
      <c r="C48" s="726" t="s">
        <v>937</v>
      </c>
      <c r="D48" s="727" t="s">
        <v>1158</v>
      </c>
      <c r="E48" s="728" t="s">
        <v>1806</v>
      </c>
      <c r="F48" s="729">
        <f>'kontrola LD'!G113+'kontrola LD'!G116</f>
        <v>0</v>
      </c>
      <c r="G48" s="729">
        <f>-'kontrola LD'!G130-'kontrola LD'!G133</f>
        <v>0</v>
      </c>
      <c r="H48" s="729">
        <f t="shared" si="3"/>
        <v>0</v>
      </c>
      <c r="I48" s="729">
        <f>'kontrola LD'!H113+'kontrola LD'!H116+'kontrola LD'!H130+'kontrola LD'!H133</f>
        <v>0</v>
      </c>
      <c r="K48" s="731"/>
      <c r="L48" s="731"/>
    </row>
    <row r="49" spans="1:12" s="723" customFormat="1" ht="11.25" customHeight="1" x14ac:dyDescent="0.2">
      <c r="A49" s="717"/>
      <c r="B49" s="718"/>
      <c r="C49" s="726" t="s">
        <v>938</v>
      </c>
      <c r="D49" s="727" t="s">
        <v>1803</v>
      </c>
      <c r="E49" s="728" t="s">
        <v>1809</v>
      </c>
      <c r="F49" s="729">
        <f>'kontrola LD'!G117</f>
        <v>0</v>
      </c>
      <c r="G49" s="729">
        <f>-'kontrola LD'!G134</f>
        <v>0</v>
      </c>
      <c r="H49" s="729">
        <f t="shared" si="3"/>
        <v>0</v>
      </c>
      <c r="I49" s="729">
        <f>'kontrola LD'!H117+'kontrola LD'!H134</f>
        <v>0</v>
      </c>
      <c r="K49" s="731"/>
      <c r="L49" s="731"/>
    </row>
    <row r="50" spans="1:12" s="723" customFormat="1" ht="11.25" customHeight="1" x14ac:dyDescent="0.2">
      <c r="A50" s="717"/>
      <c r="B50" s="718"/>
      <c r="C50" s="726" t="s">
        <v>432</v>
      </c>
      <c r="D50" s="727" t="s">
        <v>1804</v>
      </c>
      <c r="E50" s="728" t="s">
        <v>1810</v>
      </c>
      <c r="F50" s="729">
        <f>'kontrola LD'!G118</f>
        <v>0</v>
      </c>
      <c r="G50" s="729">
        <f>-'kontrola LD'!G135</f>
        <v>0</v>
      </c>
      <c r="H50" s="729">
        <f t="shared" si="3"/>
        <v>0</v>
      </c>
      <c r="I50" s="729">
        <f>'kontrola LD'!H118+'kontrola LD'!H135</f>
        <v>0</v>
      </c>
      <c r="J50" s="732"/>
      <c r="K50" s="731"/>
      <c r="L50" s="731"/>
    </row>
    <row r="51" spans="1:12" s="723" customFormat="1" ht="11.25" customHeight="1" x14ac:dyDescent="0.2">
      <c r="A51" s="717"/>
      <c r="B51" s="718"/>
      <c r="C51" s="726" t="s">
        <v>1089</v>
      </c>
      <c r="D51" s="727" t="s">
        <v>2829</v>
      </c>
      <c r="E51" s="728" t="s">
        <v>1811</v>
      </c>
      <c r="F51" s="729">
        <f>'kontrola LD'!G121+'kontrola LD'!G122+'kontrola LD'!G124+'kontrola LD'!G123</f>
        <v>0</v>
      </c>
      <c r="G51" s="729">
        <f>-'kontrola LD'!G136</f>
        <v>0</v>
      </c>
      <c r="H51" s="729">
        <f t="shared" si="3"/>
        <v>0</v>
      </c>
      <c r="I51" s="729"/>
      <c r="J51" s="732"/>
      <c r="K51" s="731"/>
      <c r="L51" s="731"/>
    </row>
    <row r="52" spans="1:12" s="723" customFormat="1" ht="11.25" customHeight="1" x14ac:dyDescent="0.2">
      <c r="A52" s="717"/>
      <c r="B52" s="718"/>
      <c r="C52" s="726" t="s">
        <v>939</v>
      </c>
      <c r="D52" s="727" t="s">
        <v>1807</v>
      </c>
      <c r="E52" s="728" t="s">
        <v>1812</v>
      </c>
      <c r="F52" s="729">
        <f>'kontrola LD'!G191</f>
        <v>0</v>
      </c>
      <c r="G52" s="729">
        <f>-'kontrola LD'!G324</f>
        <v>0</v>
      </c>
      <c r="H52" s="729">
        <f t="shared" si="3"/>
        <v>0</v>
      </c>
      <c r="I52" s="729">
        <f>'kontrola LD'!H191+'kontrola LD'!H324</f>
        <v>0</v>
      </c>
      <c r="J52" s="732"/>
      <c r="K52" s="731"/>
      <c r="L52" s="731"/>
    </row>
    <row r="53" spans="1:12" s="723" customFormat="1" ht="11.25" customHeight="1" x14ac:dyDescent="0.2">
      <c r="A53" s="717"/>
      <c r="B53" s="718"/>
      <c r="C53" s="726"/>
      <c r="D53" s="727"/>
      <c r="E53" s="726"/>
      <c r="F53" s="731"/>
      <c r="G53" s="731"/>
      <c r="H53" s="731"/>
      <c r="I53" s="731"/>
      <c r="J53" s="732"/>
      <c r="K53" s="731"/>
      <c r="L53" s="731"/>
    </row>
    <row r="54" spans="1:12" s="723" customFormat="1" ht="11.25" customHeight="1" x14ac:dyDescent="0.2">
      <c r="A54" s="717"/>
      <c r="B54" s="719" t="s">
        <v>943</v>
      </c>
      <c r="C54" s="725"/>
      <c r="D54" s="720" t="s">
        <v>107</v>
      </c>
      <c r="E54" s="721" t="s">
        <v>1544</v>
      </c>
      <c r="F54" s="722">
        <f>F55+F57+F58+F59+F60+F61+F56</f>
        <v>0</v>
      </c>
      <c r="G54" s="722">
        <f>G55+G57+G58+G59+G60+G61+G56</f>
        <v>0</v>
      </c>
      <c r="H54" s="722">
        <f>H55+H57+H58+H59+H60+H61+H56</f>
        <v>0</v>
      </c>
      <c r="I54" s="722">
        <f>SUM(I55:I61)</f>
        <v>0</v>
      </c>
      <c r="J54" s="732"/>
      <c r="K54" s="724"/>
      <c r="L54" s="724"/>
    </row>
    <row r="55" spans="1:12" s="723" customFormat="1" ht="13.8" x14ac:dyDescent="0.3">
      <c r="A55" s="717"/>
      <c r="B55" s="718"/>
      <c r="C55" s="726" t="s">
        <v>935</v>
      </c>
      <c r="D55" s="727" t="s">
        <v>108</v>
      </c>
      <c r="E55" s="728" t="s">
        <v>385</v>
      </c>
      <c r="F55" s="729">
        <f>'kontrola LD'!G183+'kontrola LD'!G186+'kontrola LD'!G189+'kontrola LD'!G193+'kontrola LD'!G198</f>
        <v>0</v>
      </c>
      <c r="G55" s="729">
        <f>-'kontrola LD'!G326</f>
        <v>0</v>
      </c>
      <c r="H55" s="729">
        <f t="shared" ref="H55:H61" si="4">F55-G55</f>
        <v>0</v>
      </c>
      <c r="I55" s="729">
        <f>'kontrola LD'!H183+'kontrola LD'!H186+'kontrola LD'!H189+'kontrola LD'!H193+'kontrola LD'!H198+'kontrola LD'!H326</f>
        <v>0</v>
      </c>
      <c r="J55" s="733"/>
      <c r="K55" s="734"/>
      <c r="L55" s="734"/>
    </row>
    <row r="56" spans="1:12" s="723" customFormat="1" x14ac:dyDescent="0.2">
      <c r="A56" s="717"/>
      <c r="B56" s="718"/>
      <c r="C56" s="726" t="s">
        <v>937</v>
      </c>
      <c r="D56" s="727" t="s">
        <v>2833</v>
      </c>
      <c r="E56" s="728"/>
      <c r="F56" s="729">
        <f>'kontrola LD'!G201</f>
        <v>0</v>
      </c>
      <c r="G56" s="729"/>
      <c r="H56" s="729">
        <f t="shared" si="4"/>
        <v>0</v>
      </c>
      <c r="I56" s="729"/>
      <c r="J56" s="732"/>
      <c r="K56" s="731"/>
      <c r="L56" s="731"/>
    </row>
    <row r="57" spans="1:12" s="723" customFormat="1" ht="11.25" customHeight="1" x14ac:dyDescent="0.2">
      <c r="A57" s="717"/>
      <c r="B57" s="718"/>
      <c r="C57" s="726" t="s">
        <v>938</v>
      </c>
      <c r="D57" s="727" t="s">
        <v>109</v>
      </c>
      <c r="E57" s="728" t="s">
        <v>387</v>
      </c>
      <c r="F57" s="729">
        <f>'kontrola LD'!G249</f>
        <v>0</v>
      </c>
      <c r="G57" s="729">
        <f>-'kontrola LD'!G328</f>
        <v>0</v>
      </c>
      <c r="H57" s="729">
        <f t="shared" si="4"/>
        <v>0</v>
      </c>
      <c r="I57" s="729">
        <f>'kontrola LD'!H249+'kontrola LD'!H328</f>
        <v>0</v>
      </c>
      <c r="J57" s="732"/>
      <c r="K57" s="731"/>
      <c r="L57" s="731"/>
    </row>
    <row r="58" spans="1:12" s="723" customFormat="1" ht="11.25" customHeight="1" x14ac:dyDescent="0.2">
      <c r="A58" s="717"/>
      <c r="B58" s="718"/>
      <c r="C58" s="726" t="s">
        <v>432</v>
      </c>
      <c r="D58" s="727" t="s">
        <v>110</v>
      </c>
      <c r="E58" s="728" t="s">
        <v>1545</v>
      </c>
      <c r="F58" s="729">
        <f>'kontrola LD'!G250</f>
        <v>0</v>
      </c>
      <c r="G58" s="729">
        <f>-'kontrola LD'!G330</f>
        <v>0</v>
      </c>
      <c r="H58" s="729">
        <f t="shared" si="4"/>
        <v>0</v>
      </c>
      <c r="I58" s="729">
        <f>'kontrola LD'!H250+'kontrola LD'!H330</f>
        <v>0</v>
      </c>
      <c r="J58" s="732"/>
      <c r="K58" s="731"/>
      <c r="L58" s="731"/>
    </row>
    <row r="59" spans="1:12" s="723" customFormat="1" x14ac:dyDescent="0.2">
      <c r="A59" s="717"/>
      <c r="B59" s="718"/>
      <c r="C59" s="726" t="s">
        <v>1089</v>
      </c>
      <c r="D59" s="727" t="s">
        <v>1154</v>
      </c>
      <c r="E59" s="728" t="s">
        <v>1546</v>
      </c>
      <c r="F59" s="729">
        <f>'kontrola LD'!G254+'kontrola LD'!G257+'kontrola LD'!G260</f>
        <v>0</v>
      </c>
      <c r="G59" s="729">
        <f>-'kontrola LD'!G332</f>
        <v>0</v>
      </c>
      <c r="H59" s="729">
        <f t="shared" si="4"/>
        <v>0</v>
      </c>
      <c r="I59" s="729">
        <f>'kontrola LD'!H254+'kontrola LD'!H257+'kontrola LD'!H260+'kontrola LD'!H332</f>
        <v>0</v>
      </c>
      <c r="J59" s="732"/>
      <c r="K59" s="731"/>
      <c r="L59" s="731"/>
    </row>
    <row r="60" spans="1:12" s="723" customFormat="1" ht="11.25" customHeight="1" x14ac:dyDescent="0.2">
      <c r="A60" s="717"/>
      <c r="B60" s="718"/>
      <c r="C60" s="726" t="s">
        <v>939</v>
      </c>
      <c r="D60" s="727" t="s">
        <v>123</v>
      </c>
      <c r="E60" s="728" t="s">
        <v>700</v>
      </c>
      <c r="F60" s="729">
        <f>'kontrola LD'!G220+'kontrola LD'!G275+'kontrola LD'!G281+'kontrola LD'!G286+'kontrola LD'!G289+'kontrola LD'!G292+'kontrola LD'!G298+'kontrola LD'!G195+'kontrola LD'!G300</f>
        <v>0</v>
      </c>
      <c r="G60" s="729">
        <f>-'kontrola LD'!G334</f>
        <v>0</v>
      </c>
      <c r="H60" s="729">
        <f t="shared" si="4"/>
        <v>0</v>
      </c>
      <c r="I60" s="729">
        <f>'kontrola LD'!H220+'kontrola LD'!H275+'kontrola LD'!H281+'kontrola LD'!H286+'kontrola LD'!H289+'kontrola LD'!H292+'kontrola LD'!H298+'kontrola LD'!H195+'kontrola LD'!H334+'kontrola LD'!H300</f>
        <v>0</v>
      </c>
      <c r="J60" s="732"/>
      <c r="K60" s="731"/>
      <c r="L60" s="731"/>
    </row>
    <row r="61" spans="1:12" s="723" customFormat="1" ht="11.25" customHeight="1" x14ac:dyDescent="0.2">
      <c r="A61" s="717"/>
      <c r="B61" s="718"/>
      <c r="C61" s="726" t="s">
        <v>940</v>
      </c>
      <c r="D61" s="727" t="s">
        <v>124</v>
      </c>
      <c r="E61" s="728" t="s">
        <v>701</v>
      </c>
      <c r="F61" s="729">
        <f>'kontrola LD'!G407</f>
        <v>0</v>
      </c>
      <c r="G61" s="729"/>
      <c r="H61" s="729">
        <f t="shared" si="4"/>
        <v>0</v>
      </c>
      <c r="I61" s="729">
        <f>'kontrola LD'!H407</f>
        <v>0</v>
      </c>
      <c r="J61" s="732"/>
      <c r="K61" s="731"/>
      <c r="L61" s="731"/>
    </row>
    <row r="62" spans="1:12" s="723" customFormat="1" ht="11.25" customHeight="1" x14ac:dyDescent="0.2">
      <c r="A62" s="717"/>
      <c r="B62" s="718"/>
      <c r="C62" s="726"/>
      <c r="D62" s="727"/>
      <c r="E62" s="726"/>
      <c r="F62" s="731"/>
      <c r="G62" s="731"/>
      <c r="H62" s="731"/>
      <c r="I62" s="731"/>
      <c r="J62" s="732"/>
      <c r="K62" s="731"/>
      <c r="L62" s="731"/>
    </row>
    <row r="63" spans="1:12" s="723" customFormat="1" ht="11.25" customHeight="1" x14ac:dyDescent="0.2">
      <c r="A63" s="717"/>
      <c r="B63" s="719" t="s">
        <v>279</v>
      </c>
      <c r="C63" s="725"/>
      <c r="D63" s="720" t="s">
        <v>1411</v>
      </c>
      <c r="E63" s="721" t="s">
        <v>702</v>
      </c>
      <c r="F63" s="722">
        <f>F64+F66+F67+F68+F69+F70+F71+F65</f>
        <v>9070.5</v>
      </c>
      <c r="G63" s="722">
        <f>G64+G66+G67+G68+G69+G70+G71+G65</f>
        <v>0</v>
      </c>
      <c r="H63" s="722">
        <f>H64+H66+H67+H68+H69+H70+H71+H65</f>
        <v>9070.5</v>
      </c>
      <c r="I63" s="722">
        <f>SUM(I64:I71)</f>
        <v>8541</v>
      </c>
      <c r="J63" s="732"/>
      <c r="K63" s="724"/>
      <c r="L63" s="724"/>
    </row>
    <row r="64" spans="1:12" s="723" customFormat="1" ht="13.8" x14ac:dyDescent="0.3">
      <c r="A64" s="717"/>
      <c r="B64" s="718"/>
      <c r="C64" s="726" t="s">
        <v>935</v>
      </c>
      <c r="D64" s="727" t="s">
        <v>1136</v>
      </c>
      <c r="E64" s="728" t="s">
        <v>703</v>
      </c>
      <c r="F64" s="729">
        <f>'kontrola LD'!G182+'kontrola LD'!G185+'kontrola LD'!G188+'kontrola LD'!G192+'kontrola LD'!G197</f>
        <v>8541</v>
      </c>
      <c r="G64" s="729">
        <f>-'kontrola LD'!G325</f>
        <v>0</v>
      </c>
      <c r="H64" s="729">
        <f>F64-G64</f>
        <v>8541</v>
      </c>
      <c r="I64" s="729">
        <v>8541</v>
      </c>
      <c r="J64" s="733"/>
      <c r="K64" s="734"/>
      <c r="L64" s="734"/>
    </row>
    <row r="65" spans="1:12" s="723" customFormat="1" x14ac:dyDescent="0.2">
      <c r="A65" s="717"/>
      <c r="B65" s="718"/>
      <c r="C65" s="726" t="s">
        <v>937</v>
      </c>
      <c r="D65" s="727" t="s">
        <v>2833</v>
      </c>
      <c r="E65" s="728"/>
      <c r="F65" s="729">
        <f>'kontrola LD'!G200</f>
        <v>0</v>
      </c>
      <c r="G65" s="729"/>
      <c r="H65" s="729">
        <f>F65-G65</f>
        <v>0</v>
      </c>
      <c r="I65" s="729">
        <f>'kontrola LD'!H200</f>
        <v>0</v>
      </c>
      <c r="J65" s="732"/>
      <c r="K65" s="731"/>
      <c r="L65" s="731"/>
    </row>
    <row r="66" spans="1:12" s="723" customFormat="1" ht="11.25" customHeight="1" x14ac:dyDescent="0.2">
      <c r="A66" s="717"/>
      <c r="B66" s="718"/>
      <c r="C66" s="726" t="s">
        <v>938</v>
      </c>
      <c r="D66" s="727" t="s">
        <v>44</v>
      </c>
      <c r="E66" s="728" t="s">
        <v>704</v>
      </c>
      <c r="F66" s="729">
        <f>'kontrola LD'!G247</f>
        <v>0</v>
      </c>
      <c r="G66" s="729">
        <f>-'kontrola LD'!G327</f>
        <v>0</v>
      </c>
      <c r="H66" s="729">
        <f t="shared" ref="H66:H71" si="5">F66-G66</f>
        <v>0</v>
      </c>
      <c r="I66" s="729">
        <f>'kontrola LD'!H247+'kontrola LD'!H327</f>
        <v>0</v>
      </c>
      <c r="J66" s="732"/>
      <c r="K66" s="731"/>
      <c r="L66" s="731"/>
    </row>
    <row r="67" spans="1:12" s="723" customFormat="1" ht="11.25" customHeight="1" x14ac:dyDescent="0.2">
      <c r="A67" s="717"/>
      <c r="B67" s="718"/>
      <c r="C67" s="726" t="s">
        <v>432</v>
      </c>
      <c r="D67" s="727" t="s">
        <v>110</v>
      </c>
      <c r="E67" s="728" t="s">
        <v>705</v>
      </c>
      <c r="F67" s="729">
        <f>'kontrola LD'!G248</f>
        <v>0</v>
      </c>
      <c r="G67" s="729">
        <f>-'kontrola LD'!G329</f>
        <v>0</v>
      </c>
      <c r="H67" s="729">
        <f t="shared" si="5"/>
        <v>0</v>
      </c>
      <c r="I67" s="729">
        <f>'kontrola LD'!H248+'kontrola LD'!H329</f>
        <v>0</v>
      </c>
      <c r="K67" s="731"/>
      <c r="L67" s="731"/>
    </row>
    <row r="68" spans="1:12" s="723" customFormat="1" ht="20.399999999999999" x14ac:dyDescent="0.2">
      <c r="A68" s="717"/>
      <c r="B68" s="718"/>
      <c r="C68" s="726" t="s">
        <v>1089</v>
      </c>
      <c r="D68" s="727" t="s">
        <v>9</v>
      </c>
      <c r="E68" s="728" t="s">
        <v>1474</v>
      </c>
      <c r="F68" s="729">
        <f>'kontrola LD'!G253+'kontrola LD'!G256+'kontrola LD'!G259+'kontrola LD'!G339</f>
        <v>0</v>
      </c>
      <c r="G68" s="729">
        <f>-'kontrola LD'!G331</f>
        <v>0</v>
      </c>
      <c r="H68" s="729">
        <f t="shared" si="5"/>
        <v>0</v>
      </c>
      <c r="I68" s="729">
        <f>'kontrola LD'!H253+'kontrola LD'!H256+'kontrola LD'!H259+'kontrola LD'!H339+'kontrola LD'!H331</f>
        <v>0</v>
      </c>
      <c r="K68" s="731"/>
      <c r="L68" s="731"/>
    </row>
    <row r="69" spans="1:12" s="723" customFormat="1" ht="11.25" customHeight="1" x14ac:dyDescent="0.2">
      <c r="A69" s="717"/>
      <c r="B69" s="718"/>
      <c r="C69" s="726" t="s">
        <v>939</v>
      </c>
      <c r="D69" s="727" t="s">
        <v>45</v>
      </c>
      <c r="E69" s="728" t="s">
        <v>1476</v>
      </c>
      <c r="F69" s="729">
        <f>'kontrola LD'!G222</f>
        <v>0</v>
      </c>
      <c r="G69" s="729">
        <f>-'kontrola LD'!G336</f>
        <v>0</v>
      </c>
      <c r="H69" s="729">
        <f t="shared" si="5"/>
        <v>0</v>
      </c>
      <c r="I69" s="729">
        <f>'kontrola LD'!H222+'kontrola LD'!H336</f>
        <v>0</v>
      </c>
      <c r="K69" s="731"/>
      <c r="L69" s="731"/>
    </row>
    <row r="70" spans="1:12" s="723" customFormat="1" ht="11.25" customHeight="1" x14ac:dyDescent="0.2">
      <c r="A70" s="717"/>
      <c r="B70" s="718"/>
      <c r="C70" s="726" t="s">
        <v>940</v>
      </c>
      <c r="D70" s="727" t="s">
        <v>46</v>
      </c>
      <c r="E70" s="728" t="s">
        <v>706</v>
      </c>
      <c r="F70" s="729">
        <f>'kontrola LD'!G227+'kontrola LD'!G230+'kontrola LD'!G233+'kontrola LD'!G236+'kontrola LD'!G239+'kontrola LD'!G242</f>
        <v>529.5</v>
      </c>
      <c r="G70" s="729">
        <f>-'kontrola LD'!G335</f>
        <v>0</v>
      </c>
      <c r="H70" s="729">
        <f t="shared" si="5"/>
        <v>529.5</v>
      </c>
      <c r="I70" s="729"/>
      <c r="K70" s="731"/>
      <c r="L70" s="731"/>
    </row>
    <row r="71" spans="1:12" s="723" customFormat="1" ht="11.25" customHeight="1" x14ac:dyDescent="0.2">
      <c r="A71" s="717"/>
      <c r="B71" s="718"/>
      <c r="C71" s="726" t="s">
        <v>936</v>
      </c>
      <c r="D71" s="727" t="s">
        <v>123</v>
      </c>
      <c r="E71" s="728" t="s">
        <v>707</v>
      </c>
      <c r="F71" s="729">
        <f>'kontrola LD'!G219+'kontrola LD'!G274+'kontrola LD'!G280+'kontrola LD'!G285+'kontrola LD'!G288+'kontrola LD'!G291+'kontrola LD'!G297+'kontrola LD'!G337+'kontrola LD'!G299</f>
        <v>0</v>
      </c>
      <c r="G71" s="729">
        <f>-'kontrola LD'!G333</f>
        <v>0</v>
      </c>
      <c r="H71" s="729">
        <f t="shared" si="5"/>
        <v>0</v>
      </c>
      <c r="I71" s="729">
        <f>'kontrola LD'!H219+'kontrola LD'!H274+'kontrola LD'!H280+'kontrola LD'!H285+'kontrola LD'!H288+'kontrola LD'!H291+'kontrola LD'!H297+'kontrola LD'!H299+'kontrola LD'!H337+'kontrola LD'!H333</f>
        <v>0</v>
      </c>
      <c r="K71" s="731"/>
      <c r="L71" s="731"/>
    </row>
    <row r="72" spans="1:12" s="723" customFormat="1" ht="11.25" customHeight="1" x14ac:dyDescent="0.2">
      <c r="A72" s="717"/>
      <c r="B72" s="718"/>
      <c r="C72" s="726"/>
      <c r="D72" s="727"/>
      <c r="E72" s="726"/>
      <c r="F72" s="731"/>
      <c r="G72" s="731"/>
      <c r="H72" s="731"/>
      <c r="I72" s="731"/>
      <c r="K72" s="731"/>
      <c r="L72" s="731"/>
    </row>
    <row r="73" spans="1:12" s="723" customFormat="1" ht="11.25" customHeight="1" x14ac:dyDescent="0.2">
      <c r="A73" s="717"/>
      <c r="B73" s="719" t="s">
        <v>1752</v>
      </c>
      <c r="C73" s="725"/>
      <c r="D73" s="720" t="s">
        <v>1412</v>
      </c>
      <c r="E73" s="721" t="s">
        <v>708</v>
      </c>
      <c r="F73" s="722">
        <f>F74+F75+F76+F77+F78</f>
        <v>16.509999999999991</v>
      </c>
      <c r="G73" s="722">
        <f>G74+G75+G76+G77+G78</f>
        <v>0</v>
      </c>
      <c r="H73" s="722">
        <f>H74+H75+H76+H77+H78</f>
        <v>16.509999999999991</v>
      </c>
      <c r="I73" s="722">
        <f>SUM(I74:I78)</f>
        <v>0</v>
      </c>
      <c r="K73" s="724"/>
      <c r="L73" s="724"/>
    </row>
    <row r="74" spans="1:12" s="723" customFormat="1" ht="11.25" customHeight="1" x14ac:dyDescent="0.2">
      <c r="A74" s="717"/>
      <c r="B74" s="718"/>
      <c r="C74" s="726" t="s">
        <v>935</v>
      </c>
      <c r="D74" s="727" t="s">
        <v>1137</v>
      </c>
      <c r="E74" s="728" t="s">
        <v>709</v>
      </c>
      <c r="F74" s="729">
        <f>'kontrola LD'!G141+'kontrola LD'!G142</f>
        <v>16.509999999999991</v>
      </c>
      <c r="G74" s="729"/>
      <c r="H74" s="729">
        <f>F74-G74</f>
        <v>16.509999999999991</v>
      </c>
      <c r="I74" s="729"/>
      <c r="K74" s="731"/>
      <c r="L74" s="731"/>
    </row>
    <row r="75" spans="1:12" s="723" customFormat="1" ht="11.25" customHeight="1" x14ac:dyDescent="0.2">
      <c r="A75" s="717"/>
      <c r="B75" s="718"/>
      <c r="C75" s="726" t="s">
        <v>937</v>
      </c>
      <c r="D75" s="727" t="s">
        <v>1138</v>
      </c>
      <c r="E75" s="728" t="s">
        <v>710</v>
      </c>
      <c r="F75" s="729">
        <f>'kontrola LD'!G146+'kontrola LD'!G171</f>
        <v>0</v>
      </c>
      <c r="G75" s="729"/>
      <c r="H75" s="729">
        <f>F75-G75</f>
        <v>0</v>
      </c>
      <c r="I75" s="729">
        <f>'kontrola LD'!H146+'kontrola LD'!H171</f>
        <v>0</v>
      </c>
      <c r="K75" s="731"/>
      <c r="L75" s="731"/>
    </row>
    <row r="76" spans="1:12" s="723" customFormat="1" ht="11.25" customHeight="1" x14ac:dyDescent="0.2">
      <c r="A76" s="717"/>
      <c r="B76" s="718"/>
      <c r="C76" s="726" t="s">
        <v>938</v>
      </c>
      <c r="D76" s="727" t="s">
        <v>535</v>
      </c>
      <c r="E76" s="728" t="s">
        <v>1085</v>
      </c>
      <c r="F76" s="729">
        <f>'kontrola LD'!G147</f>
        <v>0</v>
      </c>
      <c r="G76" s="729"/>
      <c r="H76" s="729">
        <f>F76-G76</f>
        <v>0</v>
      </c>
      <c r="I76" s="729">
        <f>'kontrola LD'!H147</f>
        <v>0</v>
      </c>
      <c r="K76" s="731"/>
      <c r="L76" s="731"/>
    </row>
    <row r="77" spans="1:12" s="723" customFormat="1" ht="11.25" customHeight="1" x14ac:dyDescent="0.2">
      <c r="A77" s="717"/>
      <c r="B77" s="718"/>
      <c r="C77" s="726" t="s">
        <v>432</v>
      </c>
      <c r="D77" s="727" t="s">
        <v>1430</v>
      </c>
      <c r="E77" s="728" t="s">
        <v>1086</v>
      </c>
      <c r="F77" s="729">
        <f>'kontrola LD'!G159+'kontrola LD'!G161+'kontrola LD'!G166+'kontrola LD'!G167+'kontrola LD'!G162+'kontrola LD'!G175</f>
        <v>0</v>
      </c>
      <c r="G77" s="729">
        <f>-'kontrola LD'!G175</f>
        <v>0</v>
      </c>
      <c r="H77" s="729">
        <f>F77-G77</f>
        <v>0</v>
      </c>
      <c r="I77" s="729">
        <f>'kontrola LD'!H159+'kontrola LD'!H161+'kontrola LD'!H166+'kontrola LD'!H167+'kontrola LD'!H175+'kontrola LD'!H162</f>
        <v>0</v>
      </c>
      <c r="K77" s="731"/>
      <c r="L77" s="731"/>
    </row>
    <row r="78" spans="1:12" s="723" customFormat="1" ht="11.25" customHeight="1" x14ac:dyDescent="0.2">
      <c r="A78" s="717"/>
      <c r="B78" s="718"/>
      <c r="C78" s="726" t="s">
        <v>1089</v>
      </c>
      <c r="D78" s="727" t="s">
        <v>47</v>
      </c>
      <c r="E78" s="728" t="s">
        <v>1087</v>
      </c>
      <c r="F78" s="729">
        <f>'kontrola LD'!G168+'kontrola LD'!G194+'kontrola LD'!G176</f>
        <v>0</v>
      </c>
      <c r="G78" s="729">
        <f>-'kontrola LD'!G176</f>
        <v>0</v>
      </c>
      <c r="H78" s="729">
        <f>F78-G78</f>
        <v>0</v>
      </c>
      <c r="I78" s="729">
        <f>'kontrola LD'!H168+'kontrola LD'!H194+'kontrola LD'!H176</f>
        <v>0</v>
      </c>
      <c r="K78" s="731"/>
      <c r="L78" s="731"/>
    </row>
    <row r="79" spans="1:12" s="723" customFormat="1" ht="11.25" customHeight="1" x14ac:dyDescent="0.2">
      <c r="A79" s="717"/>
      <c r="B79" s="718"/>
      <c r="C79" s="726"/>
      <c r="D79" s="727"/>
      <c r="E79" s="726"/>
      <c r="F79" s="731"/>
      <c r="G79" s="731"/>
      <c r="H79" s="731"/>
      <c r="I79" s="731"/>
      <c r="K79" s="731"/>
      <c r="L79" s="731"/>
    </row>
    <row r="80" spans="1:12" s="723" customFormat="1" ht="11.25" customHeight="1" x14ac:dyDescent="0.2">
      <c r="A80" s="719" t="s">
        <v>261</v>
      </c>
      <c r="B80" s="725"/>
      <c r="C80" s="725"/>
      <c r="D80" s="720" t="s">
        <v>1413</v>
      </c>
      <c r="E80" s="721" t="s">
        <v>224</v>
      </c>
      <c r="F80" s="722">
        <f>F82+F83+F84+F85</f>
        <v>0</v>
      </c>
      <c r="G80" s="722">
        <f>G82+G83+G84+G85</f>
        <v>0</v>
      </c>
      <c r="H80" s="722">
        <f>H82+H83+H84+H85</f>
        <v>0</v>
      </c>
      <c r="I80" s="722">
        <f>SUM(I82:I85)</f>
        <v>0</v>
      </c>
      <c r="K80" s="724"/>
      <c r="L80" s="724"/>
    </row>
    <row r="81" spans="1:12" s="723" customFormat="1" ht="11.25" customHeight="1" x14ac:dyDescent="0.2">
      <c r="A81" s="719"/>
      <c r="B81" s="725"/>
      <c r="C81" s="725"/>
      <c r="D81" s="720"/>
      <c r="E81" s="719"/>
      <c r="F81" s="724"/>
      <c r="G81" s="724"/>
      <c r="H81" s="724"/>
      <c r="I81" s="724"/>
      <c r="K81" s="724"/>
      <c r="L81" s="724"/>
    </row>
    <row r="82" spans="1:12" s="723" customFormat="1" ht="11.25" customHeight="1" x14ac:dyDescent="0.2">
      <c r="A82" s="717"/>
      <c r="B82" s="718"/>
      <c r="C82" s="726" t="s">
        <v>935</v>
      </c>
      <c r="D82" s="727" t="s">
        <v>1414</v>
      </c>
      <c r="E82" s="728" t="s">
        <v>226</v>
      </c>
      <c r="F82" s="729">
        <f>'kontrola LD'!G307+'kontrola LD'!G310</f>
        <v>0</v>
      </c>
      <c r="G82" s="729"/>
      <c r="H82" s="729">
        <f>F82-G82</f>
        <v>0</v>
      </c>
      <c r="I82" s="729">
        <f>'kontrola LD'!H307+'kontrola LD'!H310</f>
        <v>0</v>
      </c>
      <c r="K82" s="731"/>
      <c r="L82" s="731"/>
    </row>
    <row r="83" spans="1:12" s="723" customFormat="1" ht="11.25" customHeight="1" x14ac:dyDescent="0.2">
      <c r="A83" s="717"/>
      <c r="B83" s="718"/>
      <c r="C83" s="726" t="s">
        <v>937</v>
      </c>
      <c r="D83" s="727" t="s">
        <v>1415</v>
      </c>
      <c r="E83" s="728" t="s">
        <v>228</v>
      </c>
      <c r="F83" s="729">
        <f>'kontrola LD'!G308+'kontrola LD'!G311</f>
        <v>0</v>
      </c>
      <c r="G83" s="729"/>
      <c r="H83" s="729">
        <f>F83-G83</f>
        <v>0</v>
      </c>
      <c r="I83" s="729">
        <f>'kontrola LD'!H308+'kontrola LD'!H311</f>
        <v>0</v>
      </c>
      <c r="K83" s="731"/>
      <c r="L83" s="731"/>
    </row>
    <row r="84" spans="1:12" s="723" customFormat="1" ht="11.25" customHeight="1" x14ac:dyDescent="0.2">
      <c r="A84" s="717"/>
      <c r="B84" s="718"/>
      <c r="C84" s="726" t="s">
        <v>938</v>
      </c>
      <c r="D84" s="727" t="s">
        <v>1416</v>
      </c>
      <c r="E84" s="728" t="s">
        <v>1139</v>
      </c>
      <c r="F84" s="729">
        <f>'kontrola LD'!G319</f>
        <v>0</v>
      </c>
      <c r="G84" s="729"/>
      <c r="H84" s="729">
        <f>F84-G84</f>
        <v>0</v>
      </c>
      <c r="I84" s="729">
        <f>'kontrola LD'!H319</f>
        <v>0</v>
      </c>
      <c r="K84" s="731"/>
      <c r="L84" s="731"/>
    </row>
    <row r="85" spans="1:12" s="723" customFormat="1" ht="11.25" customHeight="1" x14ac:dyDescent="0.2">
      <c r="A85" s="717"/>
      <c r="B85" s="718"/>
      <c r="C85" s="726" t="s">
        <v>432</v>
      </c>
      <c r="D85" s="727" t="s">
        <v>1417</v>
      </c>
      <c r="E85" s="728" t="s">
        <v>1141</v>
      </c>
      <c r="F85" s="729">
        <f>'kontrola LD'!G320</f>
        <v>0</v>
      </c>
      <c r="G85" s="729"/>
      <c r="H85" s="729">
        <f>F85-G85</f>
        <v>0</v>
      </c>
      <c r="I85" s="729">
        <f>'kontrola LD'!H320</f>
        <v>0</v>
      </c>
      <c r="K85" s="731"/>
      <c r="L85" s="731"/>
    </row>
    <row r="86" spans="1:12" s="723" customFormat="1" ht="11.25" customHeight="1" x14ac:dyDescent="0.2">
      <c r="A86" s="717"/>
      <c r="B86" s="718"/>
      <c r="C86" s="726"/>
      <c r="D86" s="727"/>
      <c r="E86" s="726"/>
      <c r="F86" s="731"/>
      <c r="G86" s="731"/>
      <c r="H86" s="731"/>
      <c r="I86" s="731"/>
      <c r="K86" s="731"/>
      <c r="L86" s="731"/>
    </row>
    <row r="87" spans="1:12" s="723" customFormat="1" ht="11.25" customHeight="1" x14ac:dyDescent="0.2">
      <c r="A87" s="717"/>
      <c r="B87" s="718"/>
      <c r="C87" s="719"/>
      <c r="D87" s="720" t="s">
        <v>1140</v>
      </c>
      <c r="E87" s="721" t="s">
        <v>1088</v>
      </c>
      <c r="F87" s="722"/>
      <c r="G87" s="722"/>
      <c r="H87" s="722"/>
      <c r="I87" s="722"/>
      <c r="K87" s="724"/>
      <c r="L87" s="724"/>
    </row>
    <row r="88" spans="1:12" s="723" customFormat="1" ht="11.25" customHeight="1" x14ac:dyDescent="0.2">
      <c r="A88" s="717"/>
      <c r="B88" s="718"/>
      <c r="C88" s="719"/>
      <c r="D88" s="720"/>
      <c r="E88" s="719"/>
      <c r="F88" s="735"/>
      <c r="G88" s="735"/>
      <c r="H88" s="735"/>
      <c r="I88" s="735"/>
    </row>
    <row r="89" spans="1:12" s="723" customFormat="1" ht="11.25" customHeight="1" x14ac:dyDescent="0.2">
      <c r="A89" s="717"/>
      <c r="B89" s="718"/>
      <c r="C89" s="719"/>
      <c r="D89" s="720"/>
      <c r="E89" s="719"/>
      <c r="F89" s="735"/>
      <c r="G89" s="735"/>
      <c r="H89" s="735"/>
      <c r="I89" s="735"/>
    </row>
    <row r="90" spans="1:12" s="723" customFormat="1" ht="11.25" customHeight="1" x14ac:dyDescent="0.2">
      <c r="A90" s="717"/>
      <c r="B90" s="718"/>
      <c r="C90" s="719"/>
      <c r="D90" s="720"/>
      <c r="E90" s="736" t="s">
        <v>424</v>
      </c>
      <c r="F90" s="737" t="s">
        <v>1753</v>
      </c>
      <c r="G90" s="737" t="s">
        <v>428</v>
      </c>
      <c r="H90" s="735"/>
      <c r="I90" s="735"/>
    </row>
    <row r="91" spans="1:12" s="723" customFormat="1" ht="11.25" customHeight="1" x14ac:dyDescent="0.2">
      <c r="A91" s="717"/>
      <c r="B91" s="718"/>
      <c r="C91" s="719"/>
      <c r="D91" s="720"/>
      <c r="E91" s="736"/>
      <c r="F91" s="738" t="s">
        <v>2837</v>
      </c>
      <c r="G91" s="738" t="s">
        <v>2837</v>
      </c>
      <c r="H91" s="735"/>
      <c r="I91" s="735"/>
      <c r="J91" s="730"/>
    </row>
    <row r="92" spans="1:12" s="723" customFormat="1" ht="11.25" customHeight="1" x14ac:dyDescent="0.2">
      <c r="A92" s="717"/>
      <c r="B92" s="718"/>
      <c r="C92" s="719"/>
      <c r="D92" s="720"/>
      <c r="E92" s="719"/>
      <c r="F92" s="735"/>
      <c r="G92" s="735"/>
      <c r="H92" s="735"/>
      <c r="I92" s="735"/>
      <c r="J92" s="730"/>
    </row>
    <row r="93" spans="1:12" s="723" customFormat="1" ht="11.25" customHeight="1" x14ac:dyDescent="0.2">
      <c r="A93" s="719"/>
      <c r="B93" s="719"/>
      <c r="C93" s="719"/>
      <c r="D93" s="720" t="s">
        <v>1418</v>
      </c>
      <c r="E93" s="721" t="s">
        <v>1687</v>
      </c>
      <c r="F93" s="722">
        <f>F95+F122+F161</f>
        <v>9087.01</v>
      </c>
      <c r="G93" s="722">
        <f>G95+G122+G161</f>
        <v>9617</v>
      </c>
      <c r="H93" s="724"/>
      <c r="I93" s="724"/>
    </row>
    <row r="94" spans="1:12" s="723" customFormat="1" ht="11.25" customHeight="1" x14ac:dyDescent="0.2">
      <c r="A94" s="719"/>
      <c r="B94" s="719"/>
      <c r="C94" s="719"/>
      <c r="D94" s="720"/>
      <c r="E94" s="719"/>
      <c r="F94" s="724"/>
      <c r="G94" s="724"/>
      <c r="H94" s="724"/>
      <c r="I94" s="735"/>
    </row>
    <row r="95" spans="1:12" s="723" customFormat="1" ht="11.25" customHeight="1" x14ac:dyDescent="0.2">
      <c r="A95" s="719" t="s">
        <v>932</v>
      </c>
      <c r="B95" s="719"/>
      <c r="C95" s="719"/>
      <c r="D95" s="720" t="s">
        <v>1419</v>
      </c>
      <c r="E95" s="721" t="s">
        <v>1689</v>
      </c>
      <c r="F95" s="739">
        <f>F97+F103+F111+F116+F120</f>
        <v>459.97000000000116</v>
      </c>
      <c r="G95" s="722">
        <f>G97+G103+G111+G116+G120</f>
        <v>9617</v>
      </c>
      <c r="H95" s="724"/>
      <c r="I95" s="724"/>
    </row>
    <row r="96" spans="1:12" s="723" customFormat="1" ht="11.25" customHeight="1" x14ac:dyDescent="0.2">
      <c r="A96" s="719"/>
      <c r="B96" s="719"/>
      <c r="C96" s="719"/>
      <c r="D96" s="720"/>
      <c r="E96" s="719"/>
      <c r="F96" s="724"/>
      <c r="G96" s="724"/>
      <c r="H96" s="724"/>
      <c r="I96" s="724"/>
      <c r="J96" s="730"/>
      <c r="K96" s="740"/>
    </row>
    <row r="97" spans="1:10" s="723" customFormat="1" ht="11.25" customHeight="1" x14ac:dyDescent="0.2">
      <c r="A97" s="719"/>
      <c r="B97" s="719" t="s">
        <v>948</v>
      </c>
      <c r="C97" s="719"/>
      <c r="D97" s="720" t="s">
        <v>1420</v>
      </c>
      <c r="E97" s="721" t="s">
        <v>2467</v>
      </c>
      <c r="F97" s="722">
        <f>F98+F99+F100+F101</f>
        <v>11618</v>
      </c>
      <c r="G97" s="722">
        <f>SUM(G98:G101)</f>
        <v>11618</v>
      </c>
      <c r="H97" s="724"/>
      <c r="I97" s="724"/>
      <c r="J97" s="740"/>
    </row>
    <row r="98" spans="1:10" s="723" customFormat="1" ht="11.25" customHeight="1" x14ac:dyDescent="0.2">
      <c r="A98" s="726"/>
      <c r="B98" s="726"/>
      <c r="C98" s="726" t="s">
        <v>935</v>
      </c>
      <c r="D98" s="727" t="s">
        <v>2382</v>
      </c>
      <c r="E98" s="728" t="s">
        <v>1692</v>
      </c>
      <c r="F98" s="729">
        <f>-'kontrola LD'!G345-'kontrola LD'!G410</f>
        <v>11618</v>
      </c>
      <c r="G98" s="729">
        <v>11618</v>
      </c>
      <c r="H98" s="731"/>
      <c r="I98" s="731"/>
    </row>
    <row r="99" spans="1:10" s="723" customFormat="1" ht="11.25" customHeight="1" x14ac:dyDescent="0.2">
      <c r="A99" s="726"/>
      <c r="B99" s="726"/>
      <c r="C99" s="726" t="s">
        <v>937</v>
      </c>
      <c r="D99" s="727" t="s">
        <v>2468</v>
      </c>
      <c r="E99" s="728" t="s">
        <v>2470</v>
      </c>
      <c r="F99" s="729">
        <f>-'kontrola LD'!G160</f>
        <v>0</v>
      </c>
      <c r="G99" s="729">
        <f>-'kontrola LD'!H160</f>
        <v>0</v>
      </c>
      <c r="H99" s="731"/>
      <c r="I99" s="731"/>
    </row>
    <row r="100" spans="1:10" s="723" customFormat="1" ht="11.25" customHeight="1" x14ac:dyDescent="0.2">
      <c r="A100" s="726"/>
      <c r="B100" s="726"/>
      <c r="C100" s="726" t="s">
        <v>938</v>
      </c>
      <c r="D100" s="727" t="s">
        <v>2469</v>
      </c>
      <c r="E100" s="728" t="s">
        <v>1696</v>
      </c>
      <c r="F100" s="729">
        <f>-'kontrola LD'!G353</f>
        <v>0</v>
      </c>
      <c r="G100" s="729">
        <f>-'kontrola LD'!H353</f>
        <v>0</v>
      </c>
      <c r="H100" s="731"/>
      <c r="I100" s="731"/>
    </row>
    <row r="101" spans="1:10" s="723" customFormat="1" ht="11.25" customHeight="1" x14ac:dyDescent="0.2">
      <c r="A101" s="726"/>
      <c r="B101" s="726"/>
      <c r="C101" s="726" t="s">
        <v>432</v>
      </c>
      <c r="D101" s="727" t="s">
        <v>1421</v>
      </c>
      <c r="E101" s="728" t="s">
        <v>1698</v>
      </c>
      <c r="F101" s="741">
        <f>-'kontrola LD'!G251</f>
        <v>0</v>
      </c>
      <c r="G101" s="741">
        <f>-'kontrola LD'!H251</f>
        <v>0</v>
      </c>
      <c r="H101" s="724"/>
    </row>
    <row r="102" spans="1:10" s="723" customFormat="1" ht="11.25" customHeight="1" x14ac:dyDescent="0.2">
      <c r="A102" s="726"/>
      <c r="B102" s="726"/>
      <c r="C102" s="726"/>
      <c r="D102" s="727"/>
      <c r="E102" s="726"/>
      <c r="F102" s="731"/>
      <c r="G102" s="731"/>
      <c r="H102" s="731"/>
      <c r="I102" s="731"/>
    </row>
    <row r="103" spans="1:10" s="723" customFormat="1" ht="11.25" customHeight="1" x14ac:dyDescent="0.2">
      <c r="A103" s="719"/>
      <c r="B103" s="719" t="s">
        <v>949</v>
      </c>
      <c r="C103" s="719"/>
      <c r="D103" s="720" t="s">
        <v>2007</v>
      </c>
      <c r="E103" s="721" t="s">
        <v>1719</v>
      </c>
      <c r="F103" s="722">
        <f>F104+F105+F106+F107+F108+F109</f>
        <v>0</v>
      </c>
      <c r="G103" s="722">
        <f>SUM(G104:G109)</f>
        <v>0</v>
      </c>
      <c r="H103" s="724"/>
      <c r="I103" s="724"/>
    </row>
    <row r="104" spans="1:10" s="723" customFormat="1" ht="11.25" customHeight="1" x14ac:dyDescent="0.2">
      <c r="A104" s="726"/>
      <c r="B104" s="726"/>
      <c r="C104" s="726" t="s">
        <v>935</v>
      </c>
      <c r="D104" s="727" t="s">
        <v>251</v>
      </c>
      <c r="E104" s="728" t="s">
        <v>1721</v>
      </c>
      <c r="F104" s="729">
        <f>-'kontrola LD'!G346</f>
        <v>0</v>
      </c>
      <c r="G104" s="729">
        <f>-'kontrola LD'!H346</f>
        <v>0</v>
      </c>
      <c r="H104" s="731"/>
      <c r="I104" s="731"/>
    </row>
    <row r="105" spans="1:10" s="723" customFormat="1" ht="11.25" customHeight="1" x14ac:dyDescent="0.2">
      <c r="A105" s="726"/>
      <c r="B105" s="726"/>
      <c r="C105" s="726" t="s">
        <v>937</v>
      </c>
      <c r="D105" s="727" t="s">
        <v>252</v>
      </c>
      <c r="E105" s="728" t="s">
        <v>729</v>
      </c>
      <c r="F105" s="729">
        <f>-'kontrola LD'!G347</f>
        <v>0</v>
      </c>
      <c r="G105" s="729">
        <f>-'kontrola LD'!H347</f>
        <v>0</v>
      </c>
      <c r="H105" s="731"/>
      <c r="I105" s="731"/>
    </row>
    <row r="106" spans="1:10" s="723" customFormat="1" ht="11.25" customHeight="1" x14ac:dyDescent="0.2">
      <c r="A106" s="726"/>
      <c r="B106" s="726"/>
      <c r="C106" s="726" t="s">
        <v>938</v>
      </c>
      <c r="D106" s="727" t="s">
        <v>2471</v>
      </c>
      <c r="E106" s="728" t="s">
        <v>730</v>
      </c>
      <c r="F106" s="729">
        <f>-'kontrola LD'!G351-'kontrola LD'!G352</f>
        <v>0</v>
      </c>
      <c r="G106" s="729">
        <f>-'kontrola LD'!H351-'kontrola LD'!H352</f>
        <v>0</v>
      </c>
      <c r="H106" s="731"/>
      <c r="I106" s="731"/>
    </row>
    <row r="107" spans="1:10" s="723" customFormat="1" ht="11.25" customHeight="1" x14ac:dyDescent="0.2">
      <c r="A107" s="726"/>
      <c r="B107" s="726"/>
      <c r="C107" s="726" t="s">
        <v>432</v>
      </c>
      <c r="D107" s="727" t="s">
        <v>728</v>
      </c>
      <c r="E107" s="728" t="s">
        <v>731</v>
      </c>
      <c r="F107" s="729">
        <f>-'kontrola LD'!G348</f>
        <v>0</v>
      </c>
      <c r="G107" s="729">
        <f>-'kontrola LD'!H348</f>
        <v>0</v>
      </c>
      <c r="H107" s="731"/>
      <c r="I107" s="731"/>
    </row>
    <row r="108" spans="1:10" s="723" customFormat="1" ht="11.25" customHeight="1" x14ac:dyDescent="0.2">
      <c r="A108" s="726"/>
      <c r="B108" s="726"/>
      <c r="C108" s="726" t="s">
        <v>1089</v>
      </c>
      <c r="D108" s="727" t="s">
        <v>253</v>
      </c>
      <c r="E108" s="728" t="s">
        <v>1724</v>
      </c>
      <c r="F108" s="729">
        <f>-'kontrola LD'!G349</f>
        <v>0</v>
      </c>
      <c r="G108" s="729">
        <f>-'kontrola LD'!H349</f>
        <v>0</v>
      </c>
      <c r="H108" s="731"/>
      <c r="I108" s="731"/>
    </row>
    <row r="109" spans="1:10" s="723" customFormat="1" ht="11.25" customHeight="1" x14ac:dyDescent="0.2">
      <c r="A109" s="726"/>
      <c r="B109" s="726"/>
      <c r="C109" s="726" t="s">
        <v>939</v>
      </c>
      <c r="D109" s="727" t="s">
        <v>48</v>
      </c>
      <c r="E109" s="728" t="s">
        <v>1725</v>
      </c>
      <c r="F109" s="729">
        <f>-'kontrola LD'!G350</f>
        <v>0</v>
      </c>
      <c r="G109" s="729">
        <f>-'kontrola LD'!H350</f>
        <v>0</v>
      </c>
      <c r="H109" s="731"/>
      <c r="I109" s="731"/>
    </row>
    <row r="110" spans="1:10" s="723" customFormat="1" ht="11.25" customHeight="1" x14ac:dyDescent="0.2">
      <c r="A110" s="726"/>
      <c r="B110" s="726"/>
      <c r="C110" s="726"/>
      <c r="D110" s="727"/>
      <c r="E110" s="726"/>
      <c r="F110" s="731"/>
      <c r="G110" s="731"/>
      <c r="H110" s="731"/>
      <c r="I110" s="731"/>
    </row>
    <row r="111" spans="1:10" s="723" customFormat="1" ht="11.25" customHeight="1" x14ac:dyDescent="0.2">
      <c r="A111" s="719"/>
      <c r="B111" s="719" t="s">
        <v>1749</v>
      </c>
      <c r="C111" s="719"/>
      <c r="D111" s="720" t="s">
        <v>1422</v>
      </c>
      <c r="E111" s="721" t="s">
        <v>732</v>
      </c>
      <c r="F111" s="722">
        <f>F112+F113+F114</f>
        <v>0</v>
      </c>
      <c r="G111" s="722">
        <f>SUM(G112:G114)</f>
        <v>0</v>
      </c>
      <c r="H111" s="724"/>
      <c r="I111" s="724"/>
    </row>
    <row r="112" spans="1:10" s="723" customFormat="1" ht="11.25" customHeight="1" x14ac:dyDescent="0.2">
      <c r="A112" s="726"/>
      <c r="B112" s="726"/>
      <c r="C112" s="726" t="s">
        <v>935</v>
      </c>
      <c r="D112" s="727" t="s">
        <v>255</v>
      </c>
      <c r="E112" s="728" t="s">
        <v>1729</v>
      </c>
      <c r="F112" s="729">
        <f>-'kontrola LD'!G356</f>
        <v>0</v>
      </c>
      <c r="G112" s="729">
        <f>-'kontrola LD'!H356</f>
        <v>0</v>
      </c>
      <c r="H112" s="731"/>
      <c r="I112" s="731"/>
    </row>
    <row r="113" spans="1:9" s="723" customFormat="1" ht="11.25" customHeight="1" x14ac:dyDescent="0.2">
      <c r="A113" s="726"/>
      <c r="B113" s="726"/>
      <c r="C113" s="726" t="s">
        <v>937</v>
      </c>
      <c r="D113" s="727" t="s">
        <v>256</v>
      </c>
      <c r="E113" s="728" t="s">
        <v>1730</v>
      </c>
      <c r="F113" s="729">
        <f>-'kontrola LD'!G357</f>
        <v>0</v>
      </c>
      <c r="G113" s="729">
        <f>-'kontrola LD'!H357</f>
        <v>0</v>
      </c>
      <c r="H113" s="731"/>
      <c r="I113" s="731"/>
    </row>
    <row r="114" spans="1:9" s="723" customFormat="1" ht="11.25" customHeight="1" x14ac:dyDescent="0.2">
      <c r="A114" s="726"/>
      <c r="B114" s="726"/>
      <c r="C114" s="726" t="s">
        <v>938</v>
      </c>
      <c r="D114" s="727" t="s">
        <v>1925</v>
      </c>
      <c r="E114" s="728" t="s">
        <v>1731</v>
      </c>
      <c r="F114" s="729">
        <f>-'kontrola LD'!G358-'kontrola LD'!G359</f>
        <v>0</v>
      </c>
      <c r="G114" s="729">
        <f>-'kontrola LD'!H358-'kontrola LD'!H359</f>
        <v>0</v>
      </c>
      <c r="H114" s="731"/>
      <c r="I114" s="731"/>
    </row>
    <row r="115" spans="1:9" s="723" customFormat="1" ht="11.25" customHeight="1" x14ac:dyDescent="0.2">
      <c r="A115" s="726"/>
      <c r="B115" s="726"/>
      <c r="C115" s="726"/>
      <c r="D115" s="727"/>
      <c r="E115" s="726"/>
      <c r="F115" s="731"/>
      <c r="G115" s="731"/>
      <c r="H115" s="731"/>
      <c r="I115" s="731"/>
    </row>
    <row r="116" spans="1:9" s="723" customFormat="1" ht="11.25" customHeight="1" x14ac:dyDescent="0.2">
      <c r="A116" s="719"/>
      <c r="B116" s="719" t="s">
        <v>1750</v>
      </c>
      <c r="C116" s="719"/>
      <c r="D116" s="720" t="s">
        <v>1423</v>
      </c>
      <c r="E116" s="721" t="s">
        <v>1732</v>
      </c>
      <c r="F116" s="722">
        <f>F117+F118</f>
        <v>-9769.3700000000008</v>
      </c>
      <c r="G116" s="722">
        <f>SUM(G117:G118)</f>
        <v>0</v>
      </c>
      <c r="H116" s="724"/>
      <c r="I116" s="724"/>
    </row>
    <row r="117" spans="1:9" s="723" customFormat="1" ht="11.25" customHeight="1" x14ac:dyDescent="0.2">
      <c r="A117" s="726"/>
      <c r="B117" s="726"/>
      <c r="C117" s="726" t="s">
        <v>935</v>
      </c>
      <c r="D117" s="727" t="s">
        <v>748</v>
      </c>
      <c r="E117" s="728" t="s">
        <v>1733</v>
      </c>
      <c r="F117" s="729">
        <f>-'kontrola LD'!G360</f>
        <v>0</v>
      </c>
      <c r="G117" s="729">
        <f>-'kontrola LD'!H360</f>
        <v>0</v>
      </c>
      <c r="H117" s="731"/>
      <c r="I117" s="731"/>
    </row>
    <row r="118" spans="1:9" s="723" customFormat="1" ht="11.25" customHeight="1" x14ac:dyDescent="0.2">
      <c r="A118" s="726"/>
      <c r="B118" s="726"/>
      <c r="C118" s="726" t="s">
        <v>937</v>
      </c>
      <c r="D118" s="727" t="s">
        <v>383</v>
      </c>
      <c r="E118" s="728" t="s">
        <v>1736</v>
      </c>
      <c r="F118" s="729">
        <f>-'kontrola LD'!G361</f>
        <v>-9769.3700000000008</v>
      </c>
      <c r="G118" s="729"/>
      <c r="H118" s="731"/>
      <c r="I118" s="731"/>
    </row>
    <row r="119" spans="1:9" s="723" customFormat="1" ht="11.25" customHeight="1" x14ac:dyDescent="0.2">
      <c r="A119" s="726"/>
      <c r="B119" s="726"/>
      <c r="C119" s="726"/>
      <c r="D119" s="727"/>
      <c r="E119" s="726"/>
      <c r="F119" s="731"/>
      <c r="G119" s="731"/>
      <c r="H119" s="731"/>
      <c r="I119" s="731"/>
    </row>
    <row r="120" spans="1:9" s="723" customFormat="1" ht="20.399999999999999" x14ac:dyDescent="0.2">
      <c r="A120" s="719"/>
      <c r="B120" s="719" t="s">
        <v>1751</v>
      </c>
      <c r="C120" s="719"/>
      <c r="D120" s="720" t="s">
        <v>1424</v>
      </c>
      <c r="E120" s="721" t="s">
        <v>1926</v>
      </c>
      <c r="F120" s="722">
        <f>H8-F97-F103-F111-F116-F122-F161</f>
        <v>-1388.659999999998</v>
      </c>
      <c r="G120" s="722">
        <v>-2001</v>
      </c>
      <c r="H120" s="724"/>
      <c r="I120" s="724"/>
    </row>
    <row r="121" spans="1:9" s="723" customFormat="1" ht="11.25" customHeight="1" x14ac:dyDescent="0.2">
      <c r="A121" s="719"/>
      <c r="B121" s="719"/>
      <c r="C121" s="719"/>
      <c r="D121" s="720"/>
      <c r="E121" s="719"/>
      <c r="F121" s="724"/>
      <c r="G121" s="724"/>
      <c r="H121" s="724"/>
      <c r="I121" s="724"/>
    </row>
    <row r="122" spans="1:9" s="723" customFormat="1" ht="11.25" customHeight="1" x14ac:dyDescent="0.2">
      <c r="A122" s="719" t="s">
        <v>933</v>
      </c>
      <c r="B122" s="719"/>
      <c r="C122" s="719"/>
      <c r="D122" s="720" t="s">
        <v>1425</v>
      </c>
      <c r="E122" s="721" t="s">
        <v>1738</v>
      </c>
      <c r="F122" s="722">
        <f>F124+F130+F143+F155+F157</f>
        <v>8627.0399999999991</v>
      </c>
      <c r="G122" s="722">
        <f>G124+G130+G143+G155+G157</f>
        <v>0</v>
      </c>
      <c r="H122" s="724"/>
      <c r="I122" s="724"/>
    </row>
    <row r="123" spans="1:9" s="723" customFormat="1" ht="11.25" customHeight="1" x14ac:dyDescent="0.2">
      <c r="A123" s="719"/>
      <c r="B123" s="719"/>
      <c r="C123" s="719"/>
      <c r="D123" s="720"/>
      <c r="E123" s="719"/>
      <c r="F123" s="724"/>
      <c r="G123" s="724"/>
      <c r="H123" s="724"/>
      <c r="I123" s="724"/>
    </row>
    <row r="124" spans="1:9" s="723" customFormat="1" ht="11.25" customHeight="1" x14ac:dyDescent="0.2">
      <c r="A124" s="719"/>
      <c r="B124" s="719" t="s">
        <v>942</v>
      </c>
      <c r="C124" s="719"/>
      <c r="D124" s="720" t="s">
        <v>1361</v>
      </c>
      <c r="E124" s="721" t="s">
        <v>1198</v>
      </c>
      <c r="F124" s="722">
        <f>F125+F126+F127+F128</f>
        <v>0</v>
      </c>
      <c r="G124" s="722">
        <f>SUM(G125:G128)</f>
        <v>0</v>
      </c>
      <c r="H124" s="724"/>
      <c r="I124" s="724"/>
    </row>
    <row r="125" spans="1:9" s="723" customFormat="1" ht="11.25" customHeight="1" x14ac:dyDescent="0.2">
      <c r="A125" s="726"/>
      <c r="B125" s="726"/>
      <c r="C125" s="726" t="s">
        <v>935</v>
      </c>
      <c r="D125" s="727" t="s">
        <v>2446</v>
      </c>
      <c r="E125" s="728" t="s">
        <v>2052</v>
      </c>
      <c r="F125" s="729">
        <f>'kontrola LD'!G368</f>
        <v>0</v>
      </c>
      <c r="G125" s="729">
        <f>'kontrola LD'!H368</f>
        <v>0</v>
      </c>
      <c r="H125" s="731"/>
      <c r="I125" s="731"/>
    </row>
    <row r="126" spans="1:9" s="723" customFormat="1" ht="11.25" customHeight="1" x14ac:dyDescent="0.2">
      <c r="A126" s="726"/>
      <c r="B126" s="726"/>
      <c r="C126" s="726" t="s">
        <v>937</v>
      </c>
      <c r="D126" s="727" t="s">
        <v>2860</v>
      </c>
      <c r="E126" s="728" t="s">
        <v>1542</v>
      </c>
      <c r="F126" s="729">
        <f>-('kontrola LD'!G369+'kontrola LD'!G209)</f>
        <v>0</v>
      </c>
      <c r="G126" s="729">
        <f>-'kontrola LD'!H209</f>
        <v>0</v>
      </c>
      <c r="H126" s="731"/>
      <c r="I126" s="731"/>
    </row>
    <row r="127" spans="1:9" s="723" customFormat="1" ht="11.25" customHeight="1" x14ac:dyDescent="0.2">
      <c r="A127" s="726"/>
      <c r="B127" s="726"/>
      <c r="C127" s="726" t="s">
        <v>938</v>
      </c>
      <c r="D127" s="727" t="s">
        <v>2051</v>
      </c>
      <c r="E127" s="728" t="s">
        <v>1300</v>
      </c>
      <c r="F127" s="729">
        <f>-'kontrola LD'!G370</f>
        <v>0</v>
      </c>
      <c r="G127" s="729">
        <f>-'kontrola LD'!H370</f>
        <v>0</v>
      </c>
      <c r="H127" s="731"/>
      <c r="I127" s="731"/>
    </row>
    <row r="128" spans="1:9" s="723" customFormat="1" ht="11.25" customHeight="1" x14ac:dyDescent="0.2">
      <c r="A128" s="726"/>
      <c r="B128" s="726"/>
      <c r="C128" s="726" t="s">
        <v>432</v>
      </c>
      <c r="D128" s="727" t="s">
        <v>2852</v>
      </c>
      <c r="E128" s="728" t="s">
        <v>2375</v>
      </c>
      <c r="F128" s="729">
        <f>-'kontrola LD'!G210</f>
        <v>0</v>
      </c>
      <c r="G128" s="729">
        <f>-'kontrola LD'!H210</f>
        <v>0</v>
      </c>
      <c r="H128" s="731"/>
      <c r="I128" s="731"/>
    </row>
    <row r="129" spans="1:9" s="723" customFormat="1" ht="11.25" customHeight="1" x14ac:dyDescent="0.2">
      <c r="A129" s="726"/>
      <c r="B129" s="726"/>
      <c r="C129" s="726"/>
      <c r="D129" s="727"/>
      <c r="E129" s="726"/>
      <c r="F129" s="731"/>
      <c r="G129" s="731"/>
      <c r="H129" s="731"/>
      <c r="I129" s="731"/>
    </row>
    <row r="130" spans="1:9" s="723" customFormat="1" ht="11.25" customHeight="1" x14ac:dyDescent="0.2">
      <c r="A130" s="719"/>
      <c r="B130" s="719" t="s">
        <v>943</v>
      </c>
      <c r="C130" s="719"/>
      <c r="D130" s="720" t="s">
        <v>1362</v>
      </c>
      <c r="E130" s="721" t="s">
        <v>2377</v>
      </c>
      <c r="F130" s="722">
        <f>F131+F133+F134+F135+F136+F137+F138+F139+F140+F141+F132</f>
        <v>0</v>
      </c>
      <c r="G130" s="722">
        <f>SUM(G131:G141)</f>
        <v>0</v>
      </c>
      <c r="H130" s="724"/>
      <c r="I130" s="724"/>
    </row>
    <row r="131" spans="1:9" s="723" customFormat="1" ht="11.25" customHeight="1" x14ac:dyDescent="0.2">
      <c r="A131" s="726"/>
      <c r="B131" s="726"/>
      <c r="C131" s="726" t="s">
        <v>935</v>
      </c>
      <c r="D131" s="727" t="s">
        <v>1566</v>
      </c>
      <c r="E131" s="728" t="s">
        <v>2379</v>
      </c>
      <c r="F131" s="729">
        <f>-'kontrola LD'!G402</f>
        <v>0</v>
      </c>
      <c r="G131" s="729">
        <f>-'kontrola LD'!H402</f>
        <v>0</v>
      </c>
      <c r="H131" s="731"/>
      <c r="I131" s="731"/>
    </row>
    <row r="132" spans="1:9" s="723" customFormat="1" ht="11.25" customHeight="1" x14ac:dyDescent="0.2">
      <c r="A132" s="726"/>
      <c r="B132" s="726"/>
      <c r="C132" s="726" t="s">
        <v>937</v>
      </c>
      <c r="D132" s="727" t="s">
        <v>650</v>
      </c>
      <c r="E132" s="728" t="s">
        <v>808</v>
      </c>
      <c r="F132" s="729">
        <f>'kontrola LD'!G203</f>
        <v>0</v>
      </c>
      <c r="G132" s="729">
        <f>'kontrola LD'!H203</f>
        <v>0</v>
      </c>
      <c r="H132" s="731"/>
      <c r="I132" s="731"/>
    </row>
    <row r="133" spans="1:9" s="723" customFormat="1" ht="11.25" customHeight="1" x14ac:dyDescent="0.2">
      <c r="A133" s="726"/>
      <c r="B133" s="726"/>
      <c r="C133" s="726" t="s">
        <v>938</v>
      </c>
      <c r="D133" s="727" t="s">
        <v>2370</v>
      </c>
      <c r="E133" s="728" t="s">
        <v>41</v>
      </c>
      <c r="F133" s="729">
        <f>-'kontrola LD'!G393</f>
        <v>0</v>
      </c>
      <c r="G133" s="729">
        <f>-'kontrola LD'!H393</f>
        <v>0</v>
      </c>
      <c r="H133" s="731"/>
      <c r="I133" s="731"/>
    </row>
    <row r="134" spans="1:9" s="723" customFormat="1" ht="11.25" customHeight="1" x14ac:dyDescent="0.2">
      <c r="A134" s="726"/>
      <c r="B134" s="726"/>
      <c r="C134" s="726" t="s">
        <v>432</v>
      </c>
      <c r="D134" s="727" t="s">
        <v>49</v>
      </c>
      <c r="E134" s="728" t="s">
        <v>1499</v>
      </c>
      <c r="F134" s="729">
        <f>-'kontrola LD'!G381</f>
        <v>0</v>
      </c>
      <c r="G134" s="729">
        <f>-'kontrola LD'!H381</f>
        <v>0</v>
      </c>
      <c r="H134" s="731"/>
      <c r="I134" s="731"/>
    </row>
    <row r="135" spans="1:9" s="723" customFormat="1" ht="11.25" customHeight="1" x14ac:dyDescent="0.2">
      <c r="A135" s="726"/>
      <c r="B135" s="726"/>
      <c r="C135" s="726" t="s">
        <v>1089</v>
      </c>
      <c r="D135" s="727" t="s">
        <v>271</v>
      </c>
      <c r="E135" s="728" t="s">
        <v>274</v>
      </c>
      <c r="F135" s="729">
        <f>-'kontrola LD'!G382</f>
        <v>0</v>
      </c>
      <c r="G135" s="729">
        <f>-'kontrola LD'!H382</f>
        <v>0</v>
      </c>
      <c r="H135" s="731"/>
      <c r="I135" s="731"/>
    </row>
    <row r="136" spans="1:9" s="723" customFormat="1" ht="11.25" customHeight="1" x14ac:dyDescent="0.2">
      <c r="A136" s="726"/>
      <c r="B136" s="726"/>
      <c r="C136" s="726" t="s">
        <v>939</v>
      </c>
      <c r="D136" s="727" t="s">
        <v>335</v>
      </c>
      <c r="E136" s="728" t="s">
        <v>276</v>
      </c>
      <c r="F136" s="729">
        <f>-'kontrola LD'!G392</f>
        <v>0</v>
      </c>
      <c r="G136" s="729">
        <f>-'kontrola LD'!H392</f>
        <v>0</v>
      </c>
      <c r="H136" s="731"/>
      <c r="I136" s="731"/>
    </row>
    <row r="137" spans="1:9" s="723" customFormat="1" ht="11.25" customHeight="1" x14ac:dyDescent="0.2">
      <c r="A137" s="726"/>
      <c r="B137" s="726"/>
      <c r="C137" s="726" t="s">
        <v>940</v>
      </c>
      <c r="D137" s="727" t="s">
        <v>699</v>
      </c>
      <c r="E137" s="728" t="s">
        <v>278</v>
      </c>
      <c r="F137" s="729">
        <f>-'kontrola LD'!G396</f>
        <v>0</v>
      </c>
      <c r="G137" s="729">
        <f>-'kontrola LD'!H396</f>
        <v>0</v>
      </c>
      <c r="H137" s="731"/>
      <c r="I137" s="731"/>
    </row>
    <row r="138" spans="1:9" s="723" customFormat="1" ht="11.25" customHeight="1" x14ac:dyDescent="0.2">
      <c r="A138" s="726"/>
      <c r="B138" s="726"/>
      <c r="C138" s="726" t="s">
        <v>936</v>
      </c>
      <c r="D138" s="727" t="s">
        <v>272</v>
      </c>
      <c r="E138" s="728" t="s">
        <v>2411</v>
      </c>
      <c r="F138" s="729">
        <f>-'kontrola LD'!G386-'kontrola LD'!G165</f>
        <v>0</v>
      </c>
      <c r="G138" s="729">
        <f>-'kontrola LD'!H386-'kontrola LD'!H165</f>
        <v>0</v>
      </c>
      <c r="H138" s="731"/>
      <c r="I138" s="731"/>
    </row>
    <row r="139" spans="1:9" s="723" customFormat="1" ht="11.25" customHeight="1" x14ac:dyDescent="0.2">
      <c r="A139" s="726"/>
      <c r="B139" s="726"/>
      <c r="C139" s="726" t="s">
        <v>941</v>
      </c>
      <c r="D139" s="727" t="s">
        <v>273</v>
      </c>
      <c r="E139" s="728" t="s">
        <v>2412</v>
      </c>
      <c r="F139" s="729">
        <f>-'kontrola LD'!G383</f>
        <v>0</v>
      </c>
      <c r="G139" s="729">
        <f>-'kontrola LD'!H383</f>
        <v>0</v>
      </c>
      <c r="H139" s="731"/>
      <c r="I139" s="731"/>
    </row>
    <row r="140" spans="1:9" s="723" customFormat="1" ht="11.25" customHeight="1" x14ac:dyDescent="0.2">
      <c r="A140" s="726"/>
      <c r="B140" s="726"/>
      <c r="C140" s="726" t="s">
        <v>259</v>
      </c>
      <c r="D140" s="727" t="s">
        <v>275</v>
      </c>
      <c r="E140" s="728" t="s">
        <v>2413</v>
      </c>
      <c r="F140" s="729">
        <f>-'kontrola LD'!G278-'kontrola LD'!G295-'kontrola LD'!G283-'kontrola LD'!G303-'kontrola LD'!G389</f>
        <v>0</v>
      </c>
      <c r="G140" s="729">
        <f>-'kontrola LD'!H278-'kontrola LD'!H295-'kontrola LD'!H283-'kontrola LD'!H303-'kontrola LD'!H389</f>
        <v>0</v>
      </c>
      <c r="H140" s="731"/>
      <c r="I140" s="731"/>
    </row>
    <row r="141" spans="1:9" s="723" customFormat="1" ht="11.25" customHeight="1" x14ac:dyDescent="0.2">
      <c r="A141" s="726"/>
      <c r="B141" s="726"/>
      <c r="C141" s="726" t="s">
        <v>260</v>
      </c>
      <c r="D141" s="727" t="s">
        <v>277</v>
      </c>
      <c r="E141" s="728" t="s">
        <v>281</v>
      </c>
      <c r="F141" s="729">
        <f>-'kontrola LD'!G406</f>
        <v>0</v>
      </c>
      <c r="G141" s="729">
        <f>-'kontrola LD'!H406</f>
        <v>0</v>
      </c>
      <c r="H141" s="731"/>
      <c r="I141" s="731"/>
    </row>
    <row r="142" spans="1:9" s="723" customFormat="1" ht="11.25" customHeight="1" x14ac:dyDescent="0.2">
      <c r="A142" s="726"/>
      <c r="B142" s="726"/>
      <c r="C142" s="726"/>
      <c r="D142" s="727"/>
      <c r="E142" s="726"/>
      <c r="F142" s="731"/>
      <c r="G142" s="731"/>
      <c r="H142" s="731"/>
      <c r="I142" s="731"/>
    </row>
    <row r="143" spans="1:9" s="723" customFormat="1" ht="11.25" customHeight="1" x14ac:dyDescent="0.2">
      <c r="A143" s="719"/>
      <c r="B143" s="719" t="s">
        <v>279</v>
      </c>
      <c r="C143" s="719"/>
      <c r="D143" s="720" t="s">
        <v>1363</v>
      </c>
      <c r="E143" s="721" t="s">
        <v>989</v>
      </c>
      <c r="F143" s="722">
        <f>F144+F146+F147+F148+F149+F150+F151+F152+F153+F145</f>
        <v>8627.0399999999991</v>
      </c>
      <c r="G143" s="722">
        <f>SUM(G144:G153)</f>
        <v>0</v>
      </c>
      <c r="H143" s="724"/>
      <c r="I143" s="724"/>
    </row>
    <row r="144" spans="1:9" s="723" customFormat="1" ht="11.25" customHeight="1" x14ac:dyDescent="0.2">
      <c r="A144" s="726"/>
      <c r="B144" s="726"/>
      <c r="C144" s="726" t="s">
        <v>935</v>
      </c>
      <c r="D144" s="727" t="s">
        <v>280</v>
      </c>
      <c r="E144" s="728" t="s">
        <v>2414</v>
      </c>
      <c r="F144" s="729">
        <f>-'kontrola LD'!G206-'kontrola LD'!G207-'kontrola LD'!G211-'kontrola LD'!G212-'kontrola LD'!G391-'kontrola LD'!G395-'kontrola LD'!G399</f>
        <v>29.839999999999918</v>
      </c>
      <c r="G144" s="729">
        <f>-'kontrola LD'!H206-'kontrola LD'!H207-'kontrola LD'!H211-'kontrola LD'!H212-'kontrola LD'!H391-'kontrola LD'!H395-'kontrola LD'!H399</f>
        <v>0</v>
      </c>
      <c r="H144" s="731"/>
      <c r="I144" s="731"/>
    </row>
    <row r="145" spans="1:9" s="723" customFormat="1" ht="11.25" customHeight="1" x14ac:dyDescent="0.2">
      <c r="A145" s="726"/>
      <c r="B145" s="726"/>
      <c r="C145" s="726" t="s">
        <v>937</v>
      </c>
      <c r="D145" s="727" t="s">
        <v>649</v>
      </c>
      <c r="E145" s="728" t="s">
        <v>2415</v>
      </c>
      <c r="F145" s="729">
        <f>'kontrola LD'!G202</f>
        <v>0</v>
      </c>
      <c r="G145" s="729">
        <f>'kontrola LD'!H202</f>
        <v>0</v>
      </c>
      <c r="H145" s="731"/>
      <c r="I145" s="731"/>
    </row>
    <row r="146" spans="1:9" s="723" customFormat="1" ht="11.25" customHeight="1" x14ac:dyDescent="0.2">
      <c r="A146" s="726"/>
      <c r="B146" s="726"/>
      <c r="C146" s="726" t="s">
        <v>938</v>
      </c>
      <c r="D146" s="727" t="s">
        <v>2371</v>
      </c>
      <c r="E146" s="728" t="s">
        <v>2416</v>
      </c>
      <c r="F146" s="729">
        <f>-'kontrola LD'!G213</f>
        <v>0</v>
      </c>
      <c r="G146" s="729">
        <f>-'kontrola LD'!H213</f>
        <v>0</v>
      </c>
      <c r="H146" s="731"/>
      <c r="I146" s="731"/>
    </row>
    <row r="147" spans="1:9" s="723" customFormat="1" ht="11.25" customHeight="1" x14ac:dyDescent="0.2">
      <c r="A147" s="726"/>
      <c r="B147" s="726"/>
      <c r="C147" s="726" t="s">
        <v>432</v>
      </c>
      <c r="D147" s="727" t="s">
        <v>50</v>
      </c>
      <c r="E147" s="728" t="s">
        <v>2417</v>
      </c>
      <c r="F147" s="729">
        <f>-'kontrola LD'!G264-'kontrola LD'!G379</f>
        <v>0</v>
      </c>
      <c r="G147" s="729">
        <f>-'kontrola LD'!H264-'kontrola LD'!H379</f>
        <v>0</v>
      </c>
      <c r="H147" s="731"/>
      <c r="I147" s="731"/>
    </row>
    <row r="148" spans="1:9" s="723" customFormat="1" ht="11.25" customHeight="1" x14ac:dyDescent="0.2">
      <c r="A148" s="726"/>
      <c r="B148" s="726"/>
      <c r="C148" s="726" t="s">
        <v>1089</v>
      </c>
      <c r="D148" s="727" t="s">
        <v>988</v>
      </c>
      <c r="E148" s="728" t="s">
        <v>993</v>
      </c>
      <c r="F148" s="729">
        <f>-'kontrola LD'!G265-'kontrola LD'!G380</f>
        <v>0</v>
      </c>
      <c r="G148" s="729">
        <f>-'kontrola LD'!H265-'kontrola LD'!H380</f>
        <v>0</v>
      </c>
      <c r="H148" s="731"/>
      <c r="I148" s="731"/>
    </row>
    <row r="149" spans="1:9" s="723" customFormat="1" ht="11.25" customHeight="1" x14ac:dyDescent="0.2">
      <c r="A149" s="726"/>
      <c r="B149" s="726"/>
      <c r="C149" s="726" t="s">
        <v>939</v>
      </c>
      <c r="D149" s="727" t="s">
        <v>2372</v>
      </c>
      <c r="E149" s="728" t="s">
        <v>994</v>
      </c>
      <c r="F149" s="729">
        <f>-'kontrola LD'!G266-'kontrola LD'!G267-'kontrola LD'!G268-'kontrola LD'!G269-'kontrola LD'!G270-'kontrola LD'!G340-'kontrola LD'!G397-'kontrola LD'!G400</f>
        <v>1790</v>
      </c>
      <c r="G149" s="729">
        <f>-'kontrola LD'!H266-'kontrola LD'!H267-'kontrola LD'!H268-'kontrola LD'!H269-'kontrola LD'!H270-'kontrola LD'!H340-'kontrola LD'!H397-'kontrola LD'!H400</f>
        <v>0</v>
      </c>
      <c r="H149" s="731"/>
      <c r="I149" s="731"/>
    </row>
    <row r="150" spans="1:9" s="723" customFormat="1" ht="11.25" customHeight="1" x14ac:dyDescent="0.2">
      <c r="A150" s="726"/>
      <c r="B150" s="726"/>
      <c r="C150" s="726" t="s">
        <v>940</v>
      </c>
      <c r="D150" s="727" t="s">
        <v>990</v>
      </c>
      <c r="E150" s="728" t="s">
        <v>996</v>
      </c>
      <c r="F150" s="729">
        <f>-'kontrola LD'!G216-'kontrola LD'!G217</f>
        <v>0</v>
      </c>
      <c r="G150" s="729">
        <f>-('kontrola LD'!H216+'kontrola LD'!H217)</f>
        <v>0</v>
      </c>
      <c r="H150" s="731"/>
      <c r="I150" s="731"/>
    </row>
    <row r="151" spans="1:9" s="723" customFormat="1" ht="11.25" customHeight="1" x14ac:dyDescent="0.2">
      <c r="A151" s="726"/>
      <c r="B151" s="726"/>
      <c r="C151" s="726" t="s">
        <v>936</v>
      </c>
      <c r="D151" s="727" t="s">
        <v>51</v>
      </c>
      <c r="E151" s="728" t="s">
        <v>998</v>
      </c>
      <c r="F151" s="729">
        <f>-'kontrola LD'!G223</f>
        <v>0</v>
      </c>
      <c r="G151" s="729">
        <f>-'kontrola LD'!H223</f>
        <v>0</v>
      </c>
      <c r="H151" s="731"/>
      <c r="I151" s="731"/>
    </row>
    <row r="152" spans="1:9" s="723" customFormat="1" ht="11.25" customHeight="1" x14ac:dyDescent="0.2">
      <c r="A152" s="726"/>
      <c r="B152" s="726"/>
      <c r="C152" s="726" t="s">
        <v>941</v>
      </c>
      <c r="D152" s="727" t="s">
        <v>991</v>
      </c>
      <c r="E152" s="728" t="s">
        <v>1000</v>
      </c>
      <c r="F152" s="729">
        <f>-'kontrola LD'!G228-'kontrola LD'!G231-'kontrola LD'!G234-'kontrola LD'!G237-'kontrola LD'!G240-'kontrola LD'!G243</f>
        <v>6807.2</v>
      </c>
      <c r="G152" s="729"/>
      <c r="H152" s="731"/>
      <c r="I152" s="731"/>
    </row>
    <row r="153" spans="1:9" s="723" customFormat="1" ht="11.25" customHeight="1" x14ac:dyDescent="0.2">
      <c r="A153" s="726"/>
      <c r="B153" s="726"/>
      <c r="C153" s="726" t="s">
        <v>259</v>
      </c>
      <c r="D153" s="727" t="s">
        <v>992</v>
      </c>
      <c r="E153" s="728" t="s">
        <v>1001</v>
      </c>
      <c r="F153" s="729">
        <f>-'kontrola LD'!G277-'kontrola LD'!G282-'kontrola LD'!G294-'kontrola LD'!G388-'kontrola LD'!G401-'kontrola LD'!G302</f>
        <v>0</v>
      </c>
      <c r="G153" s="729">
        <f>-'kontrola LD'!H277-'kontrola LD'!H282-'kontrola LD'!H294-'kontrola LD'!H388-'kontrola LD'!H401-'kontrola LD'!H302</f>
        <v>0</v>
      </c>
      <c r="H153" s="731"/>
      <c r="I153" s="731"/>
    </row>
    <row r="154" spans="1:9" s="723" customFormat="1" ht="11.25" customHeight="1" x14ac:dyDescent="0.2">
      <c r="A154" s="726"/>
      <c r="B154" s="726"/>
      <c r="C154" s="726"/>
      <c r="D154" s="727"/>
      <c r="E154" s="726"/>
      <c r="F154" s="731"/>
      <c r="G154" s="731"/>
      <c r="H154" s="731"/>
      <c r="I154" s="731"/>
    </row>
    <row r="155" spans="1:9" s="723" customFormat="1" ht="11.25" customHeight="1" x14ac:dyDescent="0.2">
      <c r="A155" s="726"/>
      <c r="B155" s="719" t="s">
        <v>1752</v>
      </c>
      <c r="C155" s="726"/>
      <c r="D155" s="720" t="s">
        <v>999</v>
      </c>
      <c r="E155" s="721" t="s">
        <v>1002</v>
      </c>
      <c r="F155" s="742">
        <f>-'kontrola LD'!G155-'kontrola LD'!G156-'kontrola LD'!G385-'kontrola LD'!G164</f>
        <v>0</v>
      </c>
      <c r="G155" s="742">
        <f>-'kontrola LD'!H155-'kontrola LD'!H156-'kontrola LD'!H385-'kontrola LD'!H164</f>
        <v>0</v>
      </c>
      <c r="H155" s="731"/>
      <c r="I155" s="731"/>
    </row>
    <row r="156" spans="1:9" s="723" customFormat="1" ht="11.25" customHeight="1" x14ac:dyDescent="0.2">
      <c r="A156" s="726"/>
      <c r="B156" s="719"/>
      <c r="C156" s="726"/>
      <c r="D156" s="727"/>
      <c r="E156" s="726"/>
      <c r="F156" s="731"/>
      <c r="G156" s="731"/>
      <c r="H156" s="731"/>
      <c r="I156" s="731"/>
    </row>
    <row r="157" spans="1:9" s="723" customFormat="1" ht="11.25" customHeight="1" x14ac:dyDescent="0.2">
      <c r="A157" s="719"/>
      <c r="B157" s="719" t="s">
        <v>2451</v>
      </c>
      <c r="C157" s="719"/>
      <c r="D157" s="720" t="s">
        <v>1364</v>
      </c>
      <c r="E157" s="721" t="s">
        <v>1003</v>
      </c>
      <c r="F157" s="722">
        <f>F158+F159</f>
        <v>0</v>
      </c>
      <c r="G157" s="722">
        <f>SUM(G158:G159)</f>
        <v>0</v>
      </c>
      <c r="H157" s="724"/>
      <c r="I157" s="724"/>
    </row>
    <row r="158" spans="1:9" s="723" customFormat="1" ht="11.25" customHeight="1" x14ac:dyDescent="0.2">
      <c r="A158" s="726"/>
      <c r="B158" s="726"/>
      <c r="C158" s="726" t="s">
        <v>935</v>
      </c>
      <c r="D158" s="727" t="s">
        <v>995</v>
      </c>
      <c r="E158" s="728" t="s">
        <v>2448</v>
      </c>
      <c r="F158" s="729">
        <f>-'kontrola LD'!G375</f>
        <v>0</v>
      </c>
      <c r="G158" s="729">
        <f>-'kontrola LD'!H375</f>
        <v>0</v>
      </c>
      <c r="H158" s="731"/>
      <c r="I158" s="731"/>
    </row>
    <row r="159" spans="1:9" s="723" customFormat="1" ht="11.25" customHeight="1" x14ac:dyDescent="0.2">
      <c r="A159" s="726"/>
      <c r="B159" s="726"/>
      <c r="C159" s="726" t="s">
        <v>937</v>
      </c>
      <c r="D159" s="727" t="s">
        <v>997</v>
      </c>
      <c r="E159" s="728" t="s">
        <v>2449</v>
      </c>
      <c r="F159" s="729">
        <f>-'kontrola LD'!G374-'kontrola LD'!G148-'kontrola LD'!G151-'kontrola LD'!G152</f>
        <v>0</v>
      </c>
      <c r="G159" s="729">
        <f>-'kontrola LD'!H374-'kontrola LD'!H148-'kontrola LD'!H151-'kontrola LD'!H152</f>
        <v>0</v>
      </c>
      <c r="H159" s="731"/>
      <c r="I159" s="731"/>
    </row>
    <row r="160" spans="1:9" s="723" customFormat="1" ht="11.25" customHeight="1" x14ac:dyDescent="0.2">
      <c r="A160" s="726"/>
      <c r="B160" s="726"/>
      <c r="C160" s="726"/>
      <c r="D160" s="727"/>
      <c r="E160" s="726"/>
      <c r="F160" s="731"/>
      <c r="G160" s="731"/>
      <c r="H160" s="731"/>
      <c r="I160" s="731"/>
    </row>
    <row r="161" spans="1:9" s="723" customFormat="1" ht="11.25" customHeight="1" x14ac:dyDescent="0.2">
      <c r="A161" s="719" t="s">
        <v>261</v>
      </c>
      <c r="B161" s="719"/>
      <c r="C161" s="719"/>
      <c r="D161" s="720" t="s">
        <v>2373</v>
      </c>
      <c r="E161" s="721" t="s">
        <v>2450</v>
      </c>
      <c r="F161" s="722">
        <f>F163+F164+F165+F166</f>
        <v>0</v>
      </c>
      <c r="G161" s="722">
        <f>SUM(G163:G166)</f>
        <v>0</v>
      </c>
      <c r="H161" s="724"/>
      <c r="I161" s="724"/>
    </row>
    <row r="162" spans="1:9" s="723" customFormat="1" ht="11.25" customHeight="1" x14ac:dyDescent="0.2">
      <c r="A162" s="719"/>
      <c r="B162" s="719"/>
      <c r="C162" s="719"/>
      <c r="D162" s="720"/>
      <c r="E162" s="719"/>
      <c r="F162" s="724"/>
      <c r="G162" s="724"/>
      <c r="H162" s="724"/>
      <c r="I162" s="724"/>
    </row>
    <row r="163" spans="1:9" s="723" customFormat="1" ht="11.25" customHeight="1" x14ac:dyDescent="0.2">
      <c r="A163" s="726"/>
      <c r="B163" s="726"/>
      <c r="C163" s="726" t="s">
        <v>935</v>
      </c>
      <c r="D163" s="727" t="s">
        <v>1365</v>
      </c>
      <c r="E163" s="728" t="s">
        <v>2456</v>
      </c>
      <c r="F163" s="729">
        <f>-'kontrola LD'!G313</f>
        <v>0</v>
      </c>
      <c r="G163" s="729">
        <f>-'kontrola LD'!H313</f>
        <v>0</v>
      </c>
      <c r="H163" s="731"/>
      <c r="I163" s="731"/>
    </row>
    <row r="164" spans="1:9" s="723" customFormat="1" ht="11.25" customHeight="1" x14ac:dyDescent="0.2">
      <c r="A164" s="726"/>
      <c r="B164" s="726"/>
      <c r="C164" s="726" t="s">
        <v>937</v>
      </c>
      <c r="D164" s="727" t="s">
        <v>1366</v>
      </c>
      <c r="E164" s="728" t="s">
        <v>2457</v>
      </c>
      <c r="F164" s="729">
        <f>-'kontrola LD'!G314</f>
        <v>0</v>
      </c>
      <c r="G164" s="729">
        <f>-'kontrola LD'!H314</f>
        <v>0</v>
      </c>
      <c r="H164" s="731"/>
      <c r="I164" s="731"/>
    </row>
    <row r="165" spans="1:9" s="723" customFormat="1" ht="11.25" customHeight="1" x14ac:dyDescent="0.2">
      <c r="A165" s="726"/>
      <c r="B165" s="726"/>
      <c r="C165" s="726" t="s">
        <v>938</v>
      </c>
      <c r="D165" s="727" t="s">
        <v>2454</v>
      </c>
      <c r="E165" s="728" t="s">
        <v>643</v>
      </c>
      <c r="F165" s="729">
        <f>-'kontrola LD'!G316</f>
        <v>0</v>
      </c>
      <c r="G165" s="729">
        <f>-'kontrola LD'!H316</f>
        <v>0</v>
      </c>
      <c r="H165" s="731"/>
      <c r="I165" s="731"/>
    </row>
    <row r="166" spans="1:9" s="723" customFormat="1" ht="11.25" customHeight="1" x14ac:dyDescent="0.2">
      <c r="A166" s="726"/>
      <c r="B166" s="726"/>
      <c r="C166" s="726" t="s">
        <v>432</v>
      </c>
      <c r="D166" s="727" t="s">
        <v>2455</v>
      </c>
      <c r="E166" s="728" t="s">
        <v>651</v>
      </c>
      <c r="F166" s="729">
        <f>-'kontrola LD'!G317</f>
        <v>0</v>
      </c>
      <c r="G166" s="729">
        <f>-'kontrola LD'!H317</f>
        <v>0</v>
      </c>
      <c r="H166" s="731"/>
      <c r="I166" s="731"/>
    </row>
    <row r="167" spans="1:9" s="723" customFormat="1" ht="11.25" customHeight="1" x14ac:dyDescent="0.2">
      <c r="A167" s="726"/>
      <c r="B167" s="726"/>
      <c r="C167" s="726"/>
      <c r="D167" s="727"/>
      <c r="E167" s="726"/>
      <c r="F167" s="731"/>
      <c r="G167" s="731"/>
      <c r="H167" s="731"/>
      <c r="I167" s="731"/>
    </row>
    <row r="168" spans="1:9" s="723" customFormat="1" ht="11.25" customHeight="1" x14ac:dyDescent="0.2">
      <c r="A168" s="719"/>
      <c r="B168" s="719"/>
      <c r="C168" s="719"/>
      <c r="D168" s="720" t="s">
        <v>1367</v>
      </c>
      <c r="E168" s="721" t="s">
        <v>2466</v>
      </c>
      <c r="F168" s="722"/>
      <c r="G168" s="722"/>
      <c r="H168" s="724"/>
      <c r="I168" s="724"/>
    </row>
    <row r="172" spans="1:9" x14ac:dyDescent="0.2">
      <c r="D172" s="745" t="s">
        <v>1563</v>
      </c>
      <c r="E172" s="746" t="str">
        <f>IF(AND(H173="OK",I173="OK",H174="OK",I174="OK"),"OK","ERROR")</f>
        <v>ERROR</v>
      </c>
    </row>
    <row r="173" spans="1:9" x14ac:dyDescent="0.2">
      <c r="D173" s="747" t="s">
        <v>1562</v>
      </c>
      <c r="E173" s="748"/>
      <c r="F173" s="749">
        <f>H8-F93</f>
        <v>0</v>
      </c>
      <c r="G173" s="750">
        <f>I8-G93</f>
        <v>-1076</v>
      </c>
      <c r="H173" s="751" t="str">
        <f>IF(AND(F173&lt;0.1,F173&gt;-0.1),"OK","E")</f>
        <v>OK</v>
      </c>
      <c r="I173" s="751" t="str">
        <f>IF(AND(G173&lt;0.1,G173&gt;-0.1),"OK","E")</f>
        <v>E</v>
      </c>
    </row>
    <row r="174" spans="1:9" x14ac:dyDescent="0.2">
      <c r="D174" s="747" t="s">
        <v>1564</v>
      </c>
      <c r="E174" s="748"/>
      <c r="F174" s="749">
        <f>'kontrola LD'!G487+'kontrola LD'!G412+F120</f>
        <v>-6.9999999998117346E-2</v>
      </c>
      <c r="G174" s="750">
        <f>SUM('kontrola LD'!H487+'kontrola LD'!H412)+G120</f>
        <v>-2001</v>
      </c>
      <c r="H174" s="751" t="str">
        <f>IF(AND(F174&lt;1,F174&gt;-1),"OK","E")</f>
        <v>OK</v>
      </c>
      <c r="I174" s="751" t="str">
        <f>IF(AND(G174&lt;1,G174&gt;-1),"OK","E")</f>
        <v>E</v>
      </c>
    </row>
    <row r="175" spans="1:9" x14ac:dyDescent="0.2">
      <c r="D175" s="752"/>
    </row>
    <row r="176" spans="1:9" x14ac:dyDescent="0.2">
      <c r="D176" s="752"/>
    </row>
    <row r="177" spans="4:4" x14ac:dyDescent="0.2">
      <c r="D177" s="752"/>
    </row>
    <row r="178" spans="4:4" x14ac:dyDescent="0.2">
      <c r="D178" s="752"/>
    </row>
    <row r="179" spans="4:4" x14ac:dyDescent="0.2">
      <c r="D179" s="752"/>
    </row>
    <row r="180" spans="4:4" x14ac:dyDescent="0.2">
      <c r="D180" s="752"/>
    </row>
  </sheetData>
  <sheetProtection insertColumns="0" insertRows="0"/>
  <customSheetViews>
    <customSheetView guid="{305BD771-46DB-4130-A6E1-9C92E07EE410}" showRuler="0" topLeftCell="C81">
      <selection activeCell="L64" sqref="L64"/>
      <rowBreaks count="1" manualBreakCount="1">
        <brk id="85" max="16383" man="1"/>
      </rowBreaks>
      <pageMargins left="0.25" right="0.23" top="0.5" bottom="0.32" header="0.5" footer="0.28000000000000003"/>
      <pageSetup paperSize="9" scale="77" orientation="portrait" r:id="rId1"/>
      <headerFooter alignWithMargins="0"/>
    </customSheetView>
  </customSheetViews>
  <phoneticPr fontId="7" type="noConversion"/>
  <pageMargins left="0.25" right="0.23" top="0.5" bottom="0.32" header="0.5" footer="0.28000000000000003"/>
  <pageSetup paperSize="9" scale="77" orientation="portrait" r:id="rId2"/>
  <headerFooter alignWithMargins="0"/>
  <rowBreaks count="1" manualBreakCount="1">
    <brk id="8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4"/>
  </sheetPr>
  <dimension ref="A1:N92"/>
  <sheetViews>
    <sheetView workbookViewId="0">
      <pane ySplit="3" topLeftCell="A52" activePane="bottomLeft" state="frozen"/>
      <selection pane="bottomLeft" activeCell="G64" sqref="G64"/>
    </sheetView>
  </sheetViews>
  <sheetFormatPr defaultColWidth="9.109375" defaultRowHeight="10.199999999999999" x14ac:dyDescent="0.2"/>
  <cols>
    <col min="1" max="1" width="2.44140625" style="753" customWidth="1"/>
    <col min="2" max="2" width="4.44140625" style="696" customWidth="1"/>
    <col min="3" max="3" width="3.44140625" style="696" customWidth="1"/>
    <col min="4" max="4" width="2.88671875" style="696" customWidth="1"/>
    <col min="5" max="5" width="55.6640625" style="700" customWidth="1"/>
    <col min="6" max="6" width="5.109375" style="700" customWidth="1"/>
    <col min="7" max="7" width="12.44140625" style="700" customWidth="1"/>
    <col min="8" max="8" width="11.6640625" style="700" bestFit="1" customWidth="1"/>
    <col min="9" max="16384" width="9.109375" style="700"/>
  </cols>
  <sheetData>
    <row r="1" spans="1:9" ht="18" x14ac:dyDescent="0.35">
      <c r="B1" s="709"/>
      <c r="C1" s="709"/>
      <c r="E1" s="699" t="s">
        <v>1558</v>
      </c>
    </row>
    <row r="2" spans="1:9" ht="15.6" x14ac:dyDescent="0.3">
      <c r="B2" s="709"/>
      <c r="C2" s="709"/>
      <c r="D2" s="709"/>
      <c r="E2" s="754" t="e">
        <f>'BS-SK format'!D2</f>
        <v>#REF!</v>
      </c>
    </row>
    <row r="3" spans="1:9" x14ac:dyDescent="0.2">
      <c r="A3" s="702"/>
      <c r="B3" s="709"/>
      <c r="C3" s="709"/>
      <c r="D3" s="709"/>
      <c r="E3" s="708" t="e">
        <f>'BS-SK format'!D3</f>
        <v>#REF!</v>
      </c>
    </row>
    <row r="4" spans="1:9" x14ac:dyDescent="0.2">
      <c r="D4" s="709"/>
      <c r="F4" s="755" t="s">
        <v>424</v>
      </c>
      <c r="G4" s="756" t="s">
        <v>1753</v>
      </c>
      <c r="H4" s="755" t="s">
        <v>428</v>
      </c>
    </row>
    <row r="5" spans="1:9" x14ac:dyDescent="0.2">
      <c r="F5" s="755"/>
      <c r="G5" s="755" t="s">
        <v>2837</v>
      </c>
      <c r="H5" s="755" t="s">
        <v>2837</v>
      </c>
    </row>
    <row r="6" spans="1:9" x14ac:dyDescent="0.2">
      <c r="F6" s="757"/>
      <c r="G6" s="757"/>
      <c r="H6" s="757"/>
      <c r="I6" s="758"/>
    </row>
    <row r="7" spans="1:9" ht="11.25" customHeight="1" x14ac:dyDescent="0.2">
      <c r="A7" s="759"/>
      <c r="B7" s="726" t="s">
        <v>2155</v>
      </c>
      <c r="C7" s="726"/>
      <c r="E7" s="759" t="s">
        <v>2830</v>
      </c>
      <c r="F7" s="728" t="s">
        <v>2211</v>
      </c>
      <c r="G7" s="760">
        <f>-'kontrola LD'!G492-'kontrola LD'!G494</f>
        <v>0</v>
      </c>
      <c r="H7" s="760">
        <f>-'kontrola LD'!H492+'kontrola LD'!H494</f>
        <v>0</v>
      </c>
      <c r="I7" s="758"/>
    </row>
    <row r="8" spans="1:9" ht="11.25" customHeight="1" x14ac:dyDescent="0.2">
      <c r="A8" s="726" t="s">
        <v>697</v>
      </c>
      <c r="E8" s="759" t="s">
        <v>2831</v>
      </c>
      <c r="F8" s="728" t="s">
        <v>2212</v>
      </c>
      <c r="G8" s="729">
        <f>'kontrola LD'!G418+'kontrola LD'!G420+'kontrola LD'!G421+'kontrola LD'!G422</f>
        <v>0</v>
      </c>
      <c r="H8" s="729">
        <f>'kontrola LD'!H418+'kontrola LD'!H420+'kontrola LD'!H421+'kontrola LD'!H422</f>
        <v>0</v>
      </c>
      <c r="I8" s="758"/>
    </row>
    <row r="9" spans="1:9" ht="11.25" customHeight="1" x14ac:dyDescent="0.2">
      <c r="A9" s="726"/>
      <c r="E9" s="759"/>
      <c r="F9" s="726"/>
      <c r="G9" s="731"/>
      <c r="H9" s="731"/>
      <c r="I9" s="758"/>
    </row>
    <row r="10" spans="1:9" x14ac:dyDescent="0.2">
      <c r="C10" s="719" t="s">
        <v>1757</v>
      </c>
      <c r="E10" s="761" t="s">
        <v>1004</v>
      </c>
      <c r="F10" s="721" t="s">
        <v>2213</v>
      </c>
      <c r="G10" s="722">
        <f>G7-G8</f>
        <v>0</v>
      </c>
      <c r="H10" s="722">
        <f>H7-H8</f>
        <v>0</v>
      </c>
      <c r="I10" s="758"/>
    </row>
    <row r="11" spans="1:9" x14ac:dyDescent="0.2">
      <c r="C11" s="719"/>
      <c r="E11" s="761"/>
      <c r="F11" s="719"/>
      <c r="G11" s="724"/>
      <c r="H11" s="724"/>
      <c r="I11" s="758"/>
    </row>
    <row r="12" spans="1:9" x14ac:dyDescent="0.2">
      <c r="B12" s="719" t="s">
        <v>2156</v>
      </c>
      <c r="C12" s="719"/>
      <c r="E12" s="761" t="s">
        <v>1005</v>
      </c>
      <c r="F12" s="721" t="s">
        <v>2214</v>
      </c>
      <c r="G12" s="722">
        <f>G13+G14+G15</f>
        <v>0</v>
      </c>
      <c r="H12" s="722">
        <f>H13+H14+H15</f>
        <v>0</v>
      </c>
      <c r="I12" s="758"/>
    </row>
    <row r="13" spans="1:9" x14ac:dyDescent="0.2">
      <c r="B13" s="700"/>
      <c r="D13" s="696">
        <v>1</v>
      </c>
      <c r="E13" s="759" t="s">
        <v>2832</v>
      </c>
      <c r="F13" s="728" t="s">
        <v>442</v>
      </c>
      <c r="G13" s="729">
        <f>-'kontrola LD'!G490-'kontrola LD'!G491-'kontrola LD'!G493</f>
        <v>0</v>
      </c>
      <c r="H13" s="729">
        <f>-'kontrola LD'!H490-'kontrola LD'!H491+'kontrola LD'!H493</f>
        <v>0</v>
      </c>
      <c r="I13" s="758"/>
    </row>
    <row r="14" spans="1:9" x14ac:dyDescent="0.2">
      <c r="B14" s="700"/>
      <c r="D14" s="696">
        <v>2</v>
      </c>
      <c r="E14" s="759" t="s">
        <v>1006</v>
      </c>
      <c r="F14" s="728" t="s">
        <v>443</v>
      </c>
      <c r="G14" s="729">
        <f>-'kontrola LD'!G497-'kontrola LD'!G498-'kontrola LD'!G499-'kontrola LD'!G500</f>
        <v>0</v>
      </c>
      <c r="H14" s="729">
        <f>-'kontrola LD'!H497-'kontrola LD'!H498-'kontrola LD'!H499-'kontrola LD'!H500</f>
        <v>0</v>
      </c>
      <c r="I14" s="758"/>
    </row>
    <row r="15" spans="1:9" x14ac:dyDescent="0.2">
      <c r="B15" s="700"/>
      <c r="D15" s="696">
        <v>3</v>
      </c>
      <c r="E15" s="759" t="s">
        <v>1007</v>
      </c>
      <c r="F15" s="728" t="s">
        <v>444</v>
      </c>
      <c r="G15" s="729">
        <f>-'kontrola LD'!G503-'kontrola LD'!G504-'kontrola LD'!G505-'kontrola LD'!G506</f>
        <v>0</v>
      </c>
      <c r="H15" s="729">
        <f>-'kontrola LD'!H503-'kontrola LD'!H504-'kontrola LD'!H505-'kontrola LD'!H506</f>
        <v>0</v>
      </c>
      <c r="I15" s="758"/>
    </row>
    <row r="16" spans="1:9" x14ac:dyDescent="0.2">
      <c r="B16" s="700"/>
      <c r="E16" s="759"/>
      <c r="F16" s="726"/>
      <c r="G16" s="731"/>
      <c r="H16" s="731"/>
      <c r="I16" s="758"/>
    </row>
    <row r="17" spans="1:9" x14ac:dyDescent="0.2">
      <c r="A17" s="719" t="s">
        <v>698</v>
      </c>
      <c r="D17" s="700"/>
      <c r="E17" s="761" t="s">
        <v>1008</v>
      </c>
      <c r="F17" s="721" t="s">
        <v>445</v>
      </c>
      <c r="G17" s="722">
        <f>G18+G19</f>
        <v>408.59</v>
      </c>
      <c r="H17" s="722">
        <f>H18+H19</f>
        <v>0</v>
      </c>
      <c r="I17" s="758"/>
    </row>
    <row r="18" spans="1:9" ht="20.399999999999999" x14ac:dyDescent="0.2">
      <c r="B18" s="700"/>
      <c r="D18" s="696">
        <v>1</v>
      </c>
      <c r="E18" s="762" t="s">
        <v>52</v>
      </c>
      <c r="F18" s="728" t="s">
        <v>258</v>
      </c>
      <c r="G18" s="729">
        <f>'kontrola LD'!G415+'kontrola LD'!G416+'kontrola LD'!G417</f>
        <v>6.75</v>
      </c>
      <c r="H18" s="729">
        <f>'kontrola LD'!H415+'kontrola LD'!H416+'kontrola LD'!H417</f>
        <v>0</v>
      </c>
      <c r="I18" s="758"/>
    </row>
    <row r="19" spans="1:9" x14ac:dyDescent="0.2">
      <c r="B19" s="700"/>
      <c r="D19" s="696">
        <v>2</v>
      </c>
      <c r="E19" s="759" t="s">
        <v>1009</v>
      </c>
      <c r="F19" s="728" t="s">
        <v>259</v>
      </c>
      <c r="G19" s="729">
        <f>'kontrola LD'!G425+'kontrola LD'!G426+'kontrola LD'!G427+'kontrola LD'!G428</f>
        <v>401.84</v>
      </c>
      <c r="H19" s="729">
        <f>'kontrola LD'!H425+'kontrola LD'!H426+'kontrola LD'!H427+'kontrola LD'!H428</f>
        <v>0</v>
      </c>
      <c r="I19" s="758"/>
    </row>
    <row r="20" spans="1:9" x14ac:dyDescent="0.2">
      <c r="B20" s="700"/>
      <c r="E20" s="759"/>
      <c r="F20" s="726"/>
      <c r="G20" s="731"/>
      <c r="H20" s="731"/>
      <c r="I20" s="758"/>
    </row>
    <row r="21" spans="1:9" x14ac:dyDescent="0.2">
      <c r="C21" s="719" t="s">
        <v>1757</v>
      </c>
      <c r="D21" s="719"/>
      <c r="E21" s="761" t="s">
        <v>2634</v>
      </c>
      <c r="F21" s="721" t="s">
        <v>260</v>
      </c>
      <c r="G21" s="722">
        <f>G10+G12-G17</f>
        <v>-408.59</v>
      </c>
      <c r="H21" s="722">
        <f>H10+H12-H17</f>
        <v>0</v>
      </c>
      <c r="I21" s="758"/>
    </row>
    <row r="22" spans="1:9" x14ac:dyDescent="0.2">
      <c r="C22" s="719"/>
      <c r="D22" s="719"/>
      <c r="E22" s="761"/>
      <c r="F22" s="719"/>
      <c r="G22" s="724"/>
      <c r="H22" s="724"/>
      <c r="I22" s="758"/>
    </row>
    <row r="23" spans="1:9" x14ac:dyDescent="0.2">
      <c r="A23" s="726" t="s">
        <v>568</v>
      </c>
      <c r="D23" s="700"/>
      <c r="E23" s="759" t="s">
        <v>2215</v>
      </c>
      <c r="F23" s="763" t="s">
        <v>1739</v>
      </c>
      <c r="G23" s="742">
        <f>G24+G25+G26+G27</f>
        <v>0</v>
      </c>
      <c r="H23" s="742">
        <f>H24+H25+H26+H27</f>
        <v>0</v>
      </c>
      <c r="I23" s="758"/>
    </row>
    <row r="24" spans="1:9" x14ac:dyDescent="0.2">
      <c r="B24" s="700"/>
      <c r="D24" s="696">
        <v>1</v>
      </c>
      <c r="E24" s="759" t="s">
        <v>307</v>
      </c>
      <c r="F24" s="728" t="s">
        <v>1740</v>
      </c>
      <c r="G24" s="729">
        <f>'kontrola LD'!G431+'kontrola LD'!G432</f>
        <v>0</v>
      </c>
      <c r="H24" s="729">
        <f>'kontrola LD'!H431+'kontrola LD'!H432</f>
        <v>0</v>
      </c>
      <c r="I24" s="758"/>
    </row>
    <row r="25" spans="1:9" x14ac:dyDescent="0.2">
      <c r="B25" s="700"/>
      <c r="D25" s="696">
        <v>2</v>
      </c>
      <c r="E25" s="759" t="s">
        <v>2344</v>
      </c>
      <c r="F25" s="728" t="s">
        <v>1741</v>
      </c>
      <c r="G25" s="729">
        <f>'kontrola LD'!G433</f>
        <v>0</v>
      </c>
      <c r="H25" s="729">
        <f>'kontrola LD'!H433</f>
        <v>0</v>
      </c>
      <c r="I25" s="758"/>
    </row>
    <row r="26" spans="1:9" x14ac:dyDescent="0.2">
      <c r="B26" s="700"/>
      <c r="D26" s="696">
        <v>3</v>
      </c>
      <c r="E26" s="759" t="s">
        <v>2345</v>
      </c>
      <c r="F26" s="728" t="s">
        <v>1742</v>
      </c>
      <c r="G26" s="729">
        <f>'kontrola LD'!G434+'kontrola LD'!G435+'kontrola LD'!G436</f>
        <v>0</v>
      </c>
      <c r="H26" s="729">
        <f>'kontrola LD'!H434+'kontrola LD'!H435+'kontrola LD'!H436</f>
        <v>0</v>
      </c>
      <c r="I26" s="758"/>
    </row>
    <row r="27" spans="1:9" x14ac:dyDescent="0.2">
      <c r="B27" s="700"/>
      <c r="D27" s="696">
        <v>4</v>
      </c>
      <c r="E27" s="759" t="s">
        <v>2346</v>
      </c>
      <c r="F27" s="728" t="s">
        <v>171</v>
      </c>
      <c r="G27" s="729">
        <f>'kontrola LD'!G437+'kontrola LD'!G438</f>
        <v>0</v>
      </c>
      <c r="H27" s="729">
        <f>'kontrola LD'!H437+'kontrola LD'!H438</f>
        <v>0</v>
      </c>
      <c r="I27" s="758"/>
    </row>
    <row r="28" spans="1:9" x14ac:dyDescent="0.2">
      <c r="A28" s="696" t="s">
        <v>16</v>
      </c>
      <c r="D28" s="726"/>
      <c r="E28" s="759" t="s">
        <v>122</v>
      </c>
      <c r="F28" s="728" t="s">
        <v>172</v>
      </c>
      <c r="G28" s="729">
        <f>'kontrola LD'!G441+'kontrola LD'!G442+'kontrola LD'!G443</f>
        <v>0</v>
      </c>
      <c r="H28" s="729">
        <f>'kontrola LD'!H441+'kontrola LD'!H442+'kontrola LD'!H443</f>
        <v>0</v>
      </c>
      <c r="I28" s="758"/>
    </row>
    <row r="29" spans="1:9" ht="20.399999999999999" x14ac:dyDescent="0.2">
      <c r="A29" s="696" t="s">
        <v>891</v>
      </c>
      <c r="D29" s="726"/>
      <c r="E29" s="762" t="s">
        <v>59</v>
      </c>
      <c r="F29" s="728" t="s">
        <v>173</v>
      </c>
      <c r="G29" s="729">
        <f>'kontrola LD'!G457+'kontrola LD'!G458</f>
        <v>0</v>
      </c>
      <c r="H29" s="729">
        <f>'kontrola LD'!H457+'kontrola LD'!H458</f>
        <v>0</v>
      </c>
      <c r="I29" s="758"/>
    </row>
    <row r="30" spans="1:9" x14ac:dyDescent="0.2">
      <c r="B30" s="726" t="s">
        <v>892</v>
      </c>
      <c r="D30" s="726"/>
      <c r="E30" s="759" t="s">
        <v>1777</v>
      </c>
      <c r="F30" s="728" t="s">
        <v>1106</v>
      </c>
      <c r="G30" s="729">
        <f>-'kontrola LD'!G509-'kontrola LD'!G510</f>
        <v>0</v>
      </c>
      <c r="H30" s="729">
        <f>-'kontrola LD'!H509-'kontrola LD'!H510</f>
        <v>0</v>
      </c>
      <c r="I30" s="758"/>
    </row>
    <row r="31" spans="1:9" x14ac:dyDescent="0.2">
      <c r="A31" s="726" t="s">
        <v>893</v>
      </c>
      <c r="D31" s="700"/>
      <c r="E31" s="762" t="s">
        <v>1778</v>
      </c>
      <c r="F31" s="728" t="s">
        <v>1107</v>
      </c>
      <c r="G31" s="729">
        <f>'kontrola LD'!G446+'kontrola LD'!G447</f>
        <v>0</v>
      </c>
      <c r="H31" s="729">
        <f>'kontrola LD'!H446+'kontrola LD'!H447</f>
        <v>0</v>
      </c>
      <c r="I31" s="758"/>
    </row>
    <row r="32" spans="1:9" x14ac:dyDescent="0.2">
      <c r="A32" s="726" t="s">
        <v>895</v>
      </c>
      <c r="D32" s="700"/>
      <c r="E32" s="762" t="s">
        <v>1203</v>
      </c>
      <c r="F32" s="728" t="s">
        <v>1108</v>
      </c>
      <c r="G32" s="729">
        <f>'kontrola LD'!G452</f>
        <v>0</v>
      </c>
      <c r="H32" s="729">
        <f>'kontrola LD'!H452</f>
        <v>0</v>
      </c>
      <c r="I32" s="758"/>
    </row>
    <row r="33" spans="1:14" x14ac:dyDescent="0.2">
      <c r="B33" s="726" t="s">
        <v>894</v>
      </c>
      <c r="D33" s="700"/>
      <c r="E33" s="762" t="s">
        <v>1841</v>
      </c>
      <c r="F33" s="728" t="s">
        <v>339</v>
      </c>
      <c r="G33" s="729">
        <f>-'kontrola LD'!G511-'kontrola LD'!G512-'kontrola LD'!G513-'kontrola LD'!G514-'kontrola LD'!G518-'kontrola LD'!G517</f>
        <v>0</v>
      </c>
      <c r="H33" s="729">
        <f>-'kontrola LD'!H511-'kontrola LD'!H512-'kontrola LD'!H513-'kontrola LD'!H514-'kontrola LD'!H518-'kontrola LD'!H517</f>
        <v>0</v>
      </c>
      <c r="I33" s="758"/>
      <c r="J33" s="758"/>
      <c r="K33" s="758"/>
    </row>
    <row r="34" spans="1:14" x14ac:dyDescent="0.2">
      <c r="A34" s="726" t="s">
        <v>897</v>
      </c>
      <c r="D34" s="700"/>
      <c r="E34" s="762" t="s">
        <v>1204</v>
      </c>
      <c r="F34" s="728" t="s">
        <v>340</v>
      </c>
      <c r="G34" s="729">
        <f>'kontrola LD'!G448+'kontrola LD'!G449+'kontrola LD'!G450+'kontrola LD'!G451+'kontrola LD'!G453+'kontrola LD'!G454+'kontrola LD'!G460+'kontrola LD'!G459</f>
        <v>20</v>
      </c>
      <c r="H34" s="729">
        <f>'kontrola LD'!H448+'kontrola LD'!H449+'kontrola LD'!H450+'kontrola LD'!H451+'kontrola LD'!H453+'kontrola LD'!H454+'kontrola LD'!H460+'kontrola LD'!H459</f>
        <v>0</v>
      </c>
      <c r="I34" s="758"/>
      <c r="J34" s="758"/>
      <c r="K34" s="758"/>
    </row>
    <row r="35" spans="1:14" x14ac:dyDescent="0.2">
      <c r="B35" s="726" t="s">
        <v>896</v>
      </c>
      <c r="D35" s="700"/>
      <c r="E35" s="762" t="s">
        <v>1779</v>
      </c>
      <c r="F35" s="728" t="s">
        <v>341</v>
      </c>
      <c r="G35" s="729">
        <f>('kontrola LD'!G538)</f>
        <v>0</v>
      </c>
      <c r="H35" s="729">
        <f>('kontrola LD'!H538)</f>
        <v>0</v>
      </c>
      <c r="I35" s="758"/>
      <c r="J35" s="758"/>
      <c r="K35" s="758"/>
    </row>
    <row r="36" spans="1:14" x14ac:dyDescent="0.2">
      <c r="A36" s="726" t="s">
        <v>2155</v>
      </c>
      <c r="D36" s="700"/>
      <c r="E36" s="762" t="s">
        <v>1780</v>
      </c>
      <c r="F36" s="728" t="s">
        <v>342</v>
      </c>
      <c r="G36" s="729">
        <f>-'kontrola LD'!G484</f>
        <v>0</v>
      </c>
      <c r="H36" s="729">
        <f>-'kontrola LD'!H484</f>
        <v>0</v>
      </c>
      <c r="I36" s="758"/>
      <c r="J36" s="758"/>
      <c r="K36" s="758"/>
    </row>
    <row r="37" spans="1:14" x14ac:dyDescent="0.2">
      <c r="A37" s="726"/>
      <c r="D37" s="700"/>
      <c r="E37" s="762"/>
      <c r="F37" s="764"/>
      <c r="G37" s="765"/>
      <c r="H37" s="765"/>
      <c r="I37" s="758"/>
      <c r="J37" s="758"/>
      <c r="K37" s="758"/>
    </row>
    <row r="38" spans="1:14" ht="20.399999999999999" x14ac:dyDescent="0.2">
      <c r="C38" s="719" t="s">
        <v>901</v>
      </c>
      <c r="E38" s="766" t="s">
        <v>1205</v>
      </c>
      <c r="F38" s="721" t="s">
        <v>343</v>
      </c>
      <c r="G38" s="722">
        <f>G21-G23-G28-G29+G30-G31-G32+G33-G34+(-G35)-(-G36)</f>
        <v>-428.59</v>
      </c>
      <c r="H38" s="722">
        <f>H21-H23-H28-H29+H30-H31-H32+H33-H34+(-H35)-(-H36)</f>
        <v>0</v>
      </c>
      <c r="I38" s="758"/>
      <c r="J38" s="758"/>
      <c r="K38" s="758"/>
      <c r="L38" s="758"/>
      <c r="M38" s="758"/>
      <c r="N38" s="758"/>
    </row>
    <row r="39" spans="1:14" x14ac:dyDescent="0.2">
      <c r="C39" s="719"/>
      <c r="E39" s="766"/>
      <c r="F39" s="719"/>
      <c r="G39" s="724"/>
      <c r="H39" s="724"/>
      <c r="I39" s="758"/>
      <c r="J39" s="758"/>
      <c r="K39" s="758"/>
    </row>
    <row r="40" spans="1:14" x14ac:dyDescent="0.2">
      <c r="B40" s="726" t="s">
        <v>898</v>
      </c>
      <c r="E40" s="762" t="s">
        <v>1651</v>
      </c>
      <c r="F40" s="767">
        <v>27</v>
      </c>
      <c r="G40" s="729">
        <f>-'kontrola LD'!G521</f>
        <v>0</v>
      </c>
      <c r="H40" s="729">
        <f>-'kontrola LD'!H521</f>
        <v>0</v>
      </c>
      <c r="I40" s="758"/>
      <c r="J40" s="768"/>
      <c r="K40" s="758"/>
    </row>
    <row r="41" spans="1:14" x14ac:dyDescent="0.2">
      <c r="A41" s="726" t="s">
        <v>900</v>
      </c>
      <c r="E41" s="762" t="s">
        <v>1142</v>
      </c>
      <c r="F41" s="767">
        <v>28</v>
      </c>
      <c r="G41" s="729">
        <f>'kontrola LD'!G463</f>
        <v>0</v>
      </c>
      <c r="H41" s="729">
        <f>'kontrola LD'!H463</f>
        <v>0</v>
      </c>
      <c r="I41" s="758"/>
      <c r="J41" s="768"/>
      <c r="K41" s="758"/>
    </row>
    <row r="42" spans="1:14" x14ac:dyDescent="0.2">
      <c r="A42" s="726"/>
      <c r="E42" s="762"/>
      <c r="F42" s="769"/>
      <c r="G42" s="731"/>
      <c r="H42" s="731"/>
      <c r="I42" s="758"/>
      <c r="J42" s="758"/>
      <c r="K42" s="758"/>
    </row>
    <row r="43" spans="1:14" x14ac:dyDescent="0.2">
      <c r="B43" s="726" t="s">
        <v>905</v>
      </c>
      <c r="E43" s="762" t="s">
        <v>2086</v>
      </c>
      <c r="F43" s="770">
        <v>29</v>
      </c>
      <c r="G43" s="742">
        <f>G44+G45+G46</f>
        <v>0</v>
      </c>
      <c r="H43" s="742">
        <f>H44+H45+H46</f>
        <v>0</v>
      </c>
      <c r="I43" s="758"/>
      <c r="J43" s="768"/>
      <c r="K43" s="758"/>
    </row>
    <row r="44" spans="1:14" ht="20.399999999999999" x14ac:dyDescent="0.2">
      <c r="D44" s="726" t="s">
        <v>2635</v>
      </c>
      <c r="E44" s="762" t="s">
        <v>523</v>
      </c>
      <c r="F44" s="767">
        <v>30</v>
      </c>
      <c r="G44" s="729">
        <f>-'kontrola LD'!G526</f>
        <v>0</v>
      </c>
      <c r="H44" s="729">
        <f>-'kontrola LD'!H526</f>
        <v>0</v>
      </c>
      <c r="I44" s="758"/>
      <c r="J44" s="768"/>
      <c r="K44" s="758"/>
    </row>
    <row r="45" spans="1:14" x14ac:dyDescent="0.2">
      <c r="D45" s="726" t="s">
        <v>937</v>
      </c>
      <c r="E45" s="762" t="s">
        <v>1781</v>
      </c>
      <c r="F45" s="767">
        <v>31</v>
      </c>
      <c r="G45" s="729">
        <f>-'kontrola LD'!G527</f>
        <v>0</v>
      </c>
      <c r="H45" s="729">
        <f>-'kontrola LD'!H527</f>
        <v>0</v>
      </c>
      <c r="I45" s="758"/>
      <c r="J45" s="768"/>
      <c r="K45" s="758"/>
    </row>
    <row r="46" spans="1:14" x14ac:dyDescent="0.2">
      <c r="D46" s="726" t="s">
        <v>938</v>
      </c>
      <c r="E46" s="759" t="s">
        <v>1286</v>
      </c>
      <c r="F46" s="767">
        <v>32</v>
      </c>
      <c r="G46" s="729">
        <f>-'kontrola LD'!G528</f>
        <v>0</v>
      </c>
      <c r="H46" s="729">
        <f>-'kontrola LD'!H528</f>
        <v>0</v>
      </c>
      <c r="I46" s="758"/>
      <c r="J46" s="768"/>
      <c r="K46" s="758"/>
    </row>
    <row r="47" spans="1:14" x14ac:dyDescent="0.2">
      <c r="B47" s="726" t="s">
        <v>904</v>
      </c>
      <c r="E47" s="762" t="s">
        <v>2779</v>
      </c>
      <c r="F47" s="767">
        <v>33</v>
      </c>
      <c r="G47" s="729">
        <f>-'kontrola LD'!G529</f>
        <v>0</v>
      </c>
      <c r="H47" s="729">
        <f>-'kontrola LD'!H529</f>
        <v>0</v>
      </c>
      <c r="I47" s="758"/>
      <c r="J47" s="768"/>
      <c r="K47" s="758"/>
    </row>
    <row r="48" spans="1:14" x14ac:dyDescent="0.2">
      <c r="A48" s="726" t="s">
        <v>907</v>
      </c>
      <c r="E48" s="762" t="s">
        <v>2780</v>
      </c>
      <c r="F48" s="767">
        <v>34</v>
      </c>
      <c r="G48" s="729">
        <f>'kontrola LD'!G468</f>
        <v>0</v>
      </c>
      <c r="H48" s="729">
        <f>'kontrola LD'!H468</f>
        <v>0</v>
      </c>
      <c r="I48" s="758"/>
      <c r="J48" s="768"/>
      <c r="K48" s="758"/>
    </row>
    <row r="49" spans="1:11" x14ac:dyDescent="0.2">
      <c r="B49" s="726" t="s">
        <v>903</v>
      </c>
      <c r="E49" s="762" t="s">
        <v>1617</v>
      </c>
      <c r="F49" s="767">
        <v>35</v>
      </c>
      <c r="G49" s="729">
        <f>-'kontrola LD'!G524-'kontrola LD'!G530</f>
        <v>0</v>
      </c>
      <c r="H49" s="729">
        <f>-'kontrola LD'!H524-'kontrola LD'!H530</f>
        <v>0</v>
      </c>
      <c r="I49" s="758"/>
      <c r="J49" s="768"/>
      <c r="K49" s="758"/>
    </row>
    <row r="50" spans="1:11" x14ac:dyDescent="0.2">
      <c r="A50" s="726" t="s">
        <v>908</v>
      </c>
      <c r="E50" s="762" t="s">
        <v>906</v>
      </c>
      <c r="F50" s="767">
        <v>36</v>
      </c>
      <c r="G50" s="729">
        <f>'kontrola LD'!G466+'kontrola LD'!G469</f>
        <v>0</v>
      </c>
      <c r="H50" s="729">
        <f>'kontrola LD'!H466+'kontrola LD'!H469</f>
        <v>0</v>
      </c>
      <c r="I50" s="758"/>
      <c r="J50" s="768"/>
      <c r="K50" s="758"/>
    </row>
    <row r="51" spans="1:11" x14ac:dyDescent="0.2">
      <c r="A51" s="753" t="s">
        <v>1618</v>
      </c>
      <c r="B51" s="726" t="s">
        <v>179</v>
      </c>
      <c r="E51" s="762" t="s">
        <v>909</v>
      </c>
      <c r="F51" s="767">
        <v>37</v>
      </c>
      <c r="G51" s="729">
        <f>'kontrola LD'!G467</f>
        <v>0</v>
      </c>
      <c r="H51" s="729">
        <f>'kontrola LD'!H467</f>
        <v>0</v>
      </c>
      <c r="I51" s="758"/>
      <c r="J51" s="768"/>
      <c r="K51" s="758"/>
    </row>
    <row r="52" spans="1:11" x14ac:dyDescent="0.2">
      <c r="A52" s="726" t="s">
        <v>179</v>
      </c>
      <c r="B52" s="696" t="s">
        <v>912</v>
      </c>
      <c r="E52" s="700" t="s">
        <v>913</v>
      </c>
      <c r="F52" s="767">
        <v>38</v>
      </c>
      <c r="G52" s="729">
        <f>-'kontrola LD'!G522</f>
        <v>0</v>
      </c>
      <c r="H52" s="729">
        <f>-'kontrola LD'!H522</f>
        <v>0</v>
      </c>
      <c r="I52" s="758"/>
      <c r="J52" s="768"/>
      <c r="K52" s="758"/>
    </row>
    <row r="53" spans="1:11" x14ac:dyDescent="0.2">
      <c r="A53" s="753" t="s">
        <v>914</v>
      </c>
      <c r="B53" s="726" t="s">
        <v>179</v>
      </c>
      <c r="E53" s="762" t="s">
        <v>1619</v>
      </c>
      <c r="F53" s="767">
        <v>39</v>
      </c>
      <c r="G53" s="729">
        <f>'kontrola LD'!G464</f>
        <v>0</v>
      </c>
      <c r="H53" s="729">
        <f>'kontrola LD'!H464</f>
        <v>0</v>
      </c>
      <c r="I53" s="758"/>
      <c r="J53" s="768"/>
      <c r="K53" s="758"/>
    </row>
    <row r="54" spans="1:11" x14ac:dyDescent="0.2">
      <c r="B54" s="726" t="s">
        <v>2781</v>
      </c>
      <c r="E54" s="762" t="s">
        <v>1620</v>
      </c>
      <c r="F54" s="767">
        <v>40</v>
      </c>
      <c r="G54" s="729">
        <f>-'kontrola LD'!G523</f>
        <v>0</v>
      </c>
      <c r="H54" s="729">
        <f>-'kontrola LD'!H523</f>
        <v>0</v>
      </c>
      <c r="I54" s="758"/>
      <c r="J54" s="768"/>
      <c r="K54" s="758"/>
    </row>
    <row r="55" spans="1:11" x14ac:dyDescent="0.2">
      <c r="A55" s="726" t="s">
        <v>1149</v>
      </c>
      <c r="E55" s="762" t="s">
        <v>1621</v>
      </c>
      <c r="F55" s="767">
        <v>41</v>
      </c>
      <c r="G55" s="729">
        <f>'kontrola LD'!G465</f>
        <v>0</v>
      </c>
      <c r="H55" s="729">
        <f>'kontrola LD'!H465</f>
        <v>0</v>
      </c>
      <c r="I55" s="758"/>
      <c r="J55" s="768"/>
      <c r="K55" s="758"/>
    </row>
    <row r="56" spans="1:11" x14ac:dyDescent="0.2">
      <c r="B56" s="726" t="s">
        <v>915</v>
      </c>
      <c r="E56" s="762" t="s">
        <v>1622</v>
      </c>
      <c r="F56" s="767">
        <v>42</v>
      </c>
      <c r="G56" s="729">
        <f>-'kontrola LD'!G531</f>
        <v>0</v>
      </c>
      <c r="H56" s="729">
        <f>-'kontrola LD'!H531</f>
        <v>0</v>
      </c>
      <c r="I56" s="758"/>
      <c r="J56" s="768"/>
      <c r="K56" s="758"/>
    </row>
    <row r="57" spans="1:11" x14ac:dyDescent="0.2">
      <c r="A57" s="726" t="s">
        <v>917</v>
      </c>
      <c r="E57" s="762" t="s">
        <v>1147</v>
      </c>
      <c r="F57" s="767">
        <v>43</v>
      </c>
      <c r="G57" s="729">
        <f>'kontrola LD'!G470+'kontrola LD'!G471</f>
        <v>0</v>
      </c>
      <c r="H57" s="729">
        <f>'kontrola LD'!H470+'kontrola LD'!H471</f>
        <v>0</v>
      </c>
      <c r="I57" s="758"/>
      <c r="J57" s="768"/>
      <c r="K57" s="758"/>
    </row>
    <row r="58" spans="1:11" x14ac:dyDescent="0.2">
      <c r="B58" s="726" t="s">
        <v>916</v>
      </c>
      <c r="E58" s="762" t="s">
        <v>1624</v>
      </c>
      <c r="F58" s="767">
        <v>44</v>
      </c>
      <c r="G58" s="729">
        <f>'kontrola LD'!G539</f>
        <v>0</v>
      </c>
      <c r="H58" s="729">
        <f>'kontrola LD'!H539</f>
        <v>0</v>
      </c>
      <c r="I58" s="758"/>
      <c r="J58" s="768"/>
      <c r="K58" s="758"/>
    </row>
    <row r="59" spans="1:11" x14ac:dyDescent="0.2">
      <c r="A59" s="726" t="s">
        <v>1115</v>
      </c>
      <c r="E59" s="762" t="s">
        <v>676</v>
      </c>
      <c r="F59" s="767">
        <v>45</v>
      </c>
      <c r="G59" s="729">
        <f>-'kontrola LD'!G485</f>
        <v>0</v>
      </c>
      <c r="H59" s="729">
        <f>-'kontrola LD'!H485</f>
        <v>0</v>
      </c>
      <c r="I59" s="758"/>
      <c r="J59" s="768"/>
      <c r="K59" s="758"/>
    </row>
    <row r="60" spans="1:11" ht="20.399999999999999" x14ac:dyDescent="0.2">
      <c r="B60" s="726" t="s">
        <v>179</v>
      </c>
      <c r="C60" s="696" t="s">
        <v>901</v>
      </c>
      <c r="E60" s="766" t="s">
        <v>1525</v>
      </c>
      <c r="F60" s="721" t="s">
        <v>149</v>
      </c>
      <c r="G60" s="722">
        <f>G40-G41+G43+G47-G48+G49-G50-G51+G52-G53+G54-G55+G56-G57+(-G58)-(-G59)</f>
        <v>0</v>
      </c>
      <c r="H60" s="722">
        <f>H40-H41+H43+H47-H48+H49-H50-H51+H52-H53+H54-H55+H56-H57+(-H58)-(-H59)</f>
        <v>0</v>
      </c>
      <c r="I60" s="758"/>
      <c r="J60" s="758"/>
      <c r="K60" s="758"/>
    </row>
    <row r="61" spans="1:11" s="758" customFormat="1" x14ac:dyDescent="0.2">
      <c r="A61" s="716"/>
      <c r="B61" s="726"/>
      <c r="C61" s="710" t="s">
        <v>918</v>
      </c>
      <c r="D61" s="710"/>
      <c r="E61" s="766" t="s">
        <v>1526</v>
      </c>
      <c r="F61" s="721" t="s">
        <v>152</v>
      </c>
      <c r="G61" s="722">
        <f>G38+G60</f>
        <v>-428.59</v>
      </c>
      <c r="H61" s="722">
        <f>H38+H60</f>
        <v>0</v>
      </c>
    </row>
    <row r="62" spans="1:11" s="758" customFormat="1" x14ac:dyDescent="0.2">
      <c r="A62" s="716"/>
      <c r="B62" s="726"/>
      <c r="C62" s="710"/>
      <c r="D62" s="710"/>
      <c r="E62" s="766"/>
      <c r="F62" s="771"/>
      <c r="G62" s="772"/>
      <c r="H62" s="772"/>
    </row>
    <row r="63" spans="1:11" x14ac:dyDescent="0.2">
      <c r="A63" s="726" t="s">
        <v>919</v>
      </c>
      <c r="E63" s="762" t="s">
        <v>1527</v>
      </c>
      <c r="F63" s="721" t="s">
        <v>154</v>
      </c>
      <c r="G63" s="722">
        <f>G64+G65</f>
        <v>960</v>
      </c>
      <c r="H63" s="722">
        <f>H64+H65</f>
        <v>0</v>
      </c>
      <c r="I63" s="758"/>
      <c r="J63" s="758"/>
      <c r="K63" s="758"/>
    </row>
    <row r="64" spans="1:11" x14ac:dyDescent="0.2">
      <c r="A64" s="700" t="s">
        <v>2160</v>
      </c>
      <c r="B64" s="700"/>
      <c r="C64" s="700"/>
      <c r="D64" s="700"/>
      <c r="E64" s="762" t="s">
        <v>350</v>
      </c>
      <c r="F64" s="767">
        <v>49</v>
      </c>
      <c r="G64" s="729">
        <f>'kontrola LD'!G478+'kontrola LD'!G482</f>
        <v>960</v>
      </c>
      <c r="H64" s="729">
        <f>'kontrola LD'!H478+'kontrola LD'!H482</f>
        <v>0</v>
      </c>
      <c r="I64" s="758"/>
      <c r="J64" s="758"/>
      <c r="K64" s="758"/>
    </row>
    <row r="65" spans="1:11" x14ac:dyDescent="0.2">
      <c r="A65" s="700" t="s">
        <v>773</v>
      </c>
      <c r="B65" s="700"/>
      <c r="C65" s="700"/>
      <c r="D65" s="700"/>
      <c r="E65" s="762" t="s">
        <v>351</v>
      </c>
      <c r="F65" s="767">
        <v>50</v>
      </c>
      <c r="G65" s="729">
        <f>'kontrola LD'!G479</f>
        <v>0</v>
      </c>
      <c r="H65" s="729">
        <f>'kontrola LD'!H479</f>
        <v>0</v>
      </c>
      <c r="I65" s="758"/>
      <c r="J65" s="758"/>
      <c r="K65" s="758"/>
    </row>
    <row r="66" spans="1:11" x14ac:dyDescent="0.2">
      <c r="A66" s="726"/>
      <c r="E66" s="762"/>
      <c r="F66" s="769"/>
      <c r="G66" s="731"/>
      <c r="H66" s="731"/>
      <c r="I66" s="758"/>
      <c r="J66" s="758"/>
      <c r="K66" s="758"/>
    </row>
    <row r="67" spans="1:11" x14ac:dyDescent="0.2">
      <c r="C67" s="719" t="s">
        <v>918</v>
      </c>
      <c r="E67" s="761" t="s">
        <v>2159</v>
      </c>
      <c r="F67" s="721" t="s">
        <v>158</v>
      </c>
      <c r="G67" s="722">
        <f>G61-G63</f>
        <v>-1388.59</v>
      </c>
      <c r="H67" s="722">
        <f>H61-H63</f>
        <v>0</v>
      </c>
      <c r="I67" s="758"/>
      <c r="J67" s="758"/>
      <c r="K67" s="758"/>
    </row>
    <row r="68" spans="1:11" x14ac:dyDescent="0.2">
      <c r="C68" s="719"/>
      <c r="E68" s="766"/>
      <c r="F68" s="719"/>
      <c r="G68" s="724"/>
      <c r="H68" s="724"/>
      <c r="I68" s="758"/>
      <c r="J68" s="758"/>
      <c r="K68" s="758"/>
    </row>
    <row r="69" spans="1:11" x14ac:dyDescent="0.2">
      <c r="A69" s="719" t="s">
        <v>179</v>
      </c>
      <c r="B69" s="726" t="s">
        <v>354</v>
      </c>
      <c r="E69" s="759" t="s">
        <v>1629</v>
      </c>
      <c r="F69" s="728" t="s">
        <v>1625</v>
      </c>
      <c r="G69" s="741">
        <f>-'kontrola LD'!G534-'kontrola LD'!G535</f>
        <v>0</v>
      </c>
      <c r="H69" s="741">
        <f>-'kontrola LD'!H534-'kontrola LD'!H535</f>
        <v>0</v>
      </c>
      <c r="I69" s="758"/>
    </row>
    <row r="70" spans="1:11" x14ac:dyDescent="0.2">
      <c r="A70" s="753" t="s">
        <v>920</v>
      </c>
      <c r="E70" s="759" t="s">
        <v>1630</v>
      </c>
      <c r="F70" s="767">
        <v>53</v>
      </c>
      <c r="G70" s="729">
        <f>'kontrola LD'!G474+'kontrola LD'!G475</f>
        <v>0</v>
      </c>
      <c r="H70" s="729">
        <f>'kontrola LD'!H474+'kontrola LD'!H475</f>
        <v>0</v>
      </c>
      <c r="I70" s="758"/>
    </row>
    <row r="71" spans="1:11" x14ac:dyDescent="0.2">
      <c r="E71" s="759"/>
      <c r="F71" s="769"/>
      <c r="G71" s="731"/>
      <c r="H71" s="731"/>
      <c r="I71" s="758"/>
    </row>
    <row r="72" spans="1:11" x14ac:dyDescent="0.2">
      <c r="C72" s="696" t="s">
        <v>901</v>
      </c>
      <c r="E72" s="761" t="s">
        <v>2163</v>
      </c>
      <c r="F72" s="773">
        <v>54</v>
      </c>
      <c r="G72" s="722">
        <f>G69-G70</f>
        <v>0</v>
      </c>
      <c r="H72" s="722">
        <f>H69-H70</f>
        <v>0</v>
      </c>
      <c r="I72" s="758"/>
    </row>
    <row r="73" spans="1:11" x14ac:dyDescent="0.2">
      <c r="A73" s="726"/>
      <c r="E73" s="759"/>
      <c r="F73" s="769"/>
      <c r="G73" s="731"/>
      <c r="H73" s="731"/>
      <c r="I73" s="758"/>
    </row>
    <row r="74" spans="1:11" x14ac:dyDescent="0.2">
      <c r="A74" s="719" t="s">
        <v>921</v>
      </c>
      <c r="E74" s="761" t="s">
        <v>2162</v>
      </c>
      <c r="F74" s="773">
        <v>55</v>
      </c>
      <c r="G74" s="722">
        <f>G75+G76</f>
        <v>0</v>
      </c>
      <c r="H74" s="722">
        <f>H75+H76</f>
        <v>0</v>
      </c>
      <c r="I74" s="758"/>
    </row>
    <row r="75" spans="1:11" x14ac:dyDescent="0.2">
      <c r="A75" s="753" t="s">
        <v>2161</v>
      </c>
      <c r="D75" s="726" t="s">
        <v>179</v>
      </c>
      <c r="E75" s="759" t="s">
        <v>2303</v>
      </c>
      <c r="F75" s="767">
        <v>56</v>
      </c>
      <c r="G75" s="729">
        <f>'kontrola LD'!G480</f>
        <v>0</v>
      </c>
      <c r="H75" s="729">
        <f>'kontrola LD'!H480</f>
        <v>0</v>
      </c>
      <c r="I75" s="758"/>
    </row>
    <row r="76" spans="1:11" x14ac:dyDescent="0.2">
      <c r="A76" s="726" t="s">
        <v>937</v>
      </c>
      <c r="D76" s="700"/>
      <c r="E76" s="759" t="s">
        <v>2304</v>
      </c>
      <c r="F76" s="767">
        <v>57</v>
      </c>
      <c r="G76" s="729">
        <f>'kontrola LD'!G481</f>
        <v>0</v>
      </c>
      <c r="H76" s="729">
        <f>'kontrola LD'!H481</f>
        <v>0</v>
      </c>
      <c r="I76" s="758"/>
    </row>
    <row r="77" spans="1:11" x14ac:dyDescent="0.2">
      <c r="D77" s="726"/>
      <c r="E77" s="759"/>
      <c r="F77" s="769"/>
      <c r="G77" s="731"/>
      <c r="H77" s="731"/>
      <c r="I77" s="758"/>
    </row>
    <row r="78" spans="1:11" x14ac:dyDescent="0.2">
      <c r="C78" s="719" t="s">
        <v>901</v>
      </c>
      <c r="E78" s="761" t="s">
        <v>2164</v>
      </c>
      <c r="F78" s="721" t="s">
        <v>1349</v>
      </c>
      <c r="G78" s="722">
        <f>G72-G74</f>
        <v>0</v>
      </c>
      <c r="H78" s="722">
        <f>H72-H74</f>
        <v>0</v>
      </c>
      <c r="I78" s="758"/>
    </row>
    <row r="79" spans="1:11" x14ac:dyDescent="0.2">
      <c r="C79" s="719"/>
      <c r="E79" s="761"/>
      <c r="F79" s="774"/>
      <c r="G79" s="775"/>
      <c r="H79" s="775"/>
      <c r="I79" s="758"/>
    </row>
    <row r="80" spans="1:11" x14ac:dyDescent="0.2">
      <c r="C80" s="719" t="s">
        <v>1758</v>
      </c>
      <c r="E80" s="761" t="s">
        <v>2165</v>
      </c>
      <c r="F80" s="721" t="s">
        <v>1350</v>
      </c>
      <c r="G80" s="722">
        <f>G61+G72</f>
        <v>-428.59</v>
      </c>
      <c r="H80" s="722">
        <f>H61+H72</f>
        <v>0</v>
      </c>
      <c r="I80" s="758"/>
    </row>
    <row r="81" spans="1:10" x14ac:dyDescent="0.2">
      <c r="C81" s="719"/>
      <c r="E81" s="761"/>
      <c r="F81" s="719"/>
      <c r="G81" s="724"/>
      <c r="H81" s="724"/>
      <c r="I81" s="758"/>
    </row>
    <row r="82" spans="1:10" x14ac:dyDescent="0.2">
      <c r="A82" s="726" t="s">
        <v>1353</v>
      </c>
      <c r="E82" s="759" t="s">
        <v>2305</v>
      </c>
      <c r="F82" s="767">
        <v>60</v>
      </c>
      <c r="G82" s="729">
        <f>'kontrola LD'!G483</f>
        <v>0</v>
      </c>
      <c r="H82" s="729">
        <f>'kontrola LD'!H483</f>
        <v>0</v>
      </c>
    </row>
    <row r="83" spans="1:10" x14ac:dyDescent="0.2">
      <c r="A83" s="726"/>
      <c r="E83" s="759"/>
      <c r="F83" s="769"/>
      <c r="G83" s="731"/>
      <c r="H83" s="731"/>
    </row>
    <row r="84" spans="1:10" x14ac:dyDescent="0.2">
      <c r="C84" s="719" t="s">
        <v>1758</v>
      </c>
      <c r="E84" s="761" t="s">
        <v>2166</v>
      </c>
      <c r="F84" s="721" t="s">
        <v>1354</v>
      </c>
      <c r="G84" s="722">
        <f>G67+G78-G82</f>
        <v>-1388.59</v>
      </c>
      <c r="H84" s="722">
        <f>H67+H78-H82</f>
        <v>0</v>
      </c>
    </row>
    <row r="85" spans="1:10" x14ac:dyDescent="0.2">
      <c r="C85" s="719"/>
      <c r="I85" s="723"/>
    </row>
    <row r="86" spans="1:10" x14ac:dyDescent="0.2">
      <c r="E86" s="761" t="s">
        <v>1161</v>
      </c>
      <c r="F86" s="721">
        <v>99</v>
      </c>
      <c r="G86" s="722"/>
      <c r="H86" s="722"/>
      <c r="I86" s="723"/>
    </row>
    <row r="87" spans="1:10" x14ac:dyDescent="0.2">
      <c r="E87" s="761"/>
      <c r="I87" s="723"/>
    </row>
    <row r="88" spans="1:10" x14ac:dyDescent="0.2">
      <c r="E88" s="761"/>
      <c r="I88" s="723"/>
    </row>
    <row r="89" spans="1:10" x14ac:dyDescent="0.2">
      <c r="E89" s="745" t="s">
        <v>1563</v>
      </c>
      <c r="F89" s="746" t="str">
        <f>IF(AND(I90="OK",J90="OK",I91="OK",J91="OK"),"OK","ERROR")</f>
        <v>ERROR</v>
      </c>
      <c r="I89" s="723"/>
    </row>
    <row r="90" spans="1:10" x14ac:dyDescent="0.2">
      <c r="E90" s="776" t="s">
        <v>31</v>
      </c>
      <c r="F90" s="777"/>
      <c r="G90" s="778">
        <f>G84+('kontrola LD'!G487+'kontrola LD'!G412)</f>
        <v>0</v>
      </c>
      <c r="H90" s="778">
        <f>H84+SUM('kontrola LD'!H487+'kontrola LD'!H412)</f>
        <v>0</v>
      </c>
      <c r="I90" s="700" t="str">
        <f>IF(AND(G90&lt;1,G90&gt;-1),"OK","E")</f>
        <v>OK</v>
      </c>
      <c r="J90" s="700" t="str">
        <f>IF(AND(H90&lt;1,H90&gt;-1),"OK","E")</f>
        <v>OK</v>
      </c>
    </row>
    <row r="91" spans="1:10" x14ac:dyDescent="0.2">
      <c r="E91" s="776" t="s">
        <v>32</v>
      </c>
      <c r="F91" s="748"/>
      <c r="G91" s="778">
        <f>G84-'BS-SK format'!F120</f>
        <v>6.9999999998117346E-2</v>
      </c>
      <c r="H91" s="778">
        <f>H84-'BS-SK format'!G120</f>
        <v>2001</v>
      </c>
      <c r="I91" s="700" t="str">
        <f>IF(AND(G91&lt;1,G91&gt;-1),"OK","E")</f>
        <v>OK</v>
      </c>
      <c r="J91" s="700" t="str">
        <f>IF(AND(H91&lt;1,H91&gt;-1),"OK","E")</f>
        <v>E</v>
      </c>
    </row>
    <row r="92" spans="1:10" x14ac:dyDescent="0.2">
      <c r="G92" s="779"/>
    </row>
  </sheetData>
  <customSheetViews>
    <customSheetView guid="{305BD771-46DB-4130-A6E1-9C92E07EE410}" showRuler="0" topLeftCell="A18">
      <selection activeCell="J33" sqref="J33"/>
      <rowBreaks count="1" manualBreakCount="1">
        <brk id="65" max="16383" man="1"/>
      </rowBreaks>
      <pageMargins left="0.38" right="0.52" top="0.37" bottom="0.39" header="0.35" footer="0.36"/>
      <pageSetup paperSize="9" scale="85" orientation="portrait" r:id="rId1"/>
      <headerFooter alignWithMargins="0"/>
    </customSheetView>
  </customSheetViews>
  <phoneticPr fontId="7" type="noConversion"/>
  <pageMargins left="0.38" right="0.52" top="0.37" bottom="0.39" header="0.35" footer="0.36"/>
  <pageSetup paperSize="9" scale="85" orientation="portrait" r:id="rId2"/>
  <headerFooter alignWithMargins="0"/>
  <rowBreaks count="1" manualBreakCount="1">
    <brk id="6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indexed="15"/>
  </sheetPr>
  <dimension ref="A1:M216"/>
  <sheetViews>
    <sheetView tabSelected="1" topLeftCell="A186" zoomScale="90" zoomScaleNormal="90" workbookViewId="0">
      <selection activeCell="H202" sqref="H202"/>
    </sheetView>
  </sheetViews>
  <sheetFormatPr defaultColWidth="9.109375" defaultRowHeight="11.4" x14ac:dyDescent="0.25"/>
  <cols>
    <col min="1" max="1" width="5.109375" style="574" customWidth="1"/>
    <col min="2" max="2" width="24.5546875" style="574" customWidth="1"/>
    <col min="3" max="3" width="5.88671875" style="574" customWidth="1"/>
    <col min="4" max="4" width="3.5546875" style="574" customWidth="1"/>
    <col min="5" max="5" width="14.44140625" style="574" customWidth="1"/>
    <col min="6" max="6" width="4.5546875" style="574" customWidth="1"/>
    <col min="7" max="7" width="20.33203125" style="576" customWidth="1"/>
    <col min="8" max="8" width="35.109375" style="574" customWidth="1"/>
    <col min="9" max="9" width="23.5546875" style="576" hidden="1" customWidth="1"/>
    <col min="10" max="10" width="9.109375" style="574"/>
    <col min="11" max="11" width="13.33203125" style="574" customWidth="1"/>
    <col min="12" max="12" width="10" style="574" bestFit="1" customWidth="1"/>
    <col min="13" max="13" width="21.6640625" style="574" customWidth="1"/>
    <col min="14" max="16384" width="9.109375" style="574"/>
  </cols>
  <sheetData>
    <row r="1" spans="1:13" s="568" customFormat="1" ht="19.5" customHeight="1" x14ac:dyDescent="0.25">
      <c r="A1" s="891" t="s">
        <v>82</v>
      </c>
      <c r="B1" s="884" t="s">
        <v>83</v>
      </c>
      <c r="C1" s="884" t="s">
        <v>84</v>
      </c>
      <c r="D1" s="567"/>
      <c r="E1" s="884" t="s">
        <v>1547</v>
      </c>
      <c r="F1" s="884"/>
      <c r="G1" s="884"/>
      <c r="H1" s="864" t="s">
        <v>85</v>
      </c>
      <c r="I1" s="861" t="s">
        <v>1281</v>
      </c>
    </row>
    <row r="2" spans="1:13" s="568" customFormat="1" ht="16.5" customHeight="1" x14ac:dyDescent="0.25">
      <c r="A2" s="892"/>
      <c r="B2" s="885"/>
      <c r="C2" s="885"/>
      <c r="D2" s="882">
        <v>1</v>
      </c>
      <c r="E2" s="885" t="s">
        <v>2997</v>
      </c>
      <c r="F2" s="885"/>
      <c r="G2" s="883" t="s">
        <v>86</v>
      </c>
      <c r="H2" s="865"/>
      <c r="I2" s="862"/>
    </row>
    <row r="3" spans="1:13" s="568" customFormat="1" ht="18" customHeight="1" x14ac:dyDescent="0.25">
      <c r="A3" s="892"/>
      <c r="B3" s="885"/>
      <c r="C3" s="885"/>
      <c r="D3" s="882"/>
      <c r="E3" s="885" t="s">
        <v>2998</v>
      </c>
      <c r="F3" s="885"/>
      <c r="G3" s="883"/>
      <c r="H3" s="569" t="s">
        <v>87</v>
      </c>
      <c r="I3" s="570">
        <v>30.126000000000001</v>
      </c>
    </row>
    <row r="4" spans="1:13" s="573" customFormat="1" ht="24.75" customHeight="1" x14ac:dyDescent="0.25">
      <c r="A4" s="893"/>
      <c r="B4" s="887" t="s">
        <v>637</v>
      </c>
      <c r="C4" s="890" t="s">
        <v>433</v>
      </c>
      <c r="D4" s="879">
        <f>'BS-SK format'!F8</f>
        <v>9087.01</v>
      </c>
      <c r="E4" s="879"/>
      <c r="F4" s="879"/>
      <c r="G4" s="879">
        <f>D4-D5</f>
        <v>9087.01</v>
      </c>
      <c r="H4" s="878">
        <v>9008</v>
      </c>
      <c r="I4" s="875">
        <f>H4*$I$3/1000</f>
        <v>271.37500800000004</v>
      </c>
      <c r="J4" s="571"/>
      <c r="K4" s="571"/>
      <c r="L4" s="571"/>
      <c r="M4" s="572"/>
    </row>
    <row r="5" spans="1:13" s="573" customFormat="1" ht="24.75" customHeight="1" x14ac:dyDescent="0.25">
      <c r="A5" s="893"/>
      <c r="B5" s="887"/>
      <c r="C5" s="890"/>
      <c r="D5" s="879">
        <f>'BS-SK format'!G8</f>
        <v>0</v>
      </c>
      <c r="E5" s="879"/>
      <c r="F5" s="879"/>
      <c r="G5" s="879"/>
      <c r="H5" s="878"/>
      <c r="I5" s="875"/>
    </row>
    <row r="6" spans="1:13" s="573" customFormat="1" ht="24.75" customHeight="1" x14ac:dyDescent="0.25">
      <c r="A6" s="886" t="s">
        <v>932</v>
      </c>
      <c r="B6" s="887" t="s">
        <v>638</v>
      </c>
      <c r="C6" s="890" t="s">
        <v>434</v>
      </c>
      <c r="D6" s="879">
        <f>'BS-SK format'!F11</f>
        <v>0</v>
      </c>
      <c r="E6" s="879"/>
      <c r="F6" s="879"/>
      <c r="G6" s="879">
        <f>D6-D7</f>
        <v>0</v>
      </c>
      <c r="H6" s="878">
        <f>'BS-SK format'!I11</f>
        <v>0</v>
      </c>
      <c r="I6" s="859">
        <f>H6*$I$3/1000</f>
        <v>0</v>
      </c>
      <c r="J6" s="572"/>
    </row>
    <row r="7" spans="1:13" s="573" customFormat="1" ht="24.75" customHeight="1" x14ac:dyDescent="0.25">
      <c r="A7" s="886"/>
      <c r="B7" s="887"/>
      <c r="C7" s="890"/>
      <c r="D7" s="879">
        <f>'BS-SK format'!G11</f>
        <v>0</v>
      </c>
      <c r="E7" s="879"/>
      <c r="F7" s="879"/>
      <c r="G7" s="879"/>
      <c r="H7" s="878"/>
      <c r="I7" s="860"/>
    </row>
    <row r="8" spans="1:13" s="573" customFormat="1" ht="24.75" customHeight="1" x14ac:dyDescent="0.25">
      <c r="A8" s="886" t="s">
        <v>948</v>
      </c>
      <c r="B8" s="887" t="s">
        <v>639</v>
      </c>
      <c r="C8" s="888" t="s">
        <v>435</v>
      </c>
      <c r="D8" s="879">
        <f>'BS-SK format'!F13</f>
        <v>0</v>
      </c>
      <c r="E8" s="879"/>
      <c r="F8" s="879"/>
      <c r="G8" s="879">
        <f>D8-D9</f>
        <v>0</v>
      </c>
      <c r="H8" s="878">
        <f>'BS-SK format'!I13</f>
        <v>0</v>
      </c>
      <c r="I8" s="859">
        <f>H8*$I$3/1000</f>
        <v>0</v>
      </c>
    </row>
    <row r="9" spans="1:13" s="573" customFormat="1" ht="24.75" customHeight="1" x14ac:dyDescent="0.25">
      <c r="A9" s="886"/>
      <c r="B9" s="887"/>
      <c r="C9" s="889"/>
      <c r="D9" s="879">
        <f>'BS-SK format'!G13</f>
        <v>0</v>
      </c>
      <c r="E9" s="879"/>
      <c r="F9" s="879"/>
      <c r="G9" s="879"/>
      <c r="H9" s="878"/>
      <c r="I9" s="860"/>
    </row>
    <row r="10" spans="1:13" s="568" customFormat="1" ht="24.75" customHeight="1" x14ac:dyDescent="0.25">
      <c r="A10" s="894" t="s">
        <v>2809</v>
      </c>
      <c r="B10" s="898" t="s">
        <v>1044</v>
      </c>
      <c r="C10" s="896" t="s">
        <v>436</v>
      </c>
      <c r="D10" s="866">
        <f>'BS-SK format'!F15</f>
        <v>0</v>
      </c>
      <c r="E10" s="866"/>
      <c r="F10" s="866"/>
      <c r="G10" s="866">
        <f>D10-D11</f>
        <v>0</v>
      </c>
      <c r="H10" s="863">
        <f>'BS-SK format'!I15</f>
        <v>0</v>
      </c>
      <c r="I10" s="859" t="e">
        <f>#REF!*$I$3/1000</f>
        <v>#REF!</v>
      </c>
    </row>
    <row r="11" spans="1:13" s="568" customFormat="1" ht="24.75" customHeight="1" x14ac:dyDescent="0.25">
      <c r="A11" s="895"/>
      <c r="B11" s="898"/>
      <c r="C11" s="897"/>
      <c r="D11" s="866">
        <f>'BS-SK format'!G15</f>
        <v>0</v>
      </c>
      <c r="E11" s="866"/>
      <c r="F11" s="866"/>
      <c r="G11" s="866"/>
      <c r="H11" s="863"/>
      <c r="I11" s="860"/>
    </row>
    <row r="12" spans="1:13" s="568" customFormat="1" ht="24.75" customHeight="1" x14ac:dyDescent="0.25">
      <c r="A12" s="899" t="s">
        <v>1043</v>
      </c>
      <c r="B12" s="898" t="s">
        <v>1045</v>
      </c>
      <c r="C12" s="896" t="s">
        <v>437</v>
      </c>
      <c r="D12" s="866">
        <f>'BS-SK format'!F16</f>
        <v>0</v>
      </c>
      <c r="E12" s="866"/>
      <c r="F12" s="866"/>
      <c r="G12" s="869">
        <f>D12-D13</f>
        <v>0</v>
      </c>
      <c r="H12" s="863">
        <f>'BS-SK format'!I16</f>
        <v>0</v>
      </c>
      <c r="I12" s="859">
        <f>H10*$I$3/1000</f>
        <v>0</v>
      </c>
    </row>
    <row r="13" spans="1:13" s="568" customFormat="1" ht="24.75" customHeight="1" x14ac:dyDescent="0.25">
      <c r="A13" s="899"/>
      <c r="B13" s="898"/>
      <c r="C13" s="897"/>
      <c r="D13" s="866">
        <f>'BS-SK format'!G16</f>
        <v>0</v>
      </c>
      <c r="E13" s="866"/>
      <c r="F13" s="866"/>
      <c r="G13" s="869"/>
      <c r="H13" s="863"/>
      <c r="I13" s="860"/>
    </row>
    <row r="14" spans="1:13" s="568" customFormat="1" ht="24.75" customHeight="1" x14ac:dyDescent="0.25">
      <c r="A14" s="900" t="s">
        <v>774</v>
      </c>
      <c r="B14" s="898" t="s">
        <v>1047</v>
      </c>
      <c r="C14" s="896" t="s">
        <v>438</v>
      </c>
      <c r="D14" s="866">
        <f>'BS-SK format'!F17</f>
        <v>0</v>
      </c>
      <c r="E14" s="866"/>
      <c r="F14" s="866"/>
      <c r="G14" s="866">
        <f>D14-D15</f>
        <v>0</v>
      </c>
      <c r="H14" s="863">
        <f>'BS-SK format'!I17</f>
        <v>0</v>
      </c>
      <c r="I14" s="859">
        <f>H12*$I$3/1000</f>
        <v>0</v>
      </c>
    </row>
    <row r="15" spans="1:13" s="568" customFormat="1" ht="24.75" customHeight="1" x14ac:dyDescent="0.25">
      <c r="A15" s="900"/>
      <c r="B15" s="898"/>
      <c r="C15" s="897"/>
      <c r="D15" s="866">
        <f>'BS-SK format'!G17</f>
        <v>0</v>
      </c>
      <c r="E15" s="866"/>
      <c r="F15" s="866"/>
      <c r="G15" s="866"/>
      <c r="H15" s="863"/>
      <c r="I15" s="860"/>
    </row>
    <row r="16" spans="1:13" s="568" customFormat="1" ht="24.75" customHeight="1" x14ac:dyDescent="0.25">
      <c r="A16" s="900" t="s">
        <v>1046</v>
      </c>
      <c r="B16" s="898" t="s">
        <v>1049</v>
      </c>
      <c r="C16" s="896" t="s">
        <v>439</v>
      </c>
      <c r="D16" s="866">
        <f>'BS-SK format'!F18</f>
        <v>0</v>
      </c>
      <c r="E16" s="866"/>
      <c r="F16" s="866"/>
      <c r="G16" s="866">
        <f>D16-D17</f>
        <v>0</v>
      </c>
      <c r="H16" s="863">
        <f>'BS-SK format'!I18</f>
        <v>0</v>
      </c>
      <c r="I16" s="859">
        <f>H14*$I$3/1000</f>
        <v>0</v>
      </c>
    </row>
    <row r="17" spans="1:10" s="568" customFormat="1" ht="24.75" customHeight="1" x14ac:dyDescent="0.25">
      <c r="A17" s="900"/>
      <c r="B17" s="898"/>
      <c r="C17" s="897"/>
      <c r="D17" s="866">
        <f>'BS-SK format'!G18</f>
        <v>0</v>
      </c>
      <c r="E17" s="866"/>
      <c r="F17" s="866"/>
      <c r="G17" s="866"/>
      <c r="H17" s="863"/>
      <c r="I17" s="860"/>
    </row>
    <row r="18" spans="1:10" s="568" customFormat="1" ht="24.75" customHeight="1" x14ac:dyDescent="0.25">
      <c r="A18" s="900" t="s">
        <v>1048</v>
      </c>
      <c r="B18" s="898" t="s">
        <v>1051</v>
      </c>
      <c r="C18" s="896" t="s">
        <v>440</v>
      </c>
      <c r="D18" s="869">
        <f>'BS-SK format'!F19</f>
        <v>0</v>
      </c>
      <c r="E18" s="869"/>
      <c r="F18" s="869"/>
      <c r="G18" s="866">
        <f>D18-D19</f>
        <v>0</v>
      </c>
      <c r="H18" s="863">
        <f>'BS-SK format'!I19</f>
        <v>0</v>
      </c>
      <c r="I18" s="859">
        <f>H16*$I$3/1000</f>
        <v>0</v>
      </c>
    </row>
    <row r="19" spans="1:10" s="568" customFormat="1" ht="24.75" customHeight="1" x14ac:dyDescent="0.25">
      <c r="A19" s="900"/>
      <c r="B19" s="898"/>
      <c r="C19" s="897"/>
      <c r="D19" s="869">
        <f>'BS-SK format'!G19</f>
        <v>0</v>
      </c>
      <c r="E19" s="869"/>
      <c r="F19" s="869"/>
      <c r="G19" s="866"/>
      <c r="H19" s="863"/>
      <c r="I19" s="860"/>
    </row>
    <row r="20" spans="1:10" s="568" customFormat="1" ht="24.75" customHeight="1" x14ac:dyDescent="0.25">
      <c r="A20" s="900" t="s">
        <v>1050</v>
      </c>
      <c r="B20" s="898" t="s">
        <v>1053</v>
      </c>
      <c r="C20" s="896" t="s">
        <v>441</v>
      </c>
      <c r="D20" s="866">
        <f>'BS-SK format'!F20</f>
        <v>0</v>
      </c>
      <c r="E20" s="866"/>
      <c r="F20" s="866"/>
      <c r="G20" s="866">
        <f>D20-D21</f>
        <v>0</v>
      </c>
      <c r="H20" s="863">
        <f>'BS-SK format'!I20</f>
        <v>0</v>
      </c>
      <c r="I20" s="859">
        <f>H18*$I$3/1000</f>
        <v>0</v>
      </c>
    </row>
    <row r="21" spans="1:10" s="568" customFormat="1" ht="24.75" customHeight="1" x14ac:dyDescent="0.25">
      <c r="A21" s="900"/>
      <c r="B21" s="898"/>
      <c r="C21" s="897"/>
      <c r="D21" s="866">
        <f>'BS-SK format'!G20</f>
        <v>0</v>
      </c>
      <c r="E21" s="866"/>
      <c r="F21" s="866"/>
      <c r="G21" s="866"/>
      <c r="H21" s="863"/>
      <c r="I21" s="860"/>
    </row>
    <row r="22" spans="1:10" s="568" customFormat="1" ht="24.75" customHeight="1" x14ac:dyDescent="0.25">
      <c r="A22" s="900" t="s">
        <v>1052</v>
      </c>
      <c r="B22" s="898" t="s">
        <v>1055</v>
      </c>
      <c r="C22" s="896" t="s">
        <v>1567</v>
      </c>
      <c r="D22" s="866">
        <f>'BS-SK format'!F21</f>
        <v>0</v>
      </c>
      <c r="E22" s="866"/>
      <c r="F22" s="866"/>
      <c r="G22" s="866">
        <f>D22-D23</f>
        <v>0</v>
      </c>
      <c r="H22" s="863">
        <f>'BS-SK format'!I21</f>
        <v>0</v>
      </c>
      <c r="I22" s="859">
        <f>H20*$I$3/1000</f>
        <v>0</v>
      </c>
    </row>
    <row r="23" spans="1:10" s="568" customFormat="1" ht="24.75" customHeight="1" x14ac:dyDescent="0.25">
      <c r="A23" s="900"/>
      <c r="B23" s="898"/>
      <c r="C23" s="897"/>
      <c r="D23" s="866">
        <f>'BS-SK format'!G21</f>
        <v>0</v>
      </c>
      <c r="E23" s="866"/>
      <c r="F23" s="866"/>
      <c r="G23" s="866"/>
      <c r="H23" s="863"/>
      <c r="I23" s="860"/>
    </row>
    <row r="24" spans="1:10" s="573" customFormat="1" ht="24" customHeight="1" x14ac:dyDescent="0.25">
      <c r="A24" s="886" t="s">
        <v>949</v>
      </c>
      <c r="B24" s="887" t="s">
        <v>640</v>
      </c>
      <c r="C24" s="888" t="s">
        <v>2697</v>
      </c>
      <c r="D24" s="879">
        <f>'BS-SK format'!F23</f>
        <v>0</v>
      </c>
      <c r="E24" s="879"/>
      <c r="F24" s="879"/>
      <c r="G24" s="879">
        <f>D24-D25</f>
        <v>0</v>
      </c>
      <c r="H24" s="878">
        <f>'BS-SK format'!I23</f>
        <v>0</v>
      </c>
      <c r="I24" s="859">
        <f>H24*$I$3/1000</f>
        <v>0</v>
      </c>
      <c r="J24" s="572"/>
    </row>
    <row r="25" spans="1:10" s="573" customFormat="1" ht="21.75" customHeight="1" x14ac:dyDescent="0.25">
      <c r="A25" s="886"/>
      <c r="B25" s="887"/>
      <c r="C25" s="889"/>
      <c r="D25" s="879">
        <f>'BS-SK format'!G23</f>
        <v>0</v>
      </c>
      <c r="E25" s="879"/>
      <c r="F25" s="879"/>
      <c r="G25" s="901"/>
      <c r="H25" s="878"/>
      <c r="I25" s="860"/>
    </row>
    <row r="26" spans="1:10" s="568" customFormat="1" ht="21.75" customHeight="1" x14ac:dyDescent="0.25">
      <c r="A26" s="894" t="s">
        <v>2811</v>
      </c>
      <c r="B26" s="898" t="s">
        <v>1057</v>
      </c>
      <c r="C26" s="896" t="s">
        <v>2699</v>
      </c>
      <c r="D26" s="866">
        <f>'BS-SK format'!F24</f>
        <v>0</v>
      </c>
      <c r="E26" s="866"/>
      <c r="F26" s="866"/>
      <c r="G26" s="866">
        <f>D26-D27</f>
        <v>0</v>
      </c>
      <c r="H26" s="863">
        <f>'BS-SK format'!I24</f>
        <v>0</v>
      </c>
      <c r="I26" s="859">
        <f>H26*$I$3/1000</f>
        <v>0</v>
      </c>
      <c r="J26" s="572"/>
    </row>
    <row r="27" spans="1:10" s="568" customFormat="1" ht="24" customHeight="1" x14ac:dyDescent="0.25">
      <c r="A27" s="903"/>
      <c r="B27" s="904"/>
      <c r="C27" s="905"/>
      <c r="D27" s="907">
        <f>'BS-SK format'!G24</f>
        <v>0</v>
      </c>
      <c r="E27" s="907"/>
      <c r="F27" s="907"/>
      <c r="G27" s="907"/>
      <c r="H27" s="902"/>
      <c r="I27" s="860"/>
    </row>
    <row r="28" spans="1:10" s="568" customFormat="1" ht="24" customHeight="1" x14ac:dyDescent="0.25">
      <c r="A28" s="900" t="s">
        <v>773</v>
      </c>
      <c r="B28" s="898" t="s">
        <v>1058</v>
      </c>
      <c r="C28" s="906" t="s">
        <v>262</v>
      </c>
      <c r="D28" s="881">
        <f>'BS-SK format'!F25</f>
        <v>0</v>
      </c>
      <c r="E28" s="881"/>
      <c r="F28" s="881"/>
      <c r="G28" s="881">
        <f>D28-D29</f>
        <v>0</v>
      </c>
      <c r="H28" s="863">
        <f>'BS-SK format'!I25</f>
        <v>0</v>
      </c>
      <c r="I28" s="876">
        <f>H28*$I$3/1000</f>
        <v>0</v>
      </c>
      <c r="J28" s="572"/>
    </row>
    <row r="29" spans="1:10" s="568" customFormat="1" ht="24" customHeight="1" thickBot="1" x14ac:dyDescent="0.3">
      <c r="A29" s="900"/>
      <c r="B29" s="898"/>
      <c r="C29" s="906"/>
      <c r="D29" s="881">
        <f>'BS-SK format'!G25</f>
        <v>0</v>
      </c>
      <c r="E29" s="881"/>
      <c r="F29" s="881"/>
      <c r="G29" s="881"/>
      <c r="H29" s="863"/>
      <c r="I29" s="877"/>
    </row>
    <row r="30" spans="1:10" ht="25.5" customHeight="1" x14ac:dyDescent="0.25">
      <c r="A30" s="909" t="s">
        <v>774</v>
      </c>
      <c r="B30" s="910" t="s">
        <v>1059</v>
      </c>
      <c r="C30" s="897" t="s">
        <v>2767</v>
      </c>
      <c r="D30" s="908">
        <f>'BS-SK format'!F26</f>
        <v>0</v>
      </c>
      <c r="E30" s="908"/>
      <c r="F30" s="908"/>
      <c r="G30" s="880">
        <f>D30-D31</f>
        <v>0</v>
      </c>
      <c r="H30" s="872">
        <f>'BS-SK format'!I26</f>
        <v>0</v>
      </c>
      <c r="I30" s="875">
        <f>H30*$I$3/1000</f>
        <v>0</v>
      </c>
      <c r="J30" s="572"/>
    </row>
    <row r="31" spans="1:10" ht="48" customHeight="1" thickBot="1" x14ac:dyDescent="0.3">
      <c r="A31" s="900"/>
      <c r="B31" s="898"/>
      <c r="C31" s="906"/>
      <c r="D31" s="866">
        <f>'BS-SK format'!G26</f>
        <v>0</v>
      </c>
      <c r="E31" s="866"/>
      <c r="F31" s="866"/>
      <c r="G31" s="881"/>
      <c r="H31" s="863"/>
      <c r="I31" s="875"/>
    </row>
    <row r="32" spans="1:10" s="568" customFormat="1" ht="17.25" customHeight="1" x14ac:dyDescent="0.25">
      <c r="A32" s="891" t="s">
        <v>82</v>
      </c>
      <c r="B32" s="884" t="s">
        <v>83</v>
      </c>
      <c r="C32" s="884" t="s">
        <v>84</v>
      </c>
      <c r="D32" s="884" t="s">
        <v>1547</v>
      </c>
      <c r="E32" s="884"/>
      <c r="F32" s="884"/>
      <c r="G32" s="884"/>
      <c r="H32" s="864" t="s">
        <v>85</v>
      </c>
      <c r="I32" s="861" t="s">
        <v>1281</v>
      </c>
    </row>
    <row r="33" spans="1:10" s="568" customFormat="1" ht="15.75" customHeight="1" x14ac:dyDescent="0.25">
      <c r="A33" s="892"/>
      <c r="B33" s="885"/>
      <c r="C33" s="885"/>
      <c r="D33" s="882">
        <v>1</v>
      </c>
      <c r="E33" s="885" t="s">
        <v>2997</v>
      </c>
      <c r="F33" s="885"/>
      <c r="G33" s="883" t="s">
        <v>86</v>
      </c>
      <c r="H33" s="865"/>
      <c r="I33" s="862"/>
    </row>
    <row r="34" spans="1:10" s="568" customFormat="1" ht="16.5" customHeight="1" x14ac:dyDescent="0.25">
      <c r="A34" s="892"/>
      <c r="B34" s="885"/>
      <c r="C34" s="885"/>
      <c r="D34" s="882"/>
      <c r="E34" s="885" t="s">
        <v>2998</v>
      </c>
      <c r="F34" s="885"/>
      <c r="G34" s="883"/>
      <c r="H34" s="569" t="s">
        <v>87</v>
      </c>
      <c r="I34" s="570">
        <v>30.126000000000001</v>
      </c>
    </row>
    <row r="35" spans="1:10" ht="23.25" customHeight="1" x14ac:dyDescent="0.25">
      <c r="A35" s="900" t="s">
        <v>1046</v>
      </c>
      <c r="B35" s="898" t="s">
        <v>2607</v>
      </c>
      <c r="C35" s="906" t="s">
        <v>347</v>
      </c>
      <c r="D35" s="866">
        <f>'BS-SK format'!F27</f>
        <v>0</v>
      </c>
      <c r="E35" s="866"/>
      <c r="F35" s="866"/>
      <c r="G35" s="866">
        <f>D35-D36</f>
        <v>0</v>
      </c>
      <c r="H35" s="863">
        <f>'BS-SK format'!I27</f>
        <v>0</v>
      </c>
      <c r="I35" s="859">
        <f>H35*$I$3/1000</f>
        <v>0</v>
      </c>
    </row>
    <row r="36" spans="1:10" ht="23.25" customHeight="1" x14ac:dyDescent="0.25">
      <c r="A36" s="900"/>
      <c r="B36" s="898"/>
      <c r="C36" s="906"/>
      <c r="D36" s="866">
        <f>'BS-SK format'!G27</f>
        <v>0</v>
      </c>
      <c r="E36" s="866"/>
      <c r="F36" s="866"/>
      <c r="G36" s="866"/>
      <c r="H36" s="863"/>
      <c r="I36" s="860"/>
    </row>
    <row r="37" spans="1:10" ht="23.25" customHeight="1" x14ac:dyDescent="0.25">
      <c r="A37" s="900" t="s">
        <v>1048</v>
      </c>
      <c r="B37" s="898" t="s">
        <v>2608</v>
      </c>
      <c r="C37" s="906" t="s">
        <v>743</v>
      </c>
      <c r="D37" s="866">
        <f>'BS-SK format'!F28</f>
        <v>0</v>
      </c>
      <c r="E37" s="866"/>
      <c r="F37" s="866"/>
      <c r="G37" s="866">
        <f>D37-D38</f>
        <v>0</v>
      </c>
      <c r="H37" s="863">
        <f>'BS-SK format'!I28</f>
        <v>0</v>
      </c>
      <c r="I37" s="859">
        <f>H37*$I$3/1000</f>
        <v>0</v>
      </c>
    </row>
    <row r="38" spans="1:10" ht="23.25" customHeight="1" x14ac:dyDescent="0.25">
      <c r="A38" s="900"/>
      <c r="B38" s="898"/>
      <c r="C38" s="906"/>
      <c r="D38" s="866">
        <f>'BS-SK format'!G28</f>
        <v>0</v>
      </c>
      <c r="E38" s="866"/>
      <c r="F38" s="866"/>
      <c r="G38" s="866"/>
      <c r="H38" s="863"/>
      <c r="I38" s="860"/>
    </row>
    <row r="39" spans="1:10" ht="24.75" customHeight="1" x14ac:dyDescent="0.25">
      <c r="A39" s="900" t="s">
        <v>1050</v>
      </c>
      <c r="B39" s="898" t="s">
        <v>1217</v>
      </c>
      <c r="C39" s="906" t="s">
        <v>744</v>
      </c>
      <c r="D39" s="866">
        <f>'BS-SK format'!F29</f>
        <v>0</v>
      </c>
      <c r="E39" s="866"/>
      <c r="F39" s="866"/>
      <c r="G39" s="866">
        <f>D39-D40</f>
        <v>0</v>
      </c>
      <c r="H39" s="863">
        <f>'BS-SK format'!I29</f>
        <v>0</v>
      </c>
      <c r="I39" s="859">
        <f>H39*$I$3/1000</f>
        <v>0</v>
      </c>
    </row>
    <row r="40" spans="1:10" ht="25.5" customHeight="1" x14ac:dyDescent="0.25">
      <c r="A40" s="900"/>
      <c r="B40" s="898"/>
      <c r="C40" s="906"/>
      <c r="D40" s="866">
        <f>'BS-SK format'!G29</f>
        <v>0</v>
      </c>
      <c r="E40" s="866"/>
      <c r="F40" s="866"/>
      <c r="G40" s="866"/>
      <c r="H40" s="863"/>
      <c r="I40" s="860"/>
    </row>
    <row r="41" spans="1:10" ht="24" customHeight="1" x14ac:dyDescent="0.25">
      <c r="A41" s="900" t="s">
        <v>1052</v>
      </c>
      <c r="B41" s="898" t="s">
        <v>1218</v>
      </c>
      <c r="C41" s="906" t="s">
        <v>2770</v>
      </c>
      <c r="D41" s="866">
        <f>'BS-SK format'!F30</f>
        <v>0</v>
      </c>
      <c r="E41" s="866"/>
      <c r="F41" s="866"/>
      <c r="G41" s="869">
        <f>D41-D42</f>
        <v>0</v>
      </c>
      <c r="H41" s="863">
        <f>'BS-SK format'!I30</f>
        <v>0</v>
      </c>
      <c r="I41" s="859">
        <f>H41*$I$3/1000</f>
        <v>0</v>
      </c>
      <c r="J41" s="572"/>
    </row>
    <row r="42" spans="1:10" ht="24.75" customHeight="1" x14ac:dyDescent="0.25">
      <c r="A42" s="900"/>
      <c r="B42" s="898"/>
      <c r="C42" s="906"/>
      <c r="D42" s="866">
        <f>'BS-SK format'!G30</f>
        <v>0</v>
      </c>
      <c r="E42" s="866"/>
      <c r="F42" s="866"/>
      <c r="G42" s="869"/>
      <c r="H42" s="863"/>
      <c r="I42" s="860"/>
    </row>
    <row r="43" spans="1:10" ht="24.75" customHeight="1" x14ac:dyDescent="0.25">
      <c r="A43" s="900" t="s">
        <v>1054</v>
      </c>
      <c r="B43" s="898" t="s">
        <v>1219</v>
      </c>
      <c r="C43" s="906" t="s">
        <v>2771</v>
      </c>
      <c r="D43" s="866">
        <f>'BS-SK format'!F31</f>
        <v>0</v>
      </c>
      <c r="E43" s="866"/>
      <c r="F43" s="866"/>
      <c r="G43" s="866">
        <f>D43-D44</f>
        <v>0</v>
      </c>
      <c r="H43" s="863">
        <f>'BS-SK format'!I31</f>
        <v>0</v>
      </c>
      <c r="I43" s="859">
        <f>H43*$I$3/1000</f>
        <v>0</v>
      </c>
    </row>
    <row r="44" spans="1:10" ht="28.5" customHeight="1" x14ac:dyDescent="0.25">
      <c r="A44" s="900"/>
      <c r="B44" s="898"/>
      <c r="C44" s="906"/>
      <c r="D44" s="866">
        <f>'BS-SK format'!G31</f>
        <v>0</v>
      </c>
      <c r="E44" s="866"/>
      <c r="F44" s="866"/>
      <c r="G44" s="866"/>
      <c r="H44" s="863"/>
      <c r="I44" s="860"/>
    </row>
    <row r="45" spans="1:10" ht="22.5" customHeight="1" x14ac:dyDescent="0.25">
      <c r="A45" s="900" t="s">
        <v>1220</v>
      </c>
      <c r="B45" s="898" t="s">
        <v>1221</v>
      </c>
      <c r="C45" s="906" t="s">
        <v>745</v>
      </c>
      <c r="D45" s="866">
        <f>'BS-SK format'!F32</f>
        <v>0</v>
      </c>
      <c r="E45" s="866"/>
      <c r="F45" s="866"/>
      <c r="G45" s="866">
        <f>D45-D46</f>
        <v>0</v>
      </c>
      <c r="H45" s="863">
        <f>'BS-SK format'!I32</f>
        <v>0</v>
      </c>
      <c r="I45" s="859">
        <f>H45*$I$3/1000</f>
        <v>0</v>
      </c>
    </row>
    <row r="46" spans="1:10" ht="23.25" customHeight="1" x14ac:dyDescent="0.25">
      <c r="A46" s="900"/>
      <c r="B46" s="898"/>
      <c r="C46" s="906"/>
      <c r="D46" s="866">
        <f>'BS-SK format'!G32</f>
        <v>0</v>
      </c>
      <c r="E46" s="866"/>
      <c r="F46" s="866"/>
      <c r="G46" s="866"/>
      <c r="H46" s="863"/>
      <c r="I46" s="860"/>
    </row>
    <row r="47" spans="1:10" s="575" customFormat="1" ht="21.75" customHeight="1" x14ac:dyDescent="0.25">
      <c r="A47" s="886" t="s">
        <v>1749</v>
      </c>
      <c r="B47" s="887" t="s">
        <v>641</v>
      </c>
      <c r="C47" s="906" t="s">
        <v>2775</v>
      </c>
      <c r="D47" s="879">
        <f>'BS-SK format'!F34</f>
        <v>0</v>
      </c>
      <c r="E47" s="879"/>
      <c r="F47" s="879"/>
      <c r="G47" s="879">
        <f>D47-D48</f>
        <v>0</v>
      </c>
      <c r="H47" s="878">
        <f>'BS-SK format'!I34</f>
        <v>0</v>
      </c>
      <c r="I47" s="859">
        <f>H47*$I$3/1000</f>
        <v>0</v>
      </c>
    </row>
    <row r="48" spans="1:10" s="575" customFormat="1" ht="22.5" customHeight="1" x14ac:dyDescent="0.25">
      <c r="A48" s="886"/>
      <c r="B48" s="887"/>
      <c r="C48" s="906"/>
      <c r="D48" s="879">
        <f>'BS-SK format'!G34</f>
        <v>0</v>
      </c>
      <c r="E48" s="879"/>
      <c r="F48" s="879"/>
      <c r="G48" s="879"/>
      <c r="H48" s="878"/>
      <c r="I48" s="860"/>
    </row>
    <row r="49" spans="1:9" ht="27" customHeight="1" x14ac:dyDescent="0.25">
      <c r="A49" s="911" t="s">
        <v>254</v>
      </c>
      <c r="B49" s="898" t="s">
        <v>2178</v>
      </c>
      <c r="C49" s="890" t="s">
        <v>2776</v>
      </c>
      <c r="D49" s="866">
        <f>'BS-SK format'!F35</f>
        <v>0</v>
      </c>
      <c r="E49" s="866"/>
      <c r="F49" s="866"/>
      <c r="G49" s="866">
        <f>D49-D50</f>
        <v>0</v>
      </c>
      <c r="H49" s="863">
        <f>'BS-SK format'!I35</f>
        <v>0</v>
      </c>
      <c r="I49" s="859">
        <f>H49*$I$3/1000</f>
        <v>0</v>
      </c>
    </row>
    <row r="50" spans="1:9" ht="25.5" customHeight="1" x14ac:dyDescent="0.25">
      <c r="A50" s="911"/>
      <c r="B50" s="898"/>
      <c r="C50" s="890"/>
      <c r="D50" s="866">
        <f>'BS-SK format'!G35</f>
        <v>0</v>
      </c>
      <c r="E50" s="866"/>
      <c r="F50" s="866"/>
      <c r="G50" s="866"/>
      <c r="H50" s="863"/>
      <c r="I50" s="860"/>
    </row>
    <row r="51" spans="1:9" ht="26.25" customHeight="1" x14ac:dyDescent="0.25">
      <c r="A51" s="900" t="s">
        <v>773</v>
      </c>
      <c r="B51" s="898" t="s">
        <v>2019</v>
      </c>
      <c r="C51" s="906" t="s">
        <v>902</v>
      </c>
      <c r="D51" s="866">
        <f>'BS-SK format'!F36</f>
        <v>0</v>
      </c>
      <c r="E51" s="866"/>
      <c r="F51" s="866"/>
      <c r="G51" s="866">
        <f>D51-D52</f>
        <v>0</v>
      </c>
      <c r="H51" s="863">
        <f>'BS-SK format'!I36</f>
        <v>0</v>
      </c>
      <c r="I51" s="859">
        <f>H51*$I$3/1000</f>
        <v>0</v>
      </c>
    </row>
    <row r="52" spans="1:9" ht="26.25" customHeight="1" x14ac:dyDescent="0.25">
      <c r="A52" s="900"/>
      <c r="B52" s="898"/>
      <c r="C52" s="906"/>
      <c r="D52" s="866">
        <f>'BS-SK format'!G36</f>
        <v>0</v>
      </c>
      <c r="E52" s="866"/>
      <c r="F52" s="866"/>
      <c r="G52" s="866"/>
      <c r="H52" s="863"/>
      <c r="I52" s="860"/>
    </row>
    <row r="53" spans="1:9" ht="24" customHeight="1" x14ac:dyDescent="0.25">
      <c r="A53" s="900" t="s">
        <v>774</v>
      </c>
      <c r="B53" s="898" t="s">
        <v>2020</v>
      </c>
      <c r="C53" s="906" t="s">
        <v>1037</v>
      </c>
      <c r="D53" s="866">
        <f>'BS-SK format'!F37</f>
        <v>0</v>
      </c>
      <c r="E53" s="866"/>
      <c r="F53" s="866"/>
      <c r="G53" s="866">
        <f>D53-D54</f>
        <v>0</v>
      </c>
      <c r="H53" s="863">
        <f>'BS-SK format'!I37</f>
        <v>0</v>
      </c>
      <c r="I53" s="859">
        <f>H53*$I$3/1000</f>
        <v>0</v>
      </c>
    </row>
    <row r="54" spans="1:9" ht="22.5" customHeight="1" x14ac:dyDescent="0.25">
      <c r="A54" s="900"/>
      <c r="B54" s="898"/>
      <c r="C54" s="906"/>
      <c r="D54" s="866">
        <f>'BS-SK format'!G37</f>
        <v>0</v>
      </c>
      <c r="E54" s="866"/>
      <c r="F54" s="866"/>
      <c r="G54" s="866"/>
      <c r="H54" s="863"/>
      <c r="I54" s="860"/>
    </row>
    <row r="55" spans="1:9" ht="26.25" customHeight="1" x14ac:dyDescent="0.25">
      <c r="A55" s="900" t="s">
        <v>1046</v>
      </c>
      <c r="B55" s="898" t="s">
        <v>2021</v>
      </c>
      <c r="C55" s="906" t="s">
        <v>1038</v>
      </c>
      <c r="D55" s="866">
        <f>'BS-SK format'!F38</f>
        <v>0</v>
      </c>
      <c r="E55" s="866"/>
      <c r="F55" s="866"/>
      <c r="G55" s="866">
        <f>D55-D56</f>
        <v>0</v>
      </c>
      <c r="H55" s="863">
        <f>'BS-SK format'!I38</f>
        <v>0</v>
      </c>
      <c r="I55" s="859">
        <f>H55*$I$3/1000</f>
        <v>0</v>
      </c>
    </row>
    <row r="56" spans="1:9" ht="26.25" customHeight="1" x14ac:dyDescent="0.25">
      <c r="A56" s="900"/>
      <c r="B56" s="898"/>
      <c r="C56" s="906"/>
      <c r="D56" s="866">
        <f>'BS-SK format'!G38</f>
        <v>0</v>
      </c>
      <c r="E56" s="866"/>
      <c r="F56" s="866"/>
      <c r="G56" s="866"/>
      <c r="H56" s="863"/>
      <c r="I56" s="860"/>
    </row>
    <row r="57" spans="1:9" ht="25.5" customHeight="1" x14ac:dyDescent="0.25">
      <c r="A57" s="900" t="s">
        <v>1048</v>
      </c>
      <c r="B57" s="898" t="s">
        <v>2022</v>
      </c>
      <c r="C57" s="906" t="s">
        <v>1041</v>
      </c>
      <c r="D57" s="866">
        <f>'BS-SK format'!F39</f>
        <v>0</v>
      </c>
      <c r="E57" s="866"/>
      <c r="F57" s="866"/>
      <c r="G57" s="866">
        <f>D57-D58</f>
        <v>0</v>
      </c>
      <c r="H57" s="863">
        <f>'BS-SK format'!I39</f>
        <v>0</v>
      </c>
      <c r="I57" s="859">
        <f>H57*$I$3/1000</f>
        <v>0</v>
      </c>
    </row>
    <row r="58" spans="1:9" ht="24" customHeight="1" x14ac:dyDescent="0.25">
      <c r="A58" s="900"/>
      <c r="B58" s="898"/>
      <c r="C58" s="906"/>
      <c r="D58" s="866">
        <f>'BS-SK format'!G39</f>
        <v>0</v>
      </c>
      <c r="E58" s="866"/>
      <c r="F58" s="866"/>
      <c r="G58" s="866"/>
      <c r="H58" s="863"/>
      <c r="I58" s="860"/>
    </row>
    <row r="59" spans="1:9" ht="26.25" customHeight="1" x14ac:dyDescent="0.25">
      <c r="A59" s="900" t="s">
        <v>1050</v>
      </c>
      <c r="B59" s="898" t="s">
        <v>2023</v>
      </c>
      <c r="C59" s="906" t="s">
        <v>747</v>
      </c>
      <c r="D59" s="866">
        <f>'BS-SK format'!F40</f>
        <v>0</v>
      </c>
      <c r="E59" s="866"/>
      <c r="F59" s="866"/>
      <c r="G59" s="866">
        <f>D59-D60</f>
        <v>0</v>
      </c>
      <c r="H59" s="863">
        <f>'BS-SK format'!I40</f>
        <v>0</v>
      </c>
      <c r="I59" s="876">
        <f>H59*$I$3/1000</f>
        <v>0</v>
      </c>
    </row>
    <row r="60" spans="1:9" ht="26.25" customHeight="1" thickBot="1" x14ac:dyDescent="0.3">
      <c r="A60" s="900"/>
      <c r="B60" s="898"/>
      <c r="C60" s="906"/>
      <c r="D60" s="866">
        <f>'BS-SK format'!G40</f>
        <v>0</v>
      </c>
      <c r="E60" s="866"/>
      <c r="F60" s="866"/>
      <c r="G60" s="866"/>
      <c r="H60" s="863"/>
      <c r="I60" s="877"/>
    </row>
    <row r="61" spans="1:9" ht="22.5" customHeight="1" x14ac:dyDescent="0.25">
      <c r="A61" s="909" t="s">
        <v>1052</v>
      </c>
      <c r="B61" s="910" t="s">
        <v>2024</v>
      </c>
      <c r="C61" s="897" t="s">
        <v>2633</v>
      </c>
      <c r="D61" s="908">
        <f>'BS-SK format'!F41</f>
        <v>0</v>
      </c>
      <c r="E61" s="908"/>
      <c r="F61" s="908"/>
      <c r="G61" s="908">
        <f>D61-D62</f>
        <v>0</v>
      </c>
      <c r="H61" s="872">
        <f>'BS-SK format'!I41</f>
        <v>0</v>
      </c>
      <c r="I61" s="875">
        <f>H61*$I$3/1000</f>
        <v>0</v>
      </c>
    </row>
    <row r="62" spans="1:9" ht="30.75" customHeight="1" thickBot="1" x14ac:dyDescent="0.3">
      <c r="A62" s="900"/>
      <c r="B62" s="898"/>
      <c r="C62" s="906"/>
      <c r="D62" s="866">
        <f>'BS-SK format'!G41</f>
        <v>0</v>
      </c>
      <c r="E62" s="866"/>
      <c r="F62" s="866"/>
      <c r="G62" s="866"/>
      <c r="H62" s="863"/>
      <c r="I62" s="875"/>
    </row>
    <row r="63" spans="1:9" s="568" customFormat="1" ht="16.5" customHeight="1" x14ac:dyDescent="0.25">
      <c r="A63" s="891" t="s">
        <v>82</v>
      </c>
      <c r="B63" s="884" t="s">
        <v>83</v>
      </c>
      <c r="C63" s="884" t="s">
        <v>84</v>
      </c>
      <c r="D63" s="884" t="s">
        <v>1547</v>
      </c>
      <c r="E63" s="884"/>
      <c r="F63" s="884"/>
      <c r="G63" s="884"/>
      <c r="H63" s="864" t="s">
        <v>85</v>
      </c>
      <c r="I63" s="861" t="s">
        <v>1281</v>
      </c>
    </row>
    <row r="64" spans="1:9" s="568" customFormat="1" ht="13.5" customHeight="1" x14ac:dyDescent="0.25">
      <c r="A64" s="892"/>
      <c r="B64" s="885"/>
      <c r="C64" s="885"/>
      <c r="D64" s="882">
        <v>1</v>
      </c>
      <c r="E64" s="885" t="s">
        <v>2997</v>
      </c>
      <c r="F64" s="885"/>
      <c r="G64" s="883" t="s">
        <v>86</v>
      </c>
      <c r="H64" s="865"/>
      <c r="I64" s="862"/>
    </row>
    <row r="65" spans="1:10" s="568" customFormat="1" ht="22.5" customHeight="1" x14ac:dyDescent="0.25">
      <c r="A65" s="892"/>
      <c r="B65" s="885"/>
      <c r="C65" s="885"/>
      <c r="D65" s="882"/>
      <c r="E65" s="885" t="s">
        <v>2998</v>
      </c>
      <c r="F65" s="885"/>
      <c r="G65" s="883"/>
      <c r="H65" s="569" t="s">
        <v>87</v>
      </c>
      <c r="I65" s="570"/>
    </row>
    <row r="66" spans="1:10" ht="26.25" customHeight="1" x14ac:dyDescent="0.25">
      <c r="A66" s="900" t="s">
        <v>1054</v>
      </c>
      <c r="B66" s="912" t="s">
        <v>2025</v>
      </c>
      <c r="C66" s="906" t="s">
        <v>308</v>
      </c>
      <c r="D66" s="866">
        <f>'BS-SK format'!F42</f>
        <v>0</v>
      </c>
      <c r="E66" s="866"/>
      <c r="F66" s="866"/>
      <c r="G66" s="866">
        <f>D66-D67</f>
        <v>0</v>
      </c>
      <c r="H66" s="863">
        <f>'BS-SK format'!I42</f>
        <v>0</v>
      </c>
      <c r="I66" s="859">
        <f>H66*$I$3/1000</f>
        <v>0</v>
      </c>
    </row>
    <row r="67" spans="1:10" ht="26.25" customHeight="1" x14ac:dyDescent="0.25">
      <c r="A67" s="900"/>
      <c r="B67" s="912"/>
      <c r="C67" s="906"/>
      <c r="D67" s="866">
        <f>'BS-SK format'!G42</f>
        <v>0</v>
      </c>
      <c r="E67" s="866"/>
      <c r="F67" s="866"/>
      <c r="G67" s="866"/>
      <c r="H67" s="863"/>
      <c r="I67" s="860"/>
    </row>
    <row r="68" spans="1:10" s="575" customFormat="1" ht="23.25" customHeight="1" x14ac:dyDescent="0.25">
      <c r="A68" s="886" t="s">
        <v>933</v>
      </c>
      <c r="B68" s="887" t="s">
        <v>1994</v>
      </c>
      <c r="C68" s="906" t="s">
        <v>1802</v>
      </c>
      <c r="D68" s="879">
        <f>'BS-SK format'!F44</f>
        <v>9087.01</v>
      </c>
      <c r="E68" s="879"/>
      <c r="F68" s="879"/>
      <c r="G68" s="879">
        <f>D68-D69</f>
        <v>9087.01</v>
      </c>
      <c r="H68" s="878">
        <v>9008</v>
      </c>
      <c r="I68" s="859">
        <f>H68*$I$3/1000</f>
        <v>271.37500800000004</v>
      </c>
      <c r="J68" s="572"/>
    </row>
    <row r="69" spans="1:10" s="575" customFormat="1" ht="23.25" customHeight="1" x14ac:dyDescent="0.25">
      <c r="A69" s="886"/>
      <c r="B69" s="887"/>
      <c r="C69" s="906"/>
      <c r="D69" s="879">
        <f>'BS-SK format'!G44</f>
        <v>0</v>
      </c>
      <c r="E69" s="879"/>
      <c r="F69" s="879"/>
      <c r="G69" s="879"/>
      <c r="H69" s="878"/>
      <c r="I69" s="860"/>
    </row>
    <row r="70" spans="1:10" s="575" customFormat="1" ht="23.25" customHeight="1" x14ac:dyDescent="0.25">
      <c r="A70" s="886" t="s">
        <v>942</v>
      </c>
      <c r="B70" s="887" t="s">
        <v>1995</v>
      </c>
      <c r="C70" s="906" t="s">
        <v>312</v>
      </c>
      <c r="D70" s="879">
        <f>'BS-SK format'!F46</f>
        <v>0</v>
      </c>
      <c r="E70" s="879"/>
      <c r="F70" s="879"/>
      <c r="G70" s="879">
        <f>D70-D71</f>
        <v>0</v>
      </c>
      <c r="H70" s="878">
        <f>'BS-SK format'!I46</f>
        <v>0</v>
      </c>
      <c r="I70" s="859">
        <f>H70*$I$3/1000</f>
        <v>0</v>
      </c>
      <c r="J70" s="572"/>
    </row>
    <row r="71" spans="1:10" s="575" customFormat="1" ht="22.5" customHeight="1" x14ac:dyDescent="0.25">
      <c r="A71" s="886"/>
      <c r="B71" s="887"/>
      <c r="C71" s="906"/>
      <c r="D71" s="879">
        <f>'BS-SK format'!G46</f>
        <v>0</v>
      </c>
      <c r="E71" s="879"/>
      <c r="F71" s="879"/>
      <c r="G71" s="879"/>
      <c r="H71" s="878"/>
      <c r="I71" s="860"/>
    </row>
    <row r="72" spans="1:10" ht="24" customHeight="1" x14ac:dyDescent="0.25">
      <c r="A72" s="894" t="s">
        <v>1042</v>
      </c>
      <c r="B72" s="898" t="s">
        <v>1160</v>
      </c>
      <c r="C72" s="906" t="s">
        <v>315</v>
      </c>
      <c r="D72" s="866">
        <f>'BS-SK format'!F47</f>
        <v>0</v>
      </c>
      <c r="E72" s="866"/>
      <c r="F72" s="866"/>
      <c r="G72" s="869">
        <f>D72-D73</f>
        <v>0</v>
      </c>
      <c r="H72" s="863">
        <f>'BS-SK format'!I47</f>
        <v>0</v>
      </c>
      <c r="I72" s="859">
        <f>H72*$I$3/1000</f>
        <v>0</v>
      </c>
      <c r="J72" s="572"/>
    </row>
    <row r="73" spans="1:10" ht="23.25" customHeight="1" x14ac:dyDescent="0.25">
      <c r="A73" s="894"/>
      <c r="B73" s="898"/>
      <c r="C73" s="906"/>
      <c r="D73" s="866">
        <f>'BS-SK format'!G47</f>
        <v>0</v>
      </c>
      <c r="E73" s="866"/>
      <c r="F73" s="866"/>
      <c r="G73" s="869"/>
      <c r="H73" s="863"/>
      <c r="I73" s="860"/>
    </row>
    <row r="74" spans="1:10" ht="24.75" customHeight="1" x14ac:dyDescent="0.25">
      <c r="A74" s="900" t="s">
        <v>773</v>
      </c>
      <c r="B74" s="898" t="s">
        <v>2677</v>
      </c>
      <c r="C74" s="906" t="s">
        <v>1805</v>
      </c>
      <c r="D74" s="866">
        <f>'BS-SK format'!F48</f>
        <v>0</v>
      </c>
      <c r="E74" s="866"/>
      <c r="F74" s="866"/>
      <c r="G74" s="869">
        <f>D74-D75</f>
        <v>0</v>
      </c>
      <c r="H74" s="863">
        <f>'BS-SK format'!I48</f>
        <v>0</v>
      </c>
      <c r="I74" s="859">
        <f>H74*$I$3/1000</f>
        <v>0</v>
      </c>
      <c r="J74" s="572"/>
    </row>
    <row r="75" spans="1:10" ht="24.75" customHeight="1" x14ac:dyDescent="0.25">
      <c r="A75" s="900"/>
      <c r="B75" s="898"/>
      <c r="C75" s="906"/>
      <c r="D75" s="866">
        <f>'BS-SK format'!G48</f>
        <v>0</v>
      </c>
      <c r="E75" s="866"/>
      <c r="F75" s="866"/>
      <c r="G75" s="869"/>
      <c r="H75" s="863"/>
      <c r="I75" s="860"/>
    </row>
    <row r="76" spans="1:10" ht="24.75" customHeight="1" x14ac:dyDescent="0.25">
      <c r="A76" s="900" t="s">
        <v>1046</v>
      </c>
      <c r="B76" s="898" t="s">
        <v>2678</v>
      </c>
      <c r="C76" s="906" t="s">
        <v>1806</v>
      </c>
      <c r="D76" s="866">
        <f>'BS-SK format'!F49</f>
        <v>0</v>
      </c>
      <c r="E76" s="866"/>
      <c r="F76" s="866"/>
      <c r="G76" s="869">
        <f>D76-D77</f>
        <v>0</v>
      </c>
      <c r="H76" s="863">
        <f>'BS-SK format'!I49</f>
        <v>0</v>
      </c>
      <c r="I76" s="859">
        <f>H76*$I$3/1000</f>
        <v>0</v>
      </c>
      <c r="J76" s="572"/>
    </row>
    <row r="77" spans="1:10" ht="24.75" customHeight="1" x14ac:dyDescent="0.25">
      <c r="A77" s="900"/>
      <c r="B77" s="898"/>
      <c r="C77" s="906"/>
      <c r="D77" s="866">
        <f>'BS-SK format'!G49</f>
        <v>0</v>
      </c>
      <c r="E77" s="866"/>
      <c r="F77" s="866"/>
      <c r="G77" s="869"/>
      <c r="H77" s="863"/>
      <c r="I77" s="860"/>
    </row>
    <row r="78" spans="1:10" ht="24.75" customHeight="1" x14ac:dyDescent="0.25">
      <c r="A78" s="900" t="s">
        <v>1048</v>
      </c>
      <c r="B78" s="898" t="s">
        <v>2679</v>
      </c>
      <c r="C78" s="906" t="s">
        <v>1808</v>
      </c>
      <c r="D78" s="866">
        <f>'BS-SK format'!F50</f>
        <v>0</v>
      </c>
      <c r="E78" s="866"/>
      <c r="F78" s="866"/>
      <c r="G78" s="866">
        <f>D78-D79</f>
        <v>0</v>
      </c>
      <c r="H78" s="863">
        <f>'BS-SK format'!I50</f>
        <v>0</v>
      </c>
      <c r="I78" s="859">
        <f>H78*$I$3/1000</f>
        <v>0</v>
      </c>
    </row>
    <row r="79" spans="1:10" ht="24.75" customHeight="1" x14ac:dyDescent="0.25">
      <c r="A79" s="900"/>
      <c r="B79" s="898"/>
      <c r="C79" s="906"/>
      <c r="D79" s="866">
        <f>'BS-SK format'!G50</f>
        <v>0</v>
      </c>
      <c r="E79" s="866"/>
      <c r="F79" s="866"/>
      <c r="G79" s="866"/>
      <c r="H79" s="863"/>
      <c r="I79" s="860"/>
    </row>
    <row r="80" spans="1:10" ht="23.25" customHeight="1" x14ac:dyDescent="0.25">
      <c r="A80" s="900" t="s">
        <v>1050</v>
      </c>
      <c r="B80" s="898" t="s">
        <v>658</v>
      </c>
      <c r="C80" s="906" t="s">
        <v>1809</v>
      </c>
      <c r="D80" s="866">
        <f>'BS-SK format'!F51</f>
        <v>0</v>
      </c>
      <c r="E80" s="866"/>
      <c r="F80" s="866"/>
      <c r="G80" s="869">
        <f>D80-D81</f>
        <v>0</v>
      </c>
      <c r="H80" s="863">
        <f>'BS-SK format'!I51</f>
        <v>0</v>
      </c>
      <c r="I80" s="859">
        <f>H80*$I$3/1000</f>
        <v>0</v>
      </c>
      <c r="J80" s="572"/>
    </row>
    <row r="81" spans="1:13" ht="22.5" customHeight="1" x14ac:dyDescent="0.25">
      <c r="A81" s="900"/>
      <c r="B81" s="898"/>
      <c r="C81" s="906"/>
      <c r="D81" s="866">
        <f>'BS-SK format'!G51</f>
        <v>0</v>
      </c>
      <c r="E81" s="866"/>
      <c r="F81" s="866"/>
      <c r="G81" s="869"/>
      <c r="H81" s="863"/>
      <c r="I81" s="860"/>
    </row>
    <row r="82" spans="1:13" ht="24.75" customHeight="1" x14ac:dyDescent="0.25">
      <c r="A82" s="900" t="s">
        <v>1052</v>
      </c>
      <c r="B82" s="898" t="s">
        <v>2680</v>
      </c>
      <c r="C82" s="906" t="s">
        <v>1810</v>
      </c>
      <c r="D82" s="866">
        <f>'BS-SK format'!F52</f>
        <v>0</v>
      </c>
      <c r="E82" s="866"/>
      <c r="F82" s="866"/>
      <c r="G82" s="866">
        <f>D82-D83</f>
        <v>0</v>
      </c>
      <c r="H82" s="863">
        <f>'BS-SK format'!I52</f>
        <v>0</v>
      </c>
      <c r="I82" s="859">
        <f>H82*$I$3/1000</f>
        <v>0</v>
      </c>
    </row>
    <row r="83" spans="1:13" ht="24.75" customHeight="1" x14ac:dyDescent="0.25">
      <c r="A83" s="900"/>
      <c r="B83" s="898"/>
      <c r="C83" s="906"/>
      <c r="D83" s="866">
        <f>'BS-SK format'!G52</f>
        <v>0</v>
      </c>
      <c r="E83" s="866"/>
      <c r="F83" s="866"/>
      <c r="G83" s="866"/>
      <c r="H83" s="863"/>
      <c r="I83" s="860"/>
    </row>
    <row r="84" spans="1:13" s="575" customFormat="1" ht="24.75" customHeight="1" x14ac:dyDescent="0.25">
      <c r="A84" s="886" t="s">
        <v>943</v>
      </c>
      <c r="B84" s="887" t="s">
        <v>1996</v>
      </c>
      <c r="C84" s="906" t="s">
        <v>1811</v>
      </c>
      <c r="D84" s="879">
        <f>'BS-SK format'!F54</f>
        <v>0</v>
      </c>
      <c r="E84" s="879"/>
      <c r="F84" s="879"/>
      <c r="G84" s="869">
        <f>D84-D85</f>
        <v>0</v>
      </c>
      <c r="H84" s="878">
        <f>'BS-SK format'!I54</f>
        <v>0</v>
      </c>
      <c r="I84" s="859">
        <f>H84*$I$3/1000</f>
        <v>0</v>
      </c>
    </row>
    <row r="85" spans="1:13" s="575" customFormat="1" ht="24.75" customHeight="1" x14ac:dyDescent="0.25">
      <c r="A85" s="886"/>
      <c r="B85" s="887"/>
      <c r="C85" s="906"/>
      <c r="D85" s="879">
        <f>'BS-SK format'!G54</f>
        <v>0</v>
      </c>
      <c r="E85" s="879"/>
      <c r="F85" s="879"/>
      <c r="G85" s="869"/>
      <c r="H85" s="878"/>
      <c r="I85" s="860"/>
    </row>
    <row r="86" spans="1:13" ht="27" customHeight="1" x14ac:dyDescent="0.25">
      <c r="A86" s="894" t="s">
        <v>1056</v>
      </c>
      <c r="B86" s="898" t="s">
        <v>2862</v>
      </c>
      <c r="C86" s="906" t="s">
        <v>1812</v>
      </c>
      <c r="D86" s="866">
        <f>'BS-SK format'!F55</f>
        <v>0</v>
      </c>
      <c r="E86" s="866"/>
      <c r="F86" s="866"/>
      <c r="G86" s="866">
        <f>D86-D87</f>
        <v>0</v>
      </c>
      <c r="H86" s="863">
        <f>'BS-SK format'!I55</f>
        <v>0</v>
      </c>
      <c r="I86" s="859">
        <f>H86*$I$3/1000</f>
        <v>0</v>
      </c>
    </row>
    <row r="87" spans="1:13" ht="26.25" customHeight="1" x14ac:dyDescent="0.25">
      <c r="A87" s="894"/>
      <c r="B87" s="898"/>
      <c r="C87" s="906"/>
      <c r="D87" s="866">
        <f>'BS-SK format'!G55</f>
        <v>0</v>
      </c>
      <c r="E87" s="866"/>
      <c r="F87" s="866"/>
      <c r="G87" s="866"/>
      <c r="H87" s="863"/>
      <c r="I87" s="860"/>
      <c r="J87" s="576"/>
      <c r="K87" s="576"/>
      <c r="L87" s="576"/>
      <c r="M87" s="576"/>
    </row>
    <row r="88" spans="1:13" ht="26.25" customHeight="1" x14ac:dyDescent="0.25">
      <c r="A88" s="916"/>
      <c r="B88" s="904" t="s">
        <v>2833</v>
      </c>
      <c r="C88" s="906" t="s">
        <v>1544</v>
      </c>
      <c r="D88" s="918">
        <f>'BS-SK format'!F56</f>
        <v>0</v>
      </c>
      <c r="E88" s="919"/>
      <c r="F88" s="920"/>
      <c r="G88" s="866">
        <f>D88-D89</f>
        <v>0</v>
      </c>
      <c r="H88" s="914">
        <f>'BS-SK format'!I56</f>
        <v>0</v>
      </c>
      <c r="I88" s="577"/>
    </row>
    <row r="89" spans="1:13" ht="26.25" customHeight="1" x14ac:dyDescent="0.25">
      <c r="A89" s="917"/>
      <c r="B89" s="910"/>
      <c r="C89" s="906"/>
      <c r="D89" s="918"/>
      <c r="E89" s="919"/>
      <c r="F89" s="920"/>
      <c r="G89" s="866"/>
      <c r="H89" s="915"/>
      <c r="I89" s="577"/>
    </row>
    <row r="90" spans="1:13" ht="27.75" customHeight="1" x14ac:dyDescent="0.25">
      <c r="A90" s="900" t="s">
        <v>773</v>
      </c>
      <c r="B90" s="912" t="s">
        <v>2863</v>
      </c>
      <c r="C90" s="906" t="s">
        <v>385</v>
      </c>
      <c r="D90" s="866">
        <f>'BS-SK format'!F57</f>
        <v>0</v>
      </c>
      <c r="E90" s="866"/>
      <c r="F90" s="866"/>
      <c r="G90" s="866">
        <f>D90-D91</f>
        <v>0</v>
      </c>
      <c r="H90" s="863">
        <f>'BS-SK format'!I57</f>
        <v>0</v>
      </c>
      <c r="I90" s="876">
        <f>H90*$I$3/1000</f>
        <v>0</v>
      </c>
    </row>
    <row r="91" spans="1:13" ht="33" customHeight="1" thickBot="1" x14ac:dyDescent="0.3">
      <c r="A91" s="900"/>
      <c r="B91" s="912"/>
      <c r="C91" s="906"/>
      <c r="D91" s="866">
        <f>'BS-SK format'!G57</f>
        <v>0</v>
      </c>
      <c r="E91" s="866"/>
      <c r="F91" s="866"/>
      <c r="G91" s="866"/>
      <c r="H91" s="863"/>
      <c r="I91" s="877"/>
    </row>
    <row r="92" spans="1:13" ht="24.75" customHeight="1" x14ac:dyDescent="0.25">
      <c r="A92" s="909" t="s">
        <v>774</v>
      </c>
      <c r="B92" s="913" t="s">
        <v>2864</v>
      </c>
      <c r="C92" s="906" t="s">
        <v>387</v>
      </c>
      <c r="D92" s="908">
        <f>'BS-SK format'!F58</f>
        <v>0</v>
      </c>
      <c r="E92" s="908"/>
      <c r="F92" s="908"/>
      <c r="G92" s="908">
        <f>D92-D93</f>
        <v>0</v>
      </c>
      <c r="H92" s="872">
        <f>'BS-SK format'!I58</f>
        <v>0</v>
      </c>
      <c r="I92" s="875">
        <f>H92*$I$3/1000</f>
        <v>0</v>
      </c>
    </row>
    <row r="93" spans="1:13" ht="43.5" customHeight="1" thickBot="1" x14ac:dyDescent="0.3">
      <c r="A93" s="900"/>
      <c r="B93" s="912"/>
      <c r="C93" s="924"/>
      <c r="D93" s="866">
        <f>'BS-SK format'!G58</f>
        <v>0</v>
      </c>
      <c r="E93" s="866"/>
      <c r="F93" s="866"/>
      <c r="G93" s="866"/>
      <c r="H93" s="863"/>
      <c r="I93" s="875"/>
    </row>
    <row r="94" spans="1:13" s="568" customFormat="1" ht="15" customHeight="1" x14ac:dyDescent="0.25">
      <c r="A94" s="891" t="s">
        <v>82</v>
      </c>
      <c r="B94" s="884" t="s">
        <v>83</v>
      </c>
      <c r="C94" s="884" t="s">
        <v>84</v>
      </c>
      <c r="D94" s="884" t="s">
        <v>1547</v>
      </c>
      <c r="E94" s="884"/>
      <c r="F94" s="884"/>
      <c r="G94" s="884"/>
      <c r="H94" s="864" t="s">
        <v>85</v>
      </c>
      <c r="I94" s="861" t="s">
        <v>1281</v>
      </c>
    </row>
    <row r="95" spans="1:13" s="568" customFormat="1" ht="15" customHeight="1" x14ac:dyDescent="0.25">
      <c r="A95" s="892"/>
      <c r="B95" s="885"/>
      <c r="C95" s="885"/>
      <c r="D95" s="882">
        <v>1</v>
      </c>
      <c r="E95" s="885" t="s">
        <v>2997</v>
      </c>
      <c r="F95" s="885"/>
      <c r="G95" s="883" t="s">
        <v>86</v>
      </c>
      <c r="H95" s="865"/>
      <c r="I95" s="862"/>
    </row>
    <row r="96" spans="1:13" s="568" customFormat="1" ht="15" customHeight="1" x14ac:dyDescent="0.25">
      <c r="A96" s="892"/>
      <c r="B96" s="885"/>
      <c r="C96" s="885"/>
      <c r="D96" s="882"/>
      <c r="E96" s="885" t="s">
        <v>2998</v>
      </c>
      <c r="F96" s="885"/>
      <c r="G96" s="883"/>
      <c r="H96" s="569" t="s">
        <v>87</v>
      </c>
      <c r="I96" s="570"/>
    </row>
    <row r="97" spans="1:11" ht="24.75" customHeight="1" x14ac:dyDescent="0.25">
      <c r="A97" s="900" t="s">
        <v>1046</v>
      </c>
      <c r="B97" s="912" t="s">
        <v>1326</v>
      </c>
      <c r="C97" s="906" t="s">
        <v>1545</v>
      </c>
      <c r="D97" s="866">
        <f>'BS-SK format'!F59</f>
        <v>0</v>
      </c>
      <c r="E97" s="866"/>
      <c r="F97" s="866"/>
      <c r="G97" s="866">
        <f>D97-D98</f>
        <v>0</v>
      </c>
      <c r="H97" s="863">
        <f>'BS-SK format'!I59</f>
        <v>0</v>
      </c>
      <c r="I97" s="859">
        <f>H97*$I$3/1000</f>
        <v>0</v>
      </c>
    </row>
    <row r="98" spans="1:11" ht="28.5" customHeight="1" x14ac:dyDescent="0.25">
      <c r="A98" s="900"/>
      <c r="B98" s="912"/>
      <c r="C98" s="906"/>
      <c r="D98" s="866">
        <f>'BS-SK format'!G59</f>
        <v>0</v>
      </c>
      <c r="E98" s="866"/>
      <c r="F98" s="866"/>
      <c r="G98" s="866"/>
      <c r="H98" s="863"/>
      <c r="I98" s="860"/>
    </row>
    <row r="99" spans="1:11" ht="23.25" customHeight="1" x14ac:dyDescent="0.25">
      <c r="A99" s="900" t="s">
        <v>1048</v>
      </c>
      <c r="B99" s="898" t="s">
        <v>1327</v>
      </c>
      <c r="C99" s="906" t="s">
        <v>1546</v>
      </c>
      <c r="D99" s="866">
        <f>'BS-SK format'!F60</f>
        <v>0</v>
      </c>
      <c r="E99" s="866"/>
      <c r="F99" s="866"/>
      <c r="G99" s="866">
        <f>D99-D100</f>
        <v>0</v>
      </c>
      <c r="H99" s="863">
        <f>'BS-SK format'!I60</f>
        <v>0</v>
      </c>
      <c r="I99" s="859">
        <f>H99*$I$3/1000</f>
        <v>0</v>
      </c>
    </row>
    <row r="100" spans="1:11" ht="23.25" customHeight="1" x14ac:dyDescent="0.25">
      <c r="A100" s="900"/>
      <c r="B100" s="898"/>
      <c r="C100" s="906"/>
      <c r="D100" s="866">
        <f>'BS-SK format'!G60</f>
        <v>0</v>
      </c>
      <c r="E100" s="866"/>
      <c r="F100" s="866"/>
      <c r="G100" s="866"/>
      <c r="H100" s="863"/>
      <c r="I100" s="860"/>
    </row>
    <row r="101" spans="1:11" ht="23.25" customHeight="1" x14ac:dyDescent="0.25">
      <c r="A101" s="900" t="s">
        <v>1050</v>
      </c>
      <c r="B101" s="898" t="s">
        <v>1328</v>
      </c>
      <c r="C101" s="906" t="s">
        <v>700</v>
      </c>
      <c r="D101" s="866">
        <f>'BS-SK format'!F61</f>
        <v>0</v>
      </c>
      <c r="E101" s="866"/>
      <c r="F101" s="866"/>
      <c r="G101" s="866">
        <f>D101-D102</f>
        <v>0</v>
      </c>
      <c r="H101" s="863">
        <f>'BS-SK format'!I61</f>
        <v>0</v>
      </c>
      <c r="I101" s="859">
        <f>H101*$I$3/1000</f>
        <v>0</v>
      </c>
    </row>
    <row r="102" spans="1:11" ht="23.25" customHeight="1" x14ac:dyDescent="0.25">
      <c r="A102" s="900"/>
      <c r="B102" s="898"/>
      <c r="C102" s="906"/>
      <c r="D102" s="866">
        <f>'BS-SK format'!G61</f>
        <v>0</v>
      </c>
      <c r="E102" s="866"/>
      <c r="F102" s="866"/>
      <c r="G102" s="866"/>
      <c r="H102" s="863"/>
      <c r="I102" s="860"/>
    </row>
    <row r="103" spans="1:11" s="575" customFormat="1" ht="22.5" customHeight="1" x14ac:dyDescent="0.25">
      <c r="A103" s="926" t="s">
        <v>279</v>
      </c>
      <c r="B103" s="887" t="s">
        <v>1997</v>
      </c>
      <c r="C103" s="906" t="s">
        <v>701</v>
      </c>
      <c r="D103" s="879">
        <f>'BS-SK format'!F63</f>
        <v>9070.5</v>
      </c>
      <c r="E103" s="879"/>
      <c r="F103" s="879"/>
      <c r="G103" s="879">
        <f>D103-D104</f>
        <v>9070.5</v>
      </c>
      <c r="H103" s="878">
        <v>9001</v>
      </c>
      <c r="I103" s="859">
        <f>H103*$I$3/1000</f>
        <v>271.16412600000001</v>
      </c>
      <c r="J103" s="578"/>
      <c r="K103" s="579"/>
    </row>
    <row r="104" spans="1:11" s="575" customFormat="1" ht="23.25" customHeight="1" x14ac:dyDescent="0.25">
      <c r="A104" s="926"/>
      <c r="B104" s="887"/>
      <c r="C104" s="906"/>
      <c r="D104" s="879">
        <f>'BS-SK format'!G63</f>
        <v>0</v>
      </c>
      <c r="E104" s="879"/>
      <c r="F104" s="879"/>
      <c r="G104" s="879"/>
      <c r="H104" s="878"/>
      <c r="I104" s="860"/>
      <c r="J104" s="578"/>
      <c r="K104" s="578"/>
    </row>
    <row r="105" spans="1:11" ht="24.75" customHeight="1" x14ac:dyDescent="0.25">
      <c r="A105" s="911" t="s">
        <v>746</v>
      </c>
      <c r="B105" s="912" t="s">
        <v>1330</v>
      </c>
      <c r="C105" s="906" t="s">
        <v>702</v>
      </c>
      <c r="D105" s="866">
        <f>'BS-SK format'!F64</f>
        <v>8541</v>
      </c>
      <c r="E105" s="866"/>
      <c r="F105" s="866"/>
      <c r="G105" s="869">
        <f>D105-D106</f>
        <v>8541</v>
      </c>
      <c r="H105" s="863">
        <f>'BS-SK format'!I55</f>
        <v>0</v>
      </c>
      <c r="I105" s="859">
        <f>H105*$I$3/1000</f>
        <v>0</v>
      </c>
      <c r="J105" s="580"/>
      <c r="K105" s="579"/>
    </row>
    <row r="106" spans="1:11" ht="27" customHeight="1" x14ac:dyDescent="0.25">
      <c r="A106" s="911"/>
      <c r="B106" s="912"/>
      <c r="C106" s="906"/>
      <c r="D106" s="866">
        <f>'BS-SK format'!G64</f>
        <v>0</v>
      </c>
      <c r="E106" s="866"/>
      <c r="F106" s="866"/>
      <c r="G106" s="869"/>
      <c r="H106" s="863"/>
      <c r="I106" s="860"/>
    </row>
    <row r="107" spans="1:11" ht="27" customHeight="1" x14ac:dyDescent="0.25">
      <c r="A107" s="900" t="s">
        <v>642</v>
      </c>
      <c r="B107" s="904" t="s">
        <v>2833</v>
      </c>
      <c r="C107" s="906" t="s">
        <v>703</v>
      </c>
      <c r="D107" s="918">
        <f>'BS-SK format'!F65</f>
        <v>0</v>
      </c>
      <c r="E107" s="919"/>
      <c r="F107" s="920"/>
      <c r="G107" s="866">
        <f>D107-D108</f>
        <v>0</v>
      </c>
      <c r="H107" s="914">
        <f>'BS-SK format'!I65</f>
        <v>0</v>
      </c>
      <c r="I107" s="581"/>
      <c r="J107" s="576"/>
      <c r="K107" s="576"/>
    </row>
    <row r="108" spans="1:11" ht="27" customHeight="1" x14ac:dyDescent="0.25">
      <c r="A108" s="900"/>
      <c r="B108" s="910"/>
      <c r="C108" s="906"/>
      <c r="D108" s="918"/>
      <c r="E108" s="919"/>
      <c r="F108" s="920"/>
      <c r="G108" s="866"/>
      <c r="H108" s="915"/>
      <c r="I108" s="581"/>
      <c r="J108" s="576"/>
      <c r="K108" s="576"/>
    </row>
    <row r="109" spans="1:11" ht="24.75" customHeight="1" x14ac:dyDescent="0.25">
      <c r="A109" s="900" t="s">
        <v>773</v>
      </c>
      <c r="B109" s="912" t="s">
        <v>2863</v>
      </c>
      <c r="C109" s="906" t="s">
        <v>704</v>
      </c>
      <c r="D109" s="866">
        <f>'BS-SK format'!F66</f>
        <v>0</v>
      </c>
      <c r="E109" s="866"/>
      <c r="F109" s="866"/>
      <c r="G109" s="866">
        <f>D109-D110</f>
        <v>0</v>
      </c>
      <c r="H109" s="863">
        <f>'BS-SK format'!I66</f>
        <v>0</v>
      </c>
      <c r="I109" s="867">
        <f>H109*$I$3/1000</f>
        <v>0</v>
      </c>
      <c r="J109" s="576"/>
      <c r="K109" s="576"/>
    </row>
    <row r="110" spans="1:11" ht="31.5" customHeight="1" x14ac:dyDescent="0.25">
      <c r="A110" s="900"/>
      <c r="B110" s="912"/>
      <c r="C110" s="906"/>
      <c r="D110" s="866">
        <f>'BS-SK format'!G66</f>
        <v>0</v>
      </c>
      <c r="E110" s="866"/>
      <c r="F110" s="866"/>
      <c r="G110" s="866"/>
      <c r="H110" s="863"/>
      <c r="I110" s="868"/>
      <c r="J110" s="576"/>
      <c r="K110" s="576"/>
    </row>
    <row r="111" spans="1:11" ht="24.75" customHeight="1" x14ac:dyDescent="0.25">
      <c r="A111" s="900" t="s">
        <v>774</v>
      </c>
      <c r="B111" s="912" t="s">
        <v>2864</v>
      </c>
      <c r="C111" s="906" t="s">
        <v>705</v>
      </c>
      <c r="D111" s="866">
        <f>'BS-SK format'!F67</f>
        <v>0</v>
      </c>
      <c r="E111" s="866"/>
      <c r="F111" s="866"/>
      <c r="G111" s="866">
        <f>D111-D112</f>
        <v>0</v>
      </c>
      <c r="H111" s="863">
        <f>'BS-SK format'!I67</f>
        <v>0</v>
      </c>
      <c r="I111" s="867">
        <f>H111*$I$3/1000</f>
        <v>0</v>
      </c>
      <c r="J111" s="576"/>
      <c r="K111" s="576"/>
    </row>
    <row r="112" spans="1:11" ht="27" customHeight="1" x14ac:dyDescent="0.25">
      <c r="A112" s="900"/>
      <c r="B112" s="912"/>
      <c r="C112" s="906"/>
      <c r="D112" s="866">
        <f>'BS-SK format'!G67</f>
        <v>0</v>
      </c>
      <c r="E112" s="866"/>
      <c r="F112" s="866"/>
      <c r="G112" s="866"/>
      <c r="H112" s="863"/>
      <c r="I112" s="868"/>
      <c r="J112" s="576"/>
      <c r="K112" s="576"/>
    </row>
    <row r="113" spans="1:11" ht="24.75" customHeight="1" x14ac:dyDescent="0.25">
      <c r="A113" s="900" t="s">
        <v>1046</v>
      </c>
      <c r="B113" s="912" t="s">
        <v>1331</v>
      </c>
      <c r="C113" s="906" t="s">
        <v>1474</v>
      </c>
      <c r="D113" s="866">
        <f>'BS-SK format'!F68</f>
        <v>0</v>
      </c>
      <c r="E113" s="866"/>
      <c r="F113" s="866"/>
      <c r="G113" s="866">
        <f>D113-D114</f>
        <v>0</v>
      </c>
      <c r="H113" s="863">
        <f>'BS-SK format'!I68</f>
        <v>0</v>
      </c>
      <c r="I113" s="867">
        <f>H113*$I$3/1000</f>
        <v>0</v>
      </c>
      <c r="J113" s="576"/>
      <c r="K113" s="576"/>
    </row>
    <row r="114" spans="1:11" ht="33.75" customHeight="1" x14ac:dyDescent="0.25">
      <c r="A114" s="900"/>
      <c r="B114" s="912"/>
      <c r="C114" s="906"/>
      <c r="D114" s="866">
        <f>'BS-SK format'!G68</f>
        <v>0</v>
      </c>
      <c r="E114" s="866"/>
      <c r="F114" s="866"/>
      <c r="G114" s="866"/>
      <c r="H114" s="863"/>
      <c r="I114" s="868"/>
      <c r="J114" s="576"/>
      <c r="K114" s="576"/>
    </row>
    <row r="115" spans="1:11" ht="22.5" customHeight="1" x14ac:dyDescent="0.25">
      <c r="A115" s="900" t="s">
        <v>1048</v>
      </c>
      <c r="B115" s="898" t="s">
        <v>1332</v>
      </c>
      <c r="C115" s="906" t="s">
        <v>1476</v>
      </c>
      <c r="D115" s="866">
        <f>'BS-SK format'!F69</f>
        <v>0</v>
      </c>
      <c r="E115" s="866"/>
      <c r="F115" s="866"/>
      <c r="G115" s="866">
        <f>D115-D116</f>
        <v>0</v>
      </c>
      <c r="H115" s="863">
        <f>'BS-SK format'!I69</f>
        <v>0</v>
      </c>
      <c r="I115" s="867">
        <f>H115*$I$3/1000</f>
        <v>0</v>
      </c>
      <c r="J115" s="576"/>
      <c r="K115" s="576"/>
    </row>
    <row r="116" spans="1:11" ht="22.5" customHeight="1" x14ac:dyDescent="0.25">
      <c r="A116" s="900"/>
      <c r="B116" s="898"/>
      <c r="C116" s="906"/>
      <c r="D116" s="866">
        <f>'BS-SK format'!G69</f>
        <v>0</v>
      </c>
      <c r="E116" s="866"/>
      <c r="F116" s="866"/>
      <c r="G116" s="866"/>
      <c r="H116" s="863"/>
      <c r="I116" s="868"/>
      <c r="J116" s="576"/>
      <c r="K116" s="576"/>
    </row>
    <row r="117" spans="1:11" ht="22.5" customHeight="1" x14ac:dyDescent="0.25">
      <c r="A117" s="900" t="s">
        <v>1050</v>
      </c>
      <c r="B117" s="898" t="s">
        <v>1333</v>
      </c>
      <c r="C117" s="906" t="s">
        <v>706</v>
      </c>
      <c r="D117" s="866">
        <f>'BS-SK format'!F70</f>
        <v>529.5</v>
      </c>
      <c r="E117" s="866"/>
      <c r="F117" s="866"/>
      <c r="G117" s="869">
        <f>D117-D118</f>
        <v>529.5</v>
      </c>
      <c r="H117" s="863">
        <f>'BS-SK format'!I70</f>
        <v>0</v>
      </c>
      <c r="I117" s="867">
        <f>H117*$I$3/1000</f>
        <v>0</v>
      </c>
      <c r="J117" s="582"/>
      <c r="K117" s="576"/>
    </row>
    <row r="118" spans="1:11" ht="23.25" customHeight="1" x14ac:dyDescent="0.25">
      <c r="A118" s="900"/>
      <c r="B118" s="898"/>
      <c r="C118" s="906"/>
      <c r="D118" s="866">
        <f>'BS-SK format'!G70</f>
        <v>0</v>
      </c>
      <c r="E118" s="866"/>
      <c r="F118" s="866"/>
      <c r="G118" s="869"/>
      <c r="H118" s="863"/>
      <c r="I118" s="868"/>
      <c r="J118" s="576"/>
      <c r="K118" s="576"/>
    </row>
    <row r="119" spans="1:11" ht="23.25" customHeight="1" x14ac:dyDescent="0.25">
      <c r="A119" s="900" t="s">
        <v>1052</v>
      </c>
      <c r="B119" s="898" t="s">
        <v>1327</v>
      </c>
      <c r="C119" s="906" t="s">
        <v>707</v>
      </c>
      <c r="D119" s="866">
        <f>'BS-SK format'!F71</f>
        <v>0</v>
      </c>
      <c r="E119" s="866"/>
      <c r="F119" s="866"/>
      <c r="G119" s="869">
        <f>D119-D120</f>
        <v>0</v>
      </c>
      <c r="H119" s="863">
        <f>'BS-SK format'!I71</f>
        <v>0</v>
      </c>
      <c r="I119" s="867">
        <f>H119*$I$3/1000</f>
        <v>0</v>
      </c>
      <c r="J119" s="582"/>
      <c r="K119" s="576"/>
    </row>
    <row r="120" spans="1:11" ht="23.25" customHeight="1" x14ac:dyDescent="0.25">
      <c r="A120" s="900"/>
      <c r="B120" s="898"/>
      <c r="C120" s="906"/>
      <c r="D120" s="866">
        <f>'BS-SK format'!G71</f>
        <v>0</v>
      </c>
      <c r="E120" s="866"/>
      <c r="F120" s="866"/>
      <c r="G120" s="869"/>
      <c r="H120" s="863"/>
      <c r="I120" s="868"/>
      <c r="J120" s="576"/>
      <c r="K120" s="576"/>
    </row>
    <row r="121" spans="1:11" s="575" customFormat="1" ht="24" customHeight="1" x14ac:dyDescent="0.25">
      <c r="A121" s="926" t="s">
        <v>1752</v>
      </c>
      <c r="B121" s="887" t="s">
        <v>1356</v>
      </c>
      <c r="C121" s="906" t="s">
        <v>708</v>
      </c>
      <c r="D121" s="879">
        <f>'BS-SK format'!F73</f>
        <v>16.509999999999991</v>
      </c>
      <c r="E121" s="879"/>
      <c r="F121" s="879"/>
      <c r="G121" s="879">
        <f>D121-D122</f>
        <v>16.509999999999991</v>
      </c>
      <c r="H121" s="878">
        <v>7</v>
      </c>
      <c r="I121" s="859">
        <f>H121*$I$3/1000</f>
        <v>0.21088200000000001</v>
      </c>
      <c r="J121" s="572"/>
    </row>
    <row r="122" spans="1:11" s="575" customFormat="1" ht="22.5" customHeight="1" x14ac:dyDescent="0.25">
      <c r="A122" s="926"/>
      <c r="B122" s="887"/>
      <c r="C122" s="906"/>
      <c r="D122" s="879">
        <f>'BS-SK format'!G73</f>
        <v>0</v>
      </c>
      <c r="E122" s="879"/>
      <c r="F122" s="879"/>
      <c r="G122" s="879"/>
      <c r="H122" s="878"/>
      <c r="I122" s="860"/>
    </row>
    <row r="123" spans="1:11" ht="24.75" customHeight="1" x14ac:dyDescent="0.25">
      <c r="A123" s="927" t="s">
        <v>1872</v>
      </c>
      <c r="B123" s="910" t="s">
        <v>1335</v>
      </c>
      <c r="C123" s="906" t="s">
        <v>709</v>
      </c>
      <c r="D123" s="908">
        <f>'BS-SK format'!F74</f>
        <v>16.509999999999991</v>
      </c>
      <c r="E123" s="908"/>
      <c r="F123" s="908"/>
      <c r="G123" s="870">
        <f>D123-D124</f>
        <v>16.509999999999991</v>
      </c>
      <c r="H123" s="872">
        <v>7</v>
      </c>
      <c r="I123" s="859">
        <f>H123*$I$3/1000</f>
        <v>0.21088200000000001</v>
      </c>
      <c r="J123" s="572"/>
    </row>
    <row r="124" spans="1:11" ht="24.75" customHeight="1" thickBot="1" x14ac:dyDescent="0.3">
      <c r="A124" s="928"/>
      <c r="B124" s="923"/>
      <c r="C124" s="924"/>
      <c r="D124" s="925">
        <f>'BS-SK format'!G74</f>
        <v>0</v>
      </c>
      <c r="E124" s="925"/>
      <c r="F124" s="925"/>
      <c r="G124" s="871"/>
      <c r="H124" s="873"/>
      <c r="I124" s="874"/>
    </row>
    <row r="125" spans="1:11" s="568" customFormat="1" ht="15.75" customHeight="1" x14ac:dyDescent="0.25">
      <c r="A125" s="891" t="s">
        <v>82</v>
      </c>
      <c r="B125" s="884" t="s">
        <v>83</v>
      </c>
      <c r="C125" s="884" t="s">
        <v>84</v>
      </c>
      <c r="D125" s="884" t="s">
        <v>1547</v>
      </c>
      <c r="E125" s="884"/>
      <c r="F125" s="884"/>
      <c r="G125" s="884"/>
      <c r="H125" s="864" t="s">
        <v>85</v>
      </c>
      <c r="I125" s="861" t="s">
        <v>1281</v>
      </c>
    </row>
    <row r="126" spans="1:11" s="568" customFormat="1" ht="14.25" customHeight="1" x14ac:dyDescent="0.25">
      <c r="A126" s="892"/>
      <c r="B126" s="885"/>
      <c r="C126" s="885"/>
      <c r="D126" s="882">
        <v>1</v>
      </c>
      <c r="E126" s="885" t="s">
        <v>2997</v>
      </c>
      <c r="F126" s="885"/>
      <c r="G126" s="883" t="s">
        <v>86</v>
      </c>
      <c r="H126" s="865"/>
      <c r="I126" s="862"/>
    </row>
    <row r="127" spans="1:11" s="568" customFormat="1" ht="15" customHeight="1" x14ac:dyDescent="0.25">
      <c r="A127" s="892"/>
      <c r="B127" s="885"/>
      <c r="C127" s="885"/>
      <c r="D127" s="882"/>
      <c r="E127" s="885" t="s">
        <v>2998</v>
      </c>
      <c r="F127" s="885"/>
      <c r="G127" s="883"/>
      <c r="H127" s="569" t="s">
        <v>87</v>
      </c>
      <c r="I127" s="570"/>
    </row>
    <row r="128" spans="1:11" ht="24.75" customHeight="1" x14ac:dyDescent="0.25">
      <c r="A128" s="900" t="s">
        <v>773</v>
      </c>
      <c r="B128" s="898" t="s">
        <v>1336</v>
      </c>
      <c r="C128" s="906" t="s">
        <v>710</v>
      </c>
      <c r="D128" s="866">
        <f>'BS-SK format'!F75</f>
        <v>0</v>
      </c>
      <c r="E128" s="866"/>
      <c r="F128" s="866"/>
      <c r="G128" s="869">
        <f>D128-D129</f>
        <v>0</v>
      </c>
      <c r="H128" s="863">
        <f>'BS-SK format'!I75</f>
        <v>0</v>
      </c>
      <c r="I128" s="875">
        <f t="shared" ref="I128:I144" si="0">H128*$I$3/1000</f>
        <v>0</v>
      </c>
      <c r="J128" s="572"/>
    </row>
    <row r="129" spans="1:11" ht="24.75" customHeight="1" x14ac:dyDescent="0.25">
      <c r="A129" s="900"/>
      <c r="B129" s="898"/>
      <c r="C129" s="906"/>
      <c r="D129" s="866">
        <f>'BS-SK format'!G75</f>
        <v>0</v>
      </c>
      <c r="E129" s="866"/>
      <c r="F129" s="866"/>
      <c r="G129" s="869"/>
      <c r="H129" s="863"/>
      <c r="I129" s="875"/>
    </row>
    <row r="130" spans="1:11" ht="24.75" customHeight="1" x14ac:dyDescent="0.25">
      <c r="A130" s="900" t="s">
        <v>774</v>
      </c>
      <c r="B130" s="898" t="s">
        <v>1337</v>
      </c>
      <c r="C130" s="906" t="s">
        <v>1085</v>
      </c>
      <c r="D130" s="866">
        <f>'BS-SK format'!F76</f>
        <v>0</v>
      </c>
      <c r="E130" s="866"/>
      <c r="F130" s="866"/>
      <c r="G130" s="866">
        <f>D130-D131</f>
        <v>0</v>
      </c>
      <c r="H130" s="863">
        <f>'BS-SK format'!I76</f>
        <v>0</v>
      </c>
      <c r="I130" s="859">
        <f t="shared" si="0"/>
        <v>0</v>
      </c>
    </row>
    <row r="131" spans="1:11" ht="24.75" customHeight="1" x14ac:dyDescent="0.25">
      <c r="A131" s="900"/>
      <c r="B131" s="898"/>
      <c r="C131" s="906"/>
      <c r="D131" s="866">
        <f>'BS-SK format'!G76</f>
        <v>0</v>
      </c>
      <c r="E131" s="866"/>
      <c r="F131" s="866"/>
      <c r="G131" s="866"/>
      <c r="H131" s="863"/>
      <c r="I131" s="860"/>
    </row>
    <row r="132" spans="1:11" ht="24.75" customHeight="1" x14ac:dyDescent="0.25">
      <c r="A132" s="900" t="s">
        <v>1046</v>
      </c>
      <c r="B132" s="898" t="s">
        <v>1338</v>
      </c>
      <c r="C132" s="906" t="s">
        <v>1086</v>
      </c>
      <c r="D132" s="866">
        <f>'BS-SK format'!F77</f>
        <v>0</v>
      </c>
      <c r="E132" s="866"/>
      <c r="F132" s="866"/>
      <c r="G132" s="866">
        <f>D132-D133</f>
        <v>0</v>
      </c>
      <c r="H132" s="863">
        <f>'BS-SK format'!I77</f>
        <v>0</v>
      </c>
      <c r="I132" s="859">
        <f t="shared" si="0"/>
        <v>0</v>
      </c>
    </row>
    <row r="133" spans="1:11" ht="24.75" customHeight="1" x14ac:dyDescent="0.25">
      <c r="A133" s="900"/>
      <c r="B133" s="898"/>
      <c r="C133" s="906"/>
      <c r="D133" s="866">
        <f>'BS-SK format'!G77</f>
        <v>0</v>
      </c>
      <c r="E133" s="866"/>
      <c r="F133" s="866"/>
      <c r="G133" s="866"/>
      <c r="H133" s="863"/>
      <c r="I133" s="860"/>
    </row>
    <row r="134" spans="1:11" ht="24.75" customHeight="1" x14ac:dyDescent="0.25">
      <c r="A134" s="900" t="s">
        <v>1048</v>
      </c>
      <c r="B134" s="898" t="s">
        <v>1339</v>
      </c>
      <c r="C134" s="906" t="s">
        <v>1087</v>
      </c>
      <c r="D134" s="866">
        <f>'BS-SK format'!F78</f>
        <v>0</v>
      </c>
      <c r="E134" s="866"/>
      <c r="F134" s="866"/>
      <c r="G134" s="866">
        <f>D134-D135</f>
        <v>0</v>
      </c>
      <c r="H134" s="863">
        <f>'BS-SK format'!I78</f>
        <v>0</v>
      </c>
      <c r="I134" s="859">
        <f t="shared" si="0"/>
        <v>0</v>
      </c>
    </row>
    <row r="135" spans="1:11" ht="24.75" customHeight="1" x14ac:dyDescent="0.25">
      <c r="A135" s="900"/>
      <c r="B135" s="898"/>
      <c r="C135" s="906"/>
      <c r="D135" s="866">
        <f>'BS-SK format'!G78</f>
        <v>0</v>
      </c>
      <c r="E135" s="866"/>
      <c r="F135" s="866"/>
      <c r="G135" s="866"/>
      <c r="H135" s="863"/>
      <c r="I135" s="860"/>
    </row>
    <row r="136" spans="1:11" s="575" customFormat="1" ht="24.75" customHeight="1" x14ac:dyDescent="0.25">
      <c r="A136" s="886" t="s">
        <v>261</v>
      </c>
      <c r="B136" s="887" t="s">
        <v>2002</v>
      </c>
      <c r="C136" s="906" t="s">
        <v>224</v>
      </c>
      <c r="D136" s="879">
        <f>'BS-SK format'!F80</f>
        <v>0</v>
      </c>
      <c r="E136" s="879"/>
      <c r="F136" s="879"/>
      <c r="G136" s="879">
        <f>D136-D137</f>
        <v>0</v>
      </c>
      <c r="H136" s="878">
        <f>'BS-SK format'!I80</f>
        <v>0</v>
      </c>
      <c r="I136" s="859">
        <f t="shared" si="0"/>
        <v>0</v>
      </c>
      <c r="J136" s="572"/>
    </row>
    <row r="137" spans="1:11" s="575" customFormat="1" ht="24.75" customHeight="1" x14ac:dyDescent="0.25">
      <c r="A137" s="886"/>
      <c r="B137" s="887"/>
      <c r="C137" s="906"/>
      <c r="D137" s="879">
        <f>'BS-SK format'!G80</f>
        <v>0</v>
      </c>
      <c r="E137" s="879"/>
      <c r="F137" s="879"/>
      <c r="G137" s="879"/>
      <c r="H137" s="878"/>
      <c r="I137" s="860"/>
    </row>
    <row r="138" spans="1:11" ht="24.75" customHeight="1" x14ac:dyDescent="0.25">
      <c r="A138" s="894" t="s">
        <v>1874</v>
      </c>
      <c r="B138" s="898" t="s">
        <v>1998</v>
      </c>
      <c r="C138" s="906" t="s">
        <v>226</v>
      </c>
      <c r="D138" s="866">
        <f>'BS-SK format'!F82</f>
        <v>0</v>
      </c>
      <c r="E138" s="866"/>
      <c r="F138" s="866"/>
      <c r="G138" s="869">
        <f>D138-D139</f>
        <v>0</v>
      </c>
      <c r="H138" s="902">
        <f>'BS-SK format'!I82</f>
        <v>0</v>
      </c>
      <c r="I138" s="859">
        <f t="shared" si="0"/>
        <v>0</v>
      </c>
    </row>
    <row r="139" spans="1:11" ht="24.75" customHeight="1" x14ac:dyDescent="0.25">
      <c r="A139" s="894"/>
      <c r="B139" s="898"/>
      <c r="C139" s="906"/>
      <c r="D139" s="866">
        <f>'BS-SK format'!G82</f>
        <v>0</v>
      </c>
      <c r="E139" s="866"/>
      <c r="F139" s="866"/>
      <c r="G139" s="869"/>
      <c r="H139" s="872"/>
      <c r="I139" s="860"/>
      <c r="J139" s="576"/>
      <c r="K139" s="576"/>
    </row>
    <row r="140" spans="1:11" ht="24.75" customHeight="1" x14ac:dyDescent="0.25">
      <c r="A140" s="900" t="s">
        <v>773</v>
      </c>
      <c r="B140" s="898" t="s">
        <v>1999</v>
      </c>
      <c r="C140" s="906" t="s">
        <v>228</v>
      </c>
      <c r="D140" s="866">
        <f>'BS-SK format'!F83</f>
        <v>0</v>
      </c>
      <c r="E140" s="866"/>
      <c r="F140" s="866"/>
      <c r="G140" s="866">
        <f>D140-D141</f>
        <v>0</v>
      </c>
      <c r="H140" s="902">
        <f>'BS-SK format'!I83</f>
        <v>0</v>
      </c>
      <c r="I140" s="859">
        <f t="shared" si="0"/>
        <v>0</v>
      </c>
      <c r="J140" s="582"/>
      <c r="K140" s="576"/>
    </row>
    <row r="141" spans="1:11" ht="24.75" customHeight="1" x14ac:dyDescent="0.25">
      <c r="A141" s="900"/>
      <c r="B141" s="898"/>
      <c r="C141" s="906"/>
      <c r="D141" s="866">
        <f>'BS-SK format'!G83</f>
        <v>0</v>
      </c>
      <c r="E141" s="866"/>
      <c r="F141" s="866"/>
      <c r="G141" s="866"/>
      <c r="H141" s="872"/>
      <c r="I141" s="860"/>
      <c r="J141" s="576"/>
      <c r="K141" s="576"/>
    </row>
    <row r="142" spans="1:11" ht="24.75" customHeight="1" x14ac:dyDescent="0.25">
      <c r="A142" s="900" t="s">
        <v>774</v>
      </c>
      <c r="B142" s="898" t="s">
        <v>2000</v>
      </c>
      <c r="C142" s="896" t="s">
        <v>1139</v>
      </c>
      <c r="D142" s="866">
        <f>'BS-SK format'!F84</f>
        <v>0</v>
      </c>
      <c r="E142" s="866"/>
      <c r="F142" s="866"/>
      <c r="G142" s="869">
        <f>D142-D143</f>
        <v>0</v>
      </c>
      <c r="H142" s="902">
        <f>'BS-SK format'!I84</f>
        <v>0</v>
      </c>
      <c r="I142" s="859">
        <f t="shared" si="0"/>
        <v>0</v>
      </c>
      <c r="J142" s="576"/>
      <c r="K142" s="576"/>
    </row>
    <row r="143" spans="1:11" ht="24.75" customHeight="1" x14ac:dyDescent="0.25">
      <c r="A143" s="900"/>
      <c r="B143" s="898"/>
      <c r="C143" s="897"/>
      <c r="D143" s="866">
        <f>'BS-SK format'!G84</f>
        <v>0</v>
      </c>
      <c r="E143" s="866"/>
      <c r="F143" s="866"/>
      <c r="G143" s="869"/>
      <c r="H143" s="872"/>
      <c r="I143" s="860"/>
      <c r="J143" s="576"/>
      <c r="K143" s="576"/>
    </row>
    <row r="144" spans="1:11" s="583" customFormat="1" ht="24.75" customHeight="1" x14ac:dyDescent="0.2">
      <c r="A144" s="900" t="s">
        <v>1046</v>
      </c>
      <c r="B144" s="898" t="s">
        <v>2001</v>
      </c>
      <c r="C144" s="906" t="s">
        <v>1141</v>
      </c>
      <c r="D144" s="866">
        <f>'BS-SK format'!F85</f>
        <v>0</v>
      </c>
      <c r="E144" s="866"/>
      <c r="F144" s="866"/>
      <c r="G144" s="866">
        <f>D144-D145</f>
        <v>0</v>
      </c>
      <c r="H144" s="902">
        <f>'BS-SK format'!I85</f>
        <v>0</v>
      </c>
      <c r="I144" s="859">
        <f t="shared" si="0"/>
        <v>0</v>
      </c>
      <c r="J144" s="572"/>
    </row>
    <row r="145" spans="1:11" s="583" customFormat="1" ht="24.75" customHeight="1" thickBot="1" x14ac:dyDescent="0.25">
      <c r="A145" s="922"/>
      <c r="B145" s="923"/>
      <c r="C145" s="924"/>
      <c r="D145" s="925">
        <f>'BS-SK format'!G85</f>
        <v>0</v>
      </c>
      <c r="E145" s="925"/>
      <c r="F145" s="925"/>
      <c r="G145" s="925"/>
      <c r="H145" s="921"/>
      <c r="I145" s="874"/>
    </row>
    <row r="146" spans="1:11" s="583" customFormat="1" ht="24.75" customHeight="1" x14ac:dyDescent="0.2">
      <c r="A146" s="584"/>
      <c r="B146" s="585"/>
      <c r="C146" s="586"/>
      <c r="D146" s="587"/>
      <c r="E146" s="587"/>
      <c r="F146" s="587"/>
      <c r="G146" s="587"/>
      <c r="H146" s="587"/>
      <c r="I146" s="588"/>
    </row>
    <row r="147" spans="1:11" s="583" customFormat="1" ht="12" customHeight="1" thickBot="1" x14ac:dyDescent="0.25">
      <c r="A147" s="589"/>
      <c r="B147" s="590"/>
      <c r="C147" s="591"/>
      <c r="D147" s="592"/>
      <c r="E147" s="592"/>
      <c r="F147" s="592"/>
      <c r="G147" s="592"/>
      <c r="H147" s="592"/>
      <c r="I147" s="593"/>
    </row>
    <row r="148" spans="1:11" ht="33.75" customHeight="1" x14ac:dyDescent="0.25">
      <c r="A148" s="594" t="s">
        <v>82</v>
      </c>
      <c r="B148" s="930" t="s">
        <v>2763</v>
      </c>
      <c r="C148" s="930"/>
      <c r="D148" s="930"/>
      <c r="E148" s="930"/>
      <c r="F148" s="566" t="s">
        <v>84</v>
      </c>
      <c r="G148" s="799" t="s">
        <v>2764</v>
      </c>
      <c r="H148" s="782" t="s">
        <v>2765</v>
      </c>
      <c r="I148" s="780" t="s">
        <v>1282</v>
      </c>
    </row>
    <row r="149" spans="1:11" s="575" customFormat="1" ht="24.75" customHeight="1" x14ac:dyDescent="0.25">
      <c r="A149" s="595"/>
      <c r="B149" s="887" t="s">
        <v>2004</v>
      </c>
      <c r="C149" s="887"/>
      <c r="D149" s="887"/>
      <c r="E149" s="887"/>
      <c r="F149" s="790" t="s">
        <v>1687</v>
      </c>
      <c r="G149" s="788">
        <f>'BS-SK format'!F93</f>
        <v>9087.01</v>
      </c>
      <c r="H149" s="596">
        <v>9008</v>
      </c>
      <c r="I149" s="786">
        <f>H149*$I$3/1000</f>
        <v>271.37500800000004</v>
      </c>
      <c r="K149" s="597" t="s">
        <v>3145</v>
      </c>
    </row>
    <row r="150" spans="1:11" s="575" customFormat="1" ht="24.75" customHeight="1" x14ac:dyDescent="0.25">
      <c r="A150" s="789" t="s">
        <v>932</v>
      </c>
      <c r="B150" s="887" t="s">
        <v>2005</v>
      </c>
      <c r="C150" s="887"/>
      <c r="D150" s="887"/>
      <c r="E150" s="887"/>
      <c r="F150" s="790" t="s">
        <v>1689</v>
      </c>
      <c r="G150" s="788">
        <f>'BS-SK format'!F95</f>
        <v>459.97000000000116</v>
      </c>
      <c r="H150" s="596">
        <v>1849</v>
      </c>
      <c r="I150" s="786">
        <f t="shared" ref="I150:I210" si="1">H150*$I$3/1000</f>
        <v>55.702974000000005</v>
      </c>
      <c r="J150" s="572"/>
      <c r="K150" s="575">
        <f>G150/G172</f>
        <v>5.3317244385096302E-2</v>
      </c>
    </row>
    <row r="151" spans="1:11" s="575" customFormat="1" ht="22.5" customHeight="1" x14ac:dyDescent="0.25">
      <c r="A151" s="789" t="s">
        <v>948</v>
      </c>
      <c r="B151" s="887" t="s">
        <v>2006</v>
      </c>
      <c r="C151" s="887"/>
      <c r="D151" s="887"/>
      <c r="E151" s="887"/>
      <c r="F151" s="790" t="s">
        <v>2467</v>
      </c>
      <c r="G151" s="788">
        <f>'BS-SK format'!F97</f>
        <v>11618</v>
      </c>
      <c r="H151" s="596">
        <f>'BS-SK format'!G97</f>
        <v>11618</v>
      </c>
      <c r="I151" s="786">
        <f t="shared" si="1"/>
        <v>350.00386800000001</v>
      </c>
      <c r="J151" s="572"/>
    </row>
    <row r="152" spans="1:11" ht="21" customHeight="1" x14ac:dyDescent="0.25">
      <c r="A152" s="791" t="s">
        <v>2809</v>
      </c>
      <c r="B152" s="898" t="s">
        <v>2810</v>
      </c>
      <c r="C152" s="898"/>
      <c r="D152" s="898"/>
      <c r="E152" s="898"/>
      <c r="F152" s="793" t="s">
        <v>1692</v>
      </c>
      <c r="G152" s="694">
        <f>'BS-SK format'!F98</f>
        <v>11618</v>
      </c>
      <c r="H152" s="598">
        <f>'BS-SK format'!G98</f>
        <v>11618</v>
      </c>
      <c r="I152" s="786">
        <f t="shared" si="1"/>
        <v>350.00386800000001</v>
      </c>
      <c r="J152" s="572"/>
    </row>
    <row r="153" spans="1:11" ht="48.75" customHeight="1" x14ac:dyDescent="0.25">
      <c r="A153" s="599" t="s">
        <v>82</v>
      </c>
      <c r="B153" s="931" t="s">
        <v>2763</v>
      </c>
      <c r="C153" s="931"/>
      <c r="D153" s="931"/>
      <c r="E153" s="931"/>
      <c r="F153" s="800" t="s">
        <v>84</v>
      </c>
      <c r="G153" s="800" t="s">
        <v>2764</v>
      </c>
      <c r="H153" s="600" t="s">
        <v>2765</v>
      </c>
      <c r="I153" s="601"/>
    </row>
    <row r="154" spans="1:11" ht="19.5" customHeight="1" x14ac:dyDescent="0.25">
      <c r="A154" s="792" t="s">
        <v>773</v>
      </c>
      <c r="B154" s="898" t="s">
        <v>2468</v>
      </c>
      <c r="C154" s="898"/>
      <c r="D154" s="898"/>
      <c r="E154" s="898"/>
      <c r="F154" s="793" t="s">
        <v>2470</v>
      </c>
      <c r="G154" s="783">
        <f>'BS-SK format'!F99</f>
        <v>0</v>
      </c>
      <c r="H154" s="598">
        <f>'BS-SK format'!G99</f>
        <v>0</v>
      </c>
      <c r="I154" s="786">
        <f t="shared" si="1"/>
        <v>0</v>
      </c>
    </row>
    <row r="155" spans="1:11" ht="22.5" customHeight="1" x14ac:dyDescent="0.25">
      <c r="A155" s="792" t="s">
        <v>774</v>
      </c>
      <c r="B155" s="898" t="s">
        <v>2469</v>
      </c>
      <c r="C155" s="898"/>
      <c r="D155" s="898"/>
      <c r="E155" s="898"/>
      <c r="F155" s="793" t="s">
        <v>1696</v>
      </c>
      <c r="G155" s="783">
        <f>'BS-SK format'!F100</f>
        <v>0</v>
      </c>
      <c r="H155" s="598">
        <f>'BS-SK format'!G100</f>
        <v>0</v>
      </c>
      <c r="I155" s="786">
        <f t="shared" si="1"/>
        <v>0</v>
      </c>
    </row>
    <row r="156" spans="1:11" ht="22.5" customHeight="1" x14ac:dyDescent="0.25">
      <c r="A156" s="792" t="s">
        <v>1046</v>
      </c>
      <c r="B156" s="898" t="s">
        <v>2003</v>
      </c>
      <c r="C156" s="898"/>
      <c r="D156" s="898"/>
      <c r="E156" s="898"/>
      <c r="F156" s="793" t="s">
        <v>1698</v>
      </c>
      <c r="G156" s="783">
        <f>'BS-SK format'!F101</f>
        <v>0</v>
      </c>
      <c r="H156" s="598">
        <f>'BS-SK format'!G101</f>
        <v>0</v>
      </c>
      <c r="I156" s="786">
        <f t="shared" si="1"/>
        <v>0</v>
      </c>
    </row>
    <row r="157" spans="1:11" s="575" customFormat="1" ht="24.75" customHeight="1" x14ac:dyDescent="0.25">
      <c r="A157" s="789" t="s">
        <v>949</v>
      </c>
      <c r="B157" s="887" t="s">
        <v>2007</v>
      </c>
      <c r="C157" s="887"/>
      <c r="D157" s="887"/>
      <c r="E157" s="887"/>
      <c r="F157" s="790" t="s">
        <v>1719</v>
      </c>
      <c r="G157" s="788">
        <f>'BS-SK format'!F103</f>
        <v>0</v>
      </c>
      <c r="H157" s="596">
        <f>'BS-SK format'!G103</f>
        <v>0</v>
      </c>
      <c r="I157" s="786">
        <f t="shared" si="1"/>
        <v>0</v>
      </c>
      <c r="J157" s="572"/>
    </row>
    <row r="158" spans="1:11" ht="22.5" customHeight="1" x14ac:dyDescent="0.25">
      <c r="A158" s="791" t="s">
        <v>2811</v>
      </c>
      <c r="B158" s="898" t="s">
        <v>251</v>
      </c>
      <c r="C158" s="898"/>
      <c r="D158" s="898"/>
      <c r="E158" s="898"/>
      <c r="F158" s="793" t="s">
        <v>1721</v>
      </c>
      <c r="G158" s="783">
        <f>'BS-SK format'!F104</f>
        <v>0</v>
      </c>
      <c r="H158" s="598">
        <f>'BS-SK format'!G104</f>
        <v>0</v>
      </c>
      <c r="I158" s="786">
        <f t="shared" si="1"/>
        <v>0</v>
      </c>
    </row>
    <row r="159" spans="1:11" ht="22.5" customHeight="1" x14ac:dyDescent="0.25">
      <c r="A159" s="792" t="s">
        <v>773</v>
      </c>
      <c r="B159" s="898" t="s">
        <v>252</v>
      </c>
      <c r="C159" s="898"/>
      <c r="D159" s="898"/>
      <c r="E159" s="898"/>
      <c r="F159" s="793" t="s">
        <v>729</v>
      </c>
      <c r="G159" s="783">
        <f>'BS-SK format'!F105</f>
        <v>0</v>
      </c>
      <c r="H159" s="598">
        <f>'BS-SK format'!G105</f>
        <v>0</v>
      </c>
      <c r="I159" s="786">
        <f t="shared" si="1"/>
        <v>0</v>
      </c>
    </row>
    <row r="160" spans="1:11" ht="30.75" customHeight="1" x14ac:dyDescent="0.25">
      <c r="A160" s="792" t="s">
        <v>774</v>
      </c>
      <c r="B160" s="898" t="s">
        <v>2812</v>
      </c>
      <c r="C160" s="898"/>
      <c r="D160" s="898"/>
      <c r="E160" s="898"/>
      <c r="F160" s="793" t="s">
        <v>730</v>
      </c>
      <c r="G160" s="783">
        <f>'BS-SK format'!F106</f>
        <v>0</v>
      </c>
      <c r="H160" s="598">
        <f>'BS-SK format'!G106</f>
        <v>0</v>
      </c>
      <c r="I160" s="786">
        <f t="shared" si="1"/>
        <v>0</v>
      </c>
    </row>
    <row r="161" spans="1:13" ht="29.25" customHeight="1" x14ac:dyDescent="0.25">
      <c r="A161" s="792" t="s">
        <v>1046</v>
      </c>
      <c r="B161" s="898" t="s">
        <v>2813</v>
      </c>
      <c r="C161" s="898"/>
      <c r="D161" s="898"/>
      <c r="E161" s="898"/>
      <c r="F161" s="793" t="s">
        <v>731</v>
      </c>
      <c r="G161" s="783">
        <f>'BS-SK format'!F107</f>
        <v>0</v>
      </c>
      <c r="H161" s="598">
        <f>'BS-SK format'!G107</f>
        <v>0</v>
      </c>
      <c r="I161" s="786">
        <f t="shared" si="1"/>
        <v>0</v>
      </c>
      <c r="J161" s="572"/>
    </row>
    <row r="162" spans="1:13" ht="23.25" customHeight="1" x14ac:dyDescent="0.25">
      <c r="A162" s="792" t="s">
        <v>1048</v>
      </c>
      <c r="B162" s="898" t="s">
        <v>2814</v>
      </c>
      <c r="C162" s="898"/>
      <c r="D162" s="898"/>
      <c r="E162" s="898"/>
      <c r="F162" s="793" t="s">
        <v>1724</v>
      </c>
      <c r="G162" s="783">
        <f>'BS-SK format'!F108</f>
        <v>0</v>
      </c>
      <c r="H162" s="598">
        <f>'BS-SK format'!G108</f>
        <v>0</v>
      </c>
      <c r="I162" s="786">
        <f t="shared" si="1"/>
        <v>0</v>
      </c>
    </row>
    <row r="163" spans="1:13" ht="25.5" customHeight="1" x14ac:dyDescent="0.25">
      <c r="A163" s="792" t="s">
        <v>1050</v>
      </c>
      <c r="B163" s="898" t="s">
        <v>48</v>
      </c>
      <c r="C163" s="898"/>
      <c r="D163" s="898"/>
      <c r="E163" s="898"/>
      <c r="F163" s="793" t="s">
        <v>1725</v>
      </c>
      <c r="G163" s="783">
        <f>'BS-SK format'!F109</f>
        <v>0</v>
      </c>
      <c r="H163" s="598">
        <f>'BS-SK format'!G109</f>
        <v>0</v>
      </c>
      <c r="I163" s="786">
        <f t="shared" si="1"/>
        <v>0</v>
      </c>
    </row>
    <row r="164" spans="1:13" s="575" customFormat="1" ht="24.75" customHeight="1" x14ac:dyDescent="0.25">
      <c r="A164" s="789" t="s">
        <v>1749</v>
      </c>
      <c r="B164" s="887" t="s">
        <v>2008</v>
      </c>
      <c r="C164" s="887"/>
      <c r="D164" s="887"/>
      <c r="E164" s="887"/>
      <c r="F164" s="793" t="s">
        <v>732</v>
      </c>
      <c r="G164" s="788">
        <f>'BS-SK format'!F111</f>
        <v>0</v>
      </c>
      <c r="H164" s="596">
        <f>'BS-SK format'!G111</f>
        <v>0</v>
      </c>
      <c r="I164" s="786">
        <f t="shared" si="1"/>
        <v>0</v>
      </c>
      <c r="J164" s="572"/>
    </row>
    <row r="165" spans="1:13" ht="24.75" customHeight="1" x14ac:dyDescent="0.25">
      <c r="A165" s="792" t="s">
        <v>254</v>
      </c>
      <c r="B165" s="898" t="s">
        <v>255</v>
      </c>
      <c r="C165" s="898"/>
      <c r="D165" s="898"/>
      <c r="E165" s="898"/>
      <c r="F165" s="793" t="s">
        <v>1729</v>
      </c>
      <c r="G165" s="694">
        <f>'BS-SK format'!F112</f>
        <v>0</v>
      </c>
      <c r="H165" s="598">
        <f>'BS-SK format'!G112</f>
        <v>0</v>
      </c>
      <c r="I165" s="786">
        <f t="shared" si="1"/>
        <v>0</v>
      </c>
      <c r="J165" s="572"/>
      <c r="M165" s="602"/>
    </row>
    <row r="166" spans="1:13" ht="24.75" customHeight="1" x14ac:dyDescent="0.25">
      <c r="A166" s="792" t="s">
        <v>773</v>
      </c>
      <c r="B166" s="898" t="s">
        <v>256</v>
      </c>
      <c r="C166" s="898"/>
      <c r="D166" s="898"/>
      <c r="E166" s="898"/>
      <c r="F166" s="793" t="s">
        <v>1730</v>
      </c>
      <c r="G166" s="783">
        <f>'BS-SK format'!F113</f>
        <v>0</v>
      </c>
      <c r="H166" s="598">
        <f>'BS-SK format'!G113</f>
        <v>0</v>
      </c>
      <c r="I166" s="786">
        <f t="shared" si="1"/>
        <v>0</v>
      </c>
      <c r="M166" s="602">
        <f t="shared" ref="M166:M167" si="2">H166-G166</f>
        <v>0</v>
      </c>
    </row>
    <row r="167" spans="1:13" ht="24.75" customHeight="1" x14ac:dyDescent="0.25">
      <c r="A167" s="792" t="s">
        <v>774</v>
      </c>
      <c r="B167" s="898" t="s">
        <v>2815</v>
      </c>
      <c r="C167" s="898"/>
      <c r="D167" s="898"/>
      <c r="E167" s="898"/>
      <c r="F167" s="793" t="s">
        <v>1731</v>
      </c>
      <c r="G167" s="783">
        <f>'BS-SK format'!F114</f>
        <v>0</v>
      </c>
      <c r="H167" s="598">
        <f>'BS-SK format'!G114</f>
        <v>0</v>
      </c>
      <c r="I167" s="786">
        <f t="shared" si="1"/>
        <v>0</v>
      </c>
      <c r="M167" s="602">
        <f t="shared" si="2"/>
        <v>0</v>
      </c>
    </row>
    <row r="168" spans="1:13" s="575" customFormat="1" ht="24.75" customHeight="1" x14ac:dyDescent="0.25">
      <c r="A168" s="789" t="s">
        <v>1750</v>
      </c>
      <c r="B168" s="887" t="s">
        <v>2009</v>
      </c>
      <c r="C168" s="887"/>
      <c r="D168" s="887"/>
      <c r="E168" s="887"/>
      <c r="F168" s="793" t="s">
        <v>1732</v>
      </c>
      <c r="G168" s="788">
        <f>'BS-SK format'!F116</f>
        <v>-9769.3700000000008</v>
      </c>
      <c r="H168" s="596">
        <v>-7737</v>
      </c>
      <c r="I168" s="786">
        <f t="shared" si="1"/>
        <v>-233.08486200000002</v>
      </c>
      <c r="J168" s="572"/>
      <c r="M168" s="602"/>
    </row>
    <row r="169" spans="1:13" ht="22.5" customHeight="1" x14ac:dyDescent="0.25">
      <c r="A169" s="792" t="s">
        <v>2816</v>
      </c>
      <c r="B169" s="898" t="s">
        <v>748</v>
      </c>
      <c r="C169" s="898"/>
      <c r="D169" s="898"/>
      <c r="E169" s="898"/>
      <c r="F169" s="793" t="s">
        <v>1733</v>
      </c>
      <c r="G169" s="783">
        <f>'BS-SK format'!F117</f>
        <v>0</v>
      </c>
      <c r="H169" s="598">
        <f>'BS-SK format'!G117</f>
        <v>0</v>
      </c>
      <c r="I169" s="786">
        <f t="shared" si="1"/>
        <v>0</v>
      </c>
      <c r="J169" s="572"/>
      <c r="M169" s="602"/>
    </row>
    <row r="170" spans="1:13" ht="22.5" customHeight="1" x14ac:dyDescent="0.25">
      <c r="A170" s="792" t="s">
        <v>773</v>
      </c>
      <c r="B170" s="898" t="s">
        <v>383</v>
      </c>
      <c r="C170" s="898"/>
      <c r="D170" s="898"/>
      <c r="E170" s="898"/>
      <c r="F170" s="793" t="s">
        <v>1736</v>
      </c>
      <c r="G170" s="783">
        <f>'BS-SK format'!F118</f>
        <v>-9769.3700000000008</v>
      </c>
      <c r="H170" s="598">
        <v>-7737</v>
      </c>
      <c r="I170" s="786">
        <f t="shared" si="1"/>
        <v>-233.08486200000002</v>
      </c>
      <c r="M170" s="602"/>
    </row>
    <row r="171" spans="1:13" s="575" customFormat="1" ht="31.5" customHeight="1" x14ac:dyDescent="0.25">
      <c r="A171" s="789" t="s">
        <v>1751</v>
      </c>
      <c r="B171" s="887" t="s">
        <v>2442</v>
      </c>
      <c r="C171" s="887"/>
      <c r="D171" s="887"/>
      <c r="E171" s="887"/>
      <c r="F171" s="793" t="s">
        <v>1926</v>
      </c>
      <c r="G171" s="788">
        <f>'BS-SK format'!F120</f>
        <v>-1388.659999999998</v>
      </c>
      <c r="H171" s="596">
        <v>-2032</v>
      </c>
      <c r="I171" s="786">
        <f t="shared" si="1"/>
        <v>-61.216031999999998</v>
      </c>
      <c r="J171" s="572"/>
      <c r="M171" s="602"/>
    </row>
    <row r="172" spans="1:13" s="575" customFormat="1" ht="25.5" customHeight="1" x14ac:dyDescent="0.25">
      <c r="A172" s="789" t="s">
        <v>933</v>
      </c>
      <c r="B172" s="887" t="s">
        <v>2443</v>
      </c>
      <c r="C172" s="887"/>
      <c r="D172" s="887"/>
      <c r="E172" s="887"/>
      <c r="F172" s="793" t="s">
        <v>1738</v>
      </c>
      <c r="G172" s="788">
        <f>'BS-SK format'!F122</f>
        <v>8627.0399999999991</v>
      </c>
      <c r="H172" s="596">
        <v>7159</v>
      </c>
      <c r="I172" s="786">
        <f t="shared" si="1"/>
        <v>215.67203400000002</v>
      </c>
      <c r="K172" s="597"/>
      <c r="M172" s="602"/>
    </row>
    <row r="173" spans="1:13" s="575" customFormat="1" ht="27" customHeight="1" x14ac:dyDescent="0.25">
      <c r="A173" s="789" t="s">
        <v>942</v>
      </c>
      <c r="B173" s="887" t="s">
        <v>2444</v>
      </c>
      <c r="C173" s="887"/>
      <c r="D173" s="887"/>
      <c r="E173" s="887"/>
      <c r="F173" s="793" t="s">
        <v>1198</v>
      </c>
      <c r="G173" s="788">
        <f>'BS-SK format'!F124</f>
        <v>0</v>
      </c>
      <c r="H173" s="596">
        <f>'BS-SK format'!G124</f>
        <v>0</v>
      </c>
      <c r="I173" s="786">
        <f t="shared" si="1"/>
        <v>0</v>
      </c>
      <c r="J173" s="582"/>
      <c r="K173" s="603"/>
      <c r="M173" s="602"/>
    </row>
    <row r="174" spans="1:13" ht="27.75" customHeight="1" x14ac:dyDescent="0.25">
      <c r="A174" s="791" t="s">
        <v>1042</v>
      </c>
      <c r="B174" s="898" t="s">
        <v>2446</v>
      </c>
      <c r="C174" s="898"/>
      <c r="D174" s="898"/>
      <c r="E174" s="898"/>
      <c r="F174" s="793" t="s">
        <v>2052</v>
      </c>
      <c r="G174" s="783">
        <f>'BS-SK format'!F125</f>
        <v>0</v>
      </c>
      <c r="H174" s="598">
        <f>'BS-SK format'!G125</f>
        <v>0</v>
      </c>
      <c r="I174" s="786">
        <f t="shared" si="1"/>
        <v>0</v>
      </c>
      <c r="J174" s="576"/>
      <c r="K174" s="576"/>
      <c r="M174" s="602"/>
    </row>
    <row r="175" spans="1:13" ht="27.75" customHeight="1" x14ac:dyDescent="0.25">
      <c r="A175" s="791" t="s">
        <v>773</v>
      </c>
      <c r="B175" s="898" t="s">
        <v>2447</v>
      </c>
      <c r="C175" s="898"/>
      <c r="D175" s="898"/>
      <c r="E175" s="898"/>
      <c r="F175" s="793" t="s">
        <v>1542</v>
      </c>
      <c r="G175" s="783">
        <f>'BS-SK format'!F126</f>
        <v>0</v>
      </c>
      <c r="H175" s="598">
        <f>'BS-SK format'!G126</f>
        <v>0</v>
      </c>
      <c r="I175" s="786">
        <f t="shared" si="1"/>
        <v>0</v>
      </c>
      <c r="J175" s="582"/>
      <c r="K175" s="576"/>
      <c r="M175" s="602"/>
    </row>
    <row r="176" spans="1:13" ht="24.75" customHeight="1" x14ac:dyDescent="0.25">
      <c r="A176" s="792" t="s">
        <v>774</v>
      </c>
      <c r="B176" s="898" t="s">
        <v>924</v>
      </c>
      <c r="C176" s="898"/>
      <c r="D176" s="898"/>
      <c r="E176" s="898"/>
      <c r="F176" s="793" t="s">
        <v>1300</v>
      </c>
      <c r="G176" s="694">
        <f>'BS-SK format'!F127</f>
        <v>0</v>
      </c>
      <c r="H176" s="598">
        <f>'BS-SK format'!G127</f>
        <v>0</v>
      </c>
      <c r="I176" s="786">
        <f t="shared" si="1"/>
        <v>0</v>
      </c>
      <c r="J176" s="576"/>
      <c r="K176" s="576"/>
      <c r="M176" s="602"/>
    </row>
    <row r="177" spans="1:13" ht="24.75" customHeight="1" x14ac:dyDescent="0.25">
      <c r="A177" s="792" t="s">
        <v>1046</v>
      </c>
      <c r="B177" s="898" t="s">
        <v>1357</v>
      </c>
      <c r="C177" s="898"/>
      <c r="D177" s="898"/>
      <c r="E177" s="898"/>
      <c r="F177" s="793" t="s">
        <v>2375</v>
      </c>
      <c r="G177" s="694">
        <f>'BS-SK format'!F128</f>
        <v>0</v>
      </c>
      <c r="H177" s="598">
        <f>'BS-SK format'!G128</f>
        <v>0</v>
      </c>
      <c r="I177" s="786">
        <f t="shared" si="1"/>
        <v>0</v>
      </c>
      <c r="J177" s="582"/>
      <c r="K177" s="576"/>
      <c r="M177" s="602"/>
    </row>
    <row r="178" spans="1:13" s="575" customFormat="1" ht="24.75" customHeight="1" x14ac:dyDescent="0.25">
      <c r="A178" s="789" t="s">
        <v>943</v>
      </c>
      <c r="B178" s="887" t="s">
        <v>2445</v>
      </c>
      <c r="C178" s="887"/>
      <c r="D178" s="887"/>
      <c r="E178" s="887"/>
      <c r="F178" s="793" t="s">
        <v>2377</v>
      </c>
      <c r="G178" s="788">
        <f>'BS-SK format'!F130</f>
        <v>0</v>
      </c>
      <c r="H178" s="596">
        <f>'BS-SK format'!G130</f>
        <v>0</v>
      </c>
      <c r="I178" s="786">
        <f t="shared" si="1"/>
        <v>0</v>
      </c>
      <c r="J178" s="572"/>
    </row>
    <row r="179" spans="1:13" ht="22.5" customHeight="1" x14ac:dyDescent="0.25">
      <c r="A179" s="798" t="s">
        <v>1056</v>
      </c>
      <c r="B179" s="910" t="s">
        <v>1566</v>
      </c>
      <c r="C179" s="910"/>
      <c r="D179" s="910"/>
      <c r="E179" s="910"/>
      <c r="F179" s="793" t="s">
        <v>2379</v>
      </c>
      <c r="G179" s="794">
        <f>'BS-SK format'!F131</f>
        <v>0</v>
      </c>
      <c r="H179" s="604">
        <f>'BS-SK format'!G131</f>
        <v>0</v>
      </c>
      <c r="I179" s="786">
        <f t="shared" si="1"/>
        <v>0</v>
      </c>
    </row>
    <row r="180" spans="1:13" ht="22.5" customHeight="1" x14ac:dyDescent="0.25">
      <c r="A180" s="798"/>
      <c r="B180" s="910" t="s">
        <v>2833</v>
      </c>
      <c r="C180" s="910"/>
      <c r="D180" s="910"/>
      <c r="E180" s="910"/>
      <c r="F180" s="793" t="s">
        <v>808</v>
      </c>
      <c r="G180" s="794">
        <f>'BS-SK format'!F132</f>
        <v>0</v>
      </c>
      <c r="H180" s="784">
        <f>'BS-SK format'!G132</f>
        <v>0</v>
      </c>
      <c r="I180" s="786"/>
    </row>
    <row r="181" spans="1:13" ht="22.5" customHeight="1" x14ac:dyDescent="0.25">
      <c r="A181" s="792" t="s">
        <v>773</v>
      </c>
      <c r="B181" s="898" t="s">
        <v>2370</v>
      </c>
      <c r="C181" s="898"/>
      <c r="D181" s="898"/>
      <c r="E181" s="898"/>
      <c r="F181" s="793" t="s">
        <v>41</v>
      </c>
      <c r="G181" s="783">
        <f>'BS-SK format'!F133</f>
        <v>0</v>
      </c>
      <c r="H181" s="781">
        <f>'BS-SK format'!G133</f>
        <v>0</v>
      </c>
      <c r="I181" s="786">
        <f t="shared" si="1"/>
        <v>0</v>
      </c>
    </row>
    <row r="182" spans="1:13" ht="32.25" customHeight="1" x14ac:dyDescent="0.25">
      <c r="A182" s="792" t="s">
        <v>774</v>
      </c>
      <c r="B182" s="898" t="s">
        <v>1358</v>
      </c>
      <c r="C182" s="898"/>
      <c r="D182" s="898"/>
      <c r="E182" s="898"/>
      <c r="F182" s="793" t="s">
        <v>1499</v>
      </c>
      <c r="G182" s="783">
        <f>'BS-SK format'!F134</f>
        <v>0</v>
      </c>
      <c r="H182" s="781">
        <f>'BS-SK format'!G134</f>
        <v>0</v>
      </c>
      <c r="I182" s="786">
        <f t="shared" si="1"/>
        <v>0</v>
      </c>
    </row>
    <row r="183" spans="1:13" ht="27" customHeight="1" x14ac:dyDescent="0.25">
      <c r="A183" s="792" t="s">
        <v>1046</v>
      </c>
      <c r="B183" s="898" t="s">
        <v>1359</v>
      </c>
      <c r="C183" s="898"/>
      <c r="D183" s="898"/>
      <c r="E183" s="898"/>
      <c r="F183" s="793" t="s">
        <v>274</v>
      </c>
      <c r="G183" s="783">
        <f>'BS-SK format'!F135</f>
        <v>0</v>
      </c>
      <c r="H183" s="781">
        <f>'BS-SK format'!G135</f>
        <v>0</v>
      </c>
      <c r="I183" s="786">
        <f t="shared" si="1"/>
        <v>0</v>
      </c>
    </row>
    <row r="184" spans="1:13" ht="24.75" customHeight="1" x14ac:dyDescent="0.25">
      <c r="A184" s="792" t="s">
        <v>1048</v>
      </c>
      <c r="B184" s="898" t="s">
        <v>1360</v>
      </c>
      <c r="C184" s="898"/>
      <c r="D184" s="898"/>
      <c r="E184" s="898"/>
      <c r="F184" s="793" t="s">
        <v>276</v>
      </c>
      <c r="G184" s="783">
        <f>'BS-SK format'!F136</f>
        <v>0</v>
      </c>
      <c r="H184" s="781">
        <f>'BS-SK format'!G136</f>
        <v>0</v>
      </c>
      <c r="I184" s="786">
        <f t="shared" si="1"/>
        <v>0</v>
      </c>
    </row>
    <row r="185" spans="1:13" ht="24.75" customHeight="1" thickBot="1" x14ac:dyDescent="0.3">
      <c r="A185" s="795" t="s">
        <v>1050</v>
      </c>
      <c r="B185" s="923" t="s">
        <v>699</v>
      </c>
      <c r="C185" s="923"/>
      <c r="D185" s="923"/>
      <c r="E185" s="923"/>
      <c r="F185" s="796" t="s">
        <v>278</v>
      </c>
      <c r="G185" s="797">
        <f>'BS-SK format'!F137</f>
        <v>0</v>
      </c>
      <c r="H185" s="785">
        <f>'BS-SK format'!G137</f>
        <v>0</v>
      </c>
      <c r="I185" s="786">
        <f t="shared" si="1"/>
        <v>0</v>
      </c>
    </row>
    <row r="186" spans="1:13" ht="35.25" customHeight="1" x14ac:dyDescent="0.25">
      <c r="A186" s="594" t="s">
        <v>82</v>
      </c>
      <c r="B186" s="930" t="s">
        <v>2763</v>
      </c>
      <c r="C186" s="930"/>
      <c r="D186" s="930"/>
      <c r="E186" s="930"/>
      <c r="F186" s="799" t="s">
        <v>84</v>
      </c>
      <c r="G186" s="799" t="s">
        <v>2764</v>
      </c>
      <c r="H186" s="782" t="s">
        <v>2765</v>
      </c>
      <c r="I186" s="615" t="s">
        <v>1282</v>
      </c>
    </row>
    <row r="187" spans="1:13" ht="24.75" customHeight="1" x14ac:dyDescent="0.25">
      <c r="A187" s="792" t="s">
        <v>1052</v>
      </c>
      <c r="B187" s="898" t="s">
        <v>2441</v>
      </c>
      <c r="C187" s="898"/>
      <c r="D187" s="898"/>
      <c r="E187" s="898"/>
      <c r="F187" s="793" t="s">
        <v>2411</v>
      </c>
      <c r="G187" s="783">
        <f>'BS-SK format'!F138</f>
        <v>0</v>
      </c>
      <c r="H187" s="781">
        <f>'BS-SK format'!G138</f>
        <v>0</v>
      </c>
      <c r="I187" s="616">
        <f t="shared" si="1"/>
        <v>0</v>
      </c>
    </row>
    <row r="188" spans="1:13" ht="21.75" customHeight="1" x14ac:dyDescent="0.25">
      <c r="A188" s="792" t="s">
        <v>1054</v>
      </c>
      <c r="B188" s="898" t="s">
        <v>273</v>
      </c>
      <c r="C188" s="898"/>
      <c r="D188" s="898"/>
      <c r="E188" s="898"/>
      <c r="F188" s="793" t="s">
        <v>2412</v>
      </c>
      <c r="G188" s="694">
        <f>'BS-SK format'!F139</f>
        <v>0</v>
      </c>
      <c r="H188" s="781">
        <f>'BS-SK format'!G139</f>
        <v>0</v>
      </c>
      <c r="I188" s="616">
        <f t="shared" si="1"/>
        <v>0</v>
      </c>
      <c r="J188" s="572"/>
    </row>
    <row r="189" spans="1:13" ht="22.5" customHeight="1" x14ac:dyDescent="0.25">
      <c r="A189" s="792" t="s">
        <v>1220</v>
      </c>
      <c r="B189" s="898" t="s">
        <v>1431</v>
      </c>
      <c r="C189" s="898"/>
      <c r="D189" s="898"/>
      <c r="E189" s="898"/>
      <c r="F189" s="793" t="s">
        <v>2413</v>
      </c>
      <c r="G189" s="783">
        <f>'BS-SK format'!F140</f>
        <v>0</v>
      </c>
      <c r="H189" s="781">
        <f>'BS-SK format'!G140</f>
        <v>0</v>
      </c>
      <c r="I189" s="616">
        <f t="shared" si="1"/>
        <v>0</v>
      </c>
      <c r="J189" s="572"/>
    </row>
    <row r="190" spans="1:13" ht="23.25" customHeight="1" x14ac:dyDescent="0.25">
      <c r="A190" s="792" t="s">
        <v>1432</v>
      </c>
      <c r="B190" s="898" t="s">
        <v>277</v>
      </c>
      <c r="C190" s="898"/>
      <c r="D190" s="898"/>
      <c r="E190" s="898"/>
      <c r="F190" s="793" t="s">
        <v>281</v>
      </c>
      <c r="G190" s="783">
        <f>'BS-SK format'!F141</f>
        <v>0</v>
      </c>
      <c r="H190" s="781">
        <f>'BS-SK format'!G141</f>
        <v>0</v>
      </c>
      <c r="I190" s="616">
        <f t="shared" si="1"/>
        <v>0</v>
      </c>
      <c r="J190" s="572"/>
    </row>
    <row r="191" spans="1:13" s="575" customFormat="1" ht="24.75" customHeight="1" x14ac:dyDescent="0.25">
      <c r="A191" s="789" t="s">
        <v>279</v>
      </c>
      <c r="B191" s="887" t="s">
        <v>652</v>
      </c>
      <c r="C191" s="887"/>
      <c r="D191" s="887"/>
      <c r="E191" s="887"/>
      <c r="F191" s="793" t="s">
        <v>989</v>
      </c>
      <c r="G191" s="788">
        <f>'BS-SK format'!F143</f>
        <v>8627.0399999999991</v>
      </c>
      <c r="H191" s="787">
        <v>7159</v>
      </c>
      <c r="I191" s="616">
        <f t="shared" si="1"/>
        <v>215.67203400000002</v>
      </c>
      <c r="K191" s="597"/>
      <c r="L191" s="597"/>
    </row>
    <row r="192" spans="1:13" ht="30.75" customHeight="1" x14ac:dyDescent="0.25">
      <c r="A192" s="792" t="s">
        <v>746</v>
      </c>
      <c r="B192" s="898" t="s">
        <v>65</v>
      </c>
      <c r="C192" s="898"/>
      <c r="D192" s="898"/>
      <c r="E192" s="898"/>
      <c r="F192" s="793" t="s">
        <v>2414</v>
      </c>
      <c r="G192" s="694">
        <f>'BS-SK format'!F144</f>
        <v>29.839999999999918</v>
      </c>
      <c r="H192" s="781">
        <v>82</v>
      </c>
      <c r="I192" s="616">
        <f t="shared" si="1"/>
        <v>2.470332</v>
      </c>
      <c r="J192" s="572"/>
    </row>
    <row r="193" spans="1:11" ht="30.75" customHeight="1" x14ac:dyDescent="0.25">
      <c r="A193" s="792" t="s">
        <v>773</v>
      </c>
      <c r="B193" s="910" t="s">
        <v>2833</v>
      </c>
      <c r="C193" s="910"/>
      <c r="D193" s="910"/>
      <c r="E193" s="910"/>
      <c r="F193" s="793" t="s">
        <v>2415</v>
      </c>
      <c r="G193" s="783">
        <f>'BS-SK format'!F145</f>
        <v>0</v>
      </c>
      <c r="H193" s="781">
        <f>'BS-SK format'!G145</f>
        <v>0</v>
      </c>
      <c r="I193" s="616"/>
      <c r="J193" s="572"/>
    </row>
    <row r="194" spans="1:11" ht="21.75" customHeight="1" x14ac:dyDescent="0.25">
      <c r="A194" s="792" t="s">
        <v>774</v>
      </c>
      <c r="B194" s="898" t="s">
        <v>1439</v>
      </c>
      <c r="C194" s="898"/>
      <c r="D194" s="898"/>
      <c r="E194" s="898"/>
      <c r="F194" s="793" t="s">
        <v>2416</v>
      </c>
      <c r="G194" s="694">
        <f>'BS-SK format'!F146</f>
        <v>0</v>
      </c>
      <c r="H194" s="598">
        <f>'BS-SK format'!G146</f>
        <v>0</v>
      </c>
      <c r="I194" s="616">
        <f t="shared" si="1"/>
        <v>0</v>
      </c>
      <c r="K194" s="602"/>
    </row>
    <row r="195" spans="1:11" ht="27" customHeight="1" x14ac:dyDescent="0.25">
      <c r="A195" s="605" t="s">
        <v>1046</v>
      </c>
      <c r="B195" s="898" t="s">
        <v>66</v>
      </c>
      <c r="C195" s="898"/>
      <c r="D195" s="898"/>
      <c r="E195" s="898"/>
      <c r="F195" s="793" t="s">
        <v>2417</v>
      </c>
      <c r="G195" s="783">
        <f>'BS-SK format'!F147</f>
        <v>0</v>
      </c>
      <c r="H195" s="598">
        <f>'BS-SK format'!G147</f>
        <v>0</v>
      </c>
      <c r="I195" s="616">
        <f t="shared" si="1"/>
        <v>0</v>
      </c>
    </row>
    <row r="196" spans="1:11" ht="22.5" customHeight="1" x14ac:dyDescent="0.25">
      <c r="A196" s="792" t="s">
        <v>1048</v>
      </c>
      <c r="B196" s="898" t="s">
        <v>2615</v>
      </c>
      <c r="C196" s="898"/>
      <c r="D196" s="898"/>
      <c r="E196" s="898"/>
      <c r="F196" s="793" t="s">
        <v>993</v>
      </c>
      <c r="G196" s="783">
        <f>'BS-SK format'!F148</f>
        <v>0</v>
      </c>
      <c r="H196" s="598">
        <f>'BS-SK format'!G148</f>
        <v>0</v>
      </c>
      <c r="I196" s="616">
        <f t="shared" si="1"/>
        <v>0</v>
      </c>
    </row>
    <row r="197" spans="1:11" ht="22.5" customHeight="1" x14ac:dyDescent="0.25">
      <c r="A197" s="792" t="s">
        <v>1050</v>
      </c>
      <c r="B197" s="898" t="s">
        <v>2616</v>
      </c>
      <c r="C197" s="898"/>
      <c r="D197" s="898"/>
      <c r="E197" s="898"/>
      <c r="F197" s="793" t="s">
        <v>994</v>
      </c>
      <c r="G197" s="783">
        <f>'BS-SK format'!F149</f>
        <v>1790</v>
      </c>
      <c r="H197" s="598">
        <v>1230</v>
      </c>
      <c r="I197" s="616">
        <f t="shared" si="1"/>
        <v>37.05498</v>
      </c>
    </row>
    <row r="198" spans="1:11" ht="23.25" customHeight="1" x14ac:dyDescent="0.25">
      <c r="A198" s="792" t="s">
        <v>1052</v>
      </c>
      <c r="B198" s="898" t="s">
        <v>1488</v>
      </c>
      <c r="C198" s="898"/>
      <c r="D198" s="898"/>
      <c r="E198" s="898"/>
      <c r="F198" s="793" t="s">
        <v>996</v>
      </c>
      <c r="G198" s="695">
        <f>'BS-SK format'!F150</f>
        <v>0</v>
      </c>
      <c r="H198" s="598">
        <f>'BS-SK format'!G150</f>
        <v>0</v>
      </c>
      <c r="I198" s="616">
        <f t="shared" si="1"/>
        <v>0</v>
      </c>
      <c r="J198" s="572"/>
    </row>
    <row r="199" spans="1:11" ht="22.5" customHeight="1" x14ac:dyDescent="0.25">
      <c r="A199" s="792" t="s">
        <v>1054</v>
      </c>
      <c r="B199" s="898" t="s">
        <v>2617</v>
      </c>
      <c r="C199" s="898"/>
      <c r="D199" s="898"/>
      <c r="E199" s="898"/>
      <c r="F199" s="793" t="s">
        <v>998</v>
      </c>
      <c r="G199" s="783">
        <f>'BS-SK format'!F151</f>
        <v>0</v>
      </c>
      <c r="H199" s="598">
        <f>'BS-SK format'!G151</f>
        <v>0</v>
      </c>
      <c r="I199" s="616">
        <f t="shared" si="1"/>
        <v>0</v>
      </c>
      <c r="J199" s="572"/>
    </row>
    <row r="200" spans="1:11" ht="23.25" customHeight="1" x14ac:dyDescent="0.25">
      <c r="A200" s="792" t="s">
        <v>1220</v>
      </c>
      <c r="B200" s="898" t="s">
        <v>2618</v>
      </c>
      <c r="C200" s="898"/>
      <c r="D200" s="898"/>
      <c r="E200" s="898"/>
      <c r="F200" s="793" t="s">
        <v>1000</v>
      </c>
      <c r="G200" s="695">
        <f>'BS-SK format'!F152</f>
        <v>6807.2</v>
      </c>
      <c r="H200" s="598">
        <v>5847</v>
      </c>
      <c r="I200" s="616">
        <f t="shared" si="1"/>
        <v>176.14672200000001</v>
      </c>
      <c r="J200" s="582"/>
    </row>
    <row r="201" spans="1:11" ht="22.5" customHeight="1" x14ac:dyDescent="0.25">
      <c r="A201" s="792" t="s">
        <v>1432</v>
      </c>
      <c r="B201" s="898" t="s">
        <v>2619</v>
      </c>
      <c r="C201" s="898"/>
      <c r="D201" s="898"/>
      <c r="E201" s="898"/>
      <c r="F201" s="793" t="s">
        <v>1001</v>
      </c>
      <c r="G201" s="783">
        <f>'BS-SK format'!F153</f>
        <v>0</v>
      </c>
      <c r="H201" s="598"/>
      <c r="I201" s="616">
        <f t="shared" si="1"/>
        <v>0</v>
      </c>
      <c r="J201" s="572"/>
    </row>
    <row r="202" spans="1:11" ht="22.5" customHeight="1" x14ac:dyDescent="0.25">
      <c r="A202" s="789" t="s">
        <v>1752</v>
      </c>
      <c r="B202" s="887" t="s">
        <v>1873</v>
      </c>
      <c r="C202" s="887"/>
      <c r="D202" s="887"/>
      <c r="E202" s="887"/>
      <c r="F202" s="793" t="s">
        <v>1002</v>
      </c>
      <c r="G202" s="783">
        <f>'BS-SK format'!F155</f>
        <v>0</v>
      </c>
      <c r="H202" s="598" t="s">
        <v>3174</v>
      </c>
      <c r="I202" s="616" t="e">
        <f t="shared" si="1"/>
        <v>#VALUE!</v>
      </c>
    </row>
    <row r="203" spans="1:11" s="575" customFormat="1" ht="24.75" customHeight="1" x14ac:dyDescent="0.25">
      <c r="A203" s="789" t="s">
        <v>2451</v>
      </c>
      <c r="B203" s="887" t="s">
        <v>1405</v>
      </c>
      <c r="C203" s="887"/>
      <c r="D203" s="887"/>
      <c r="E203" s="887"/>
      <c r="F203" s="793" t="s">
        <v>1003</v>
      </c>
      <c r="G203" s="788">
        <f>'BS-SK format'!F157</f>
        <v>0</v>
      </c>
      <c r="H203" s="596">
        <f>'BS-SK format'!G157</f>
        <v>0</v>
      </c>
      <c r="I203" s="616">
        <f t="shared" si="1"/>
        <v>0</v>
      </c>
      <c r="J203" s="572"/>
    </row>
    <row r="204" spans="1:11" ht="24.75" customHeight="1" x14ac:dyDescent="0.25">
      <c r="A204" s="791" t="s">
        <v>1872</v>
      </c>
      <c r="B204" s="898" t="s">
        <v>1489</v>
      </c>
      <c r="C204" s="898"/>
      <c r="D204" s="898"/>
      <c r="E204" s="898"/>
      <c r="F204" s="793" t="s">
        <v>2448</v>
      </c>
      <c r="G204" s="783">
        <f>'BS-SK format'!F158</f>
        <v>0</v>
      </c>
      <c r="H204" s="598">
        <f>'BS-SK format'!G158</f>
        <v>0</v>
      </c>
      <c r="I204" s="616">
        <f t="shared" si="1"/>
        <v>0</v>
      </c>
      <c r="J204" s="572"/>
    </row>
    <row r="205" spans="1:11" ht="24.75" customHeight="1" x14ac:dyDescent="0.25">
      <c r="A205" s="792" t="s">
        <v>773</v>
      </c>
      <c r="B205" s="898" t="s">
        <v>1490</v>
      </c>
      <c r="C205" s="898"/>
      <c r="D205" s="898"/>
      <c r="E205" s="898"/>
      <c r="F205" s="793" t="s">
        <v>2449</v>
      </c>
      <c r="G205" s="783">
        <f>'BS-SK format'!F159</f>
        <v>0</v>
      </c>
      <c r="H205" s="598">
        <f>'BS-SK format'!G159</f>
        <v>0</v>
      </c>
      <c r="I205" s="616">
        <f t="shared" si="1"/>
        <v>0</v>
      </c>
      <c r="J205" s="572"/>
    </row>
    <row r="206" spans="1:11" s="575" customFormat="1" ht="24.75" customHeight="1" x14ac:dyDescent="0.25">
      <c r="A206" s="789" t="s">
        <v>261</v>
      </c>
      <c r="B206" s="887" t="s">
        <v>216</v>
      </c>
      <c r="C206" s="887"/>
      <c r="D206" s="887"/>
      <c r="E206" s="887"/>
      <c r="F206" s="793" t="s">
        <v>2450</v>
      </c>
      <c r="G206" s="788">
        <f>'BS-SK format'!F161</f>
        <v>0</v>
      </c>
      <c r="H206" s="596">
        <f>'BS-SK format'!G161</f>
        <v>0</v>
      </c>
      <c r="I206" s="616">
        <f t="shared" si="1"/>
        <v>0</v>
      </c>
      <c r="J206" s="572"/>
    </row>
    <row r="207" spans="1:11" s="575" customFormat="1" ht="24.75" customHeight="1" x14ac:dyDescent="0.25">
      <c r="A207" s="791" t="s">
        <v>1874</v>
      </c>
      <c r="B207" s="898" t="s">
        <v>2452</v>
      </c>
      <c r="C207" s="898"/>
      <c r="D207" s="898"/>
      <c r="E207" s="898"/>
      <c r="F207" s="793" t="s">
        <v>2456</v>
      </c>
      <c r="G207" s="788">
        <f>'BS-SK format'!F163</f>
        <v>0</v>
      </c>
      <c r="H207" s="596">
        <f>'BS-SK format'!G163</f>
        <v>0</v>
      </c>
      <c r="I207" s="616">
        <f t="shared" si="1"/>
        <v>0</v>
      </c>
    </row>
    <row r="208" spans="1:11" s="575" customFormat="1" ht="24.75" customHeight="1" x14ac:dyDescent="0.25">
      <c r="A208" s="792" t="s">
        <v>773</v>
      </c>
      <c r="B208" s="898" t="s">
        <v>2453</v>
      </c>
      <c r="C208" s="898"/>
      <c r="D208" s="898"/>
      <c r="E208" s="898"/>
      <c r="F208" s="793" t="s">
        <v>2457</v>
      </c>
      <c r="G208" s="788">
        <f>'BS-SK format'!F164</f>
        <v>0</v>
      </c>
      <c r="H208" s="596">
        <f>'BS-SK format'!G164</f>
        <v>0</v>
      </c>
      <c r="I208" s="616">
        <f t="shared" si="1"/>
        <v>0</v>
      </c>
      <c r="J208" s="572"/>
    </row>
    <row r="209" spans="1:10" ht="24.75" customHeight="1" x14ac:dyDescent="0.25">
      <c r="A209" s="792" t="s">
        <v>774</v>
      </c>
      <c r="B209" s="898" t="s">
        <v>2454</v>
      </c>
      <c r="C209" s="898"/>
      <c r="D209" s="898"/>
      <c r="E209" s="898"/>
      <c r="F209" s="793" t="s">
        <v>643</v>
      </c>
      <c r="G209" s="783">
        <f>'BS-SK format'!F165</f>
        <v>0</v>
      </c>
      <c r="H209" s="598">
        <f>'BS-SK format'!G165</f>
        <v>0</v>
      </c>
      <c r="I209" s="616">
        <f t="shared" si="1"/>
        <v>0</v>
      </c>
      <c r="J209" s="576"/>
    </row>
    <row r="210" spans="1:10" ht="24.75" customHeight="1" thickBot="1" x14ac:dyDescent="0.3">
      <c r="A210" s="795" t="s">
        <v>1046</v>
      </c>
      <c r="B210" s="929" t="s">
        <v>2455</v>
      </c>
      <c r="C210" s="929"/>
      <c r="D210" s="929"/>
      <c r="E210" s="929"/>
      <c r="F210" s="796" t="s">
        <v>651</v>
      </c>
      <c r="G210" s="797">
        <f>'BS-SK format'!F166</f>
        <v>0</v>
      </c>
      <c r="H210" s="606">
        <f>'BS-SK format'!G166</f>
        <v>0</v>
      </c>
      <c r="I210" s="616">
        <f t="shared" si="1"/>
        <v>0</v>
      </c>
      <c r="J210" s="582"/>
    </row>
    <row r="213" spans="1:10" ht="12" hidden="1" thickBot="1" x14ac:dyDescent="0.3"/>
    <row r="214" spans="1:10" ht="12" hidden="1" x14ac:dyDescent="0.25">
      <c r="B214" s="607" t="s">
        <v>1509</v>
      </c>
      <c r="C214" s="608"/>
      <c r="D214" s="608"/>
      <c r="E214" s="608"/>
      <c r="F214" s="608"/>
      <c r="G214" s="609">
        <f>G4-G149</f>
        <v>0</v>
      </c>
      <c r="H214" s="610">
        <f>H4-H149</f>
        <v>0</v>
      </c>
      <c r="I214" s="610">
        <f>I4-I149</f>
        <v>0</v>
      </c>
    </row>
    <row r="215" spans="1:10" ht="12.6" hidden="1" thickBot="1" x14ac:dyDescent="0.3">
      <c r="B215" s="611" t="s">
        <v>1510</v>
      </c>
      <c r="C215" s="612"/>
      <c r="D215" s="612"/>
      <c r="E215" s="612"/>
      <c r="F215" s="612"/>
      <c r="G215" s="613">
        <f>G171-'VYKAZ Ziskov a STRAT'!D65</f>
        <v>-6.9999999998117346E-2</v>
      </c>
      <c r="H215" s="614">
        <f>H171-'VYKAZ Ziskov a STRAT'!E65</f>
        <v>1</v>
      </c>
      <c r="I215" s="614">
        <f>I171-'VYKAZ Ziskov a STRAT'!F65</f>
        <v>3.0126000000002762E-2</v>
      </c>
    </row>
    <row r="216" spans="1:10" hidden="1" x14ac:dyDescent="0.25"/>
  </sheetData>
  <customSheetViews>
    <customSheetView guid="{305BD771-46DB-4130-A6E1-9C92E07EE410}" showPageBreaks="1" view="pageBreakPreview" showRuler="0">
      <selection sqref="A1:A3"/>
      <rowBreaks count="6" manualBreakCount="6">
        <brk id="31" max="16383" man="1"/>
        <brk id="62" max="16383" man="1"/>
        <brk id="93" max="16383" man="1"/>
        <brk id="124" max="16383" man="1"/>
        <brk id="143" max="16383" man="1"/>
        <brk id="171" max="16383" man="1"/>
      </rowBreaks>
      <pageMargins left="0.55118110236220474" right="0.55118110236220474" top="0.59055118110236227" bottom="0.47244094488188981" header="0.51181102362204722" footer="0.23622047244094491"/>
      <pageSetup orientation="portrait" r:id="rId1"/>
      <headerFooter alignWithMargins="0"/>
    </customSheetView>
  </customSheetViews>
  <mergeCells count="631">
    <mergeCell ref="B148:E148"/>
    <mergeCell ref="C142:C143"/>
    <mergeCell ref="D143:F143"/>
    <mergeCell ref="D122:F122"/>
    <mergeCell ref="D121:F121"/>
    <mergeCell ref="D125:G125"/>
    <mergeCell ref="E126:F126"/>
    <mergeCell ref="D128:F128"/>
    <mergeCell ref="D129:F129"/>
    <mergeCell ref="D130:F130"/>
    <mergeCell ref="D126:D127"/>
    <mergeCell ref="G126:G127"/>
    <mergeCell ref="D124:F124"/>
    <mergeCell ref="D123:F123"/>
    <mergeCell ref="G121:G122"/>
    <mergeCell ref="B151:E151"/>
    <mergeCell ref="B152:E152"/>
    <mergeCell ref="B154:E154"/>
    <mergeCell ref="G57:G58"/>
    <mergeCell ref="D116:F116"/>
    <mergeCell ref="E64:F64"/>
    <mergeCell ref="E65:F65"/>
    <mergeCell ref="D94:G94"/>
    <mergeCell ref="D115:F115"/>
    <mergeCell ref="D144:F144"/>
    <mergeCell ref="D136:F136"/>
    <mergeCell ref="D131:F131"/>
    <mergeCell ref="D132:F132"/>
    <mergeCell ref="D133:F133"/>
    <mergeCell ref="D134:F134"/>
    <mergeCell ref="B150:E150"/>
    <mergeCell ref="D145:F145"/>
    <mergeCell ref="D137:F137"/>
    <mergeCell ref="D135:F135"/>
    <mergeCell ref="B142:B143"/>
    <mergeCell ref="E127:F127"/>
    <mergeCell ref="D107:F107"/>
    <mergeCell ref="D108:F108"/>
    <mergeCell ref="B149:E149"/>
    <mergeCell ref="D49:F49"/>
    <mergeCell ref="D50:F50"/>
    <mergeCell ref="D51:F51"/>
    <mergeCell ref="D52:F52"/>
    <mergeCell ref="D90:F90"/>
    <mergeCell ref="E95:F95"/>
    <mergeCell ref="E96:F96"/>
    <mergeCell ref="D91:F91"/>
    <mergeCell ref="D92:F92"/>
    <mergeCell ref="D93:F93"/>
    <mergeCell ref="D80:F80"/>
    <mergeCell ref="D81:F81"/>
    <mergeCell ref="D82:F82"/>
    <mergeCell ref="D95:D96"/>
    <mergeCell ref="B191:E191"/>
    <mergeCell ref="B192:E192"/>
    <mergeCell ref="B194:E194"/>
    <mergeCell ref="B206:E206"/>
    <mergeCell ref="B195:E195"/>
    <mergeCell ref="B196:E196"/>
    <mergeCell ref="B197:E197"/>
    <mergeCell ref="B198:E198"/>
    <mergeCell ref="B199:E199"/>
    <mergeCell ref="B200:E200"/>
    <mergeCell ref="B204:E204"/>
    <mergeCell ref="B202:E202"/>
    <mergeCell ref="B205:E205"/>
    <mergeCell ref="B203:E203"/>
    <mergeCell ref="B201:E201"/>
    <mergeCell ref="B168:E168"/>
    <mergeCell ref="B169:E169"/>
    <mergeCell ref="B170:E170"/>
    <mergeCell ref="B171:E171"/>
    <mergeCell ref="B172:E172"/>
    <mergeCell ref="B176:E176"/>
    <mergeCell ref="B166:E166"/>
    <mergeCell ref="B167:E167"/>
    <mergeCell ref="D101:F101"/>
    <mergeCell ref="B158:E158"/>
    <mergeCell ref="B159:E159"/>
    <mergeCell ref="B162:E162"/>
    <mergeCell ref="B163:E163"/>
    <mergeCell ref="B164:E164"/>
    <mergeCell ref="B165:E165"/>
    <mergeCell ref="B175:E175"/>
    <mergeCell ref="B156:E156"/>
    <mergeCell ref="B153:E153"/>
    <mergeCell ref="B160:E160"/>
    <mergeCell ref="B161:E161"/>
    <mergeCell ref="B155:E155"/>
    <mergeCell ref="B157:E157"/>
    <mergeCell ref="B173:E173"/>
    <mergeCell ref="B174:E174"/>
    <mergeCell ref="B188:E188"/>
    <mergeCell ref="B189:E189"/>
    <mergeCell ref="B190:E190"/>
    <mergeCell ref="B181:E181"/>
    <mergeCell ref="B182:E182"/>
    <mergeCell ref="B185:E185"/>
    <mergeCell ref="B186:E186"/>
    <mergeCell ref="B178:E178"/>
    <mergeCell ref="B179:E179"/>
    <mergeCell ref="B184:E184"/>
    <mergeCell ref="B180:E180"/>
    <mergeCell ref="B210:E210"/>
    <mergeCell ref="D7:F7"/>
    <mergeCell ref="B140:B141"/>
    <mergeCell ref="D12:F12"/>
    <mergeCell ref="D13:F13"/>
    <mergeCell ref="D8:F8"/>
    <mergeCell ref="D9:F9"/>
    <mergeCell ref="D14:F14"/>
    <mergeCell ref="D15:F15"/>
    <mergeCell ref="D37:F37"/>
    <mergeCell ref="D74:F74"/>
    <mergeCell ref="C92:C93"/>
    <mergeCell ref="D11:F11"/>
    <mergeCell ref="B193:E193"/>
    <mergeCell ref="B209:E209"/>
    <mergeCell ref="B207:E207"/>
    <mergeCell ref="B208:E208"/>
    <mergeCell ref="D38:F38"/>
    <mergeCell ref="D64:D65"/>
    <mergeCell ref="D104:F104"/>
    <mergeCell ref="D32:G32"/>
    <mergeCell ref="B177:E177"/>
    <mergeCell ref="B183:E183"/>
    <mergeCell ref="B187:E187"/>
    <mergeCell ref="H121:H122"/>
    <mergeCell ref="G109:G110"/>
    <mergeCell ref="H109:H110"/>
    <mergeCell ref="G111:G112"/>
    <mergeCell ref="G103:G104"/>
    <mergeCell ref="H103:H104"/>
    <mergeCell ref="D112:F112"/>
    <mergeCell ref="H107:H108"/>
    <mergeCell ref="G107:G108"/>
    <mergeCell ref="H115:H116"/>
    <mergeCell ref="D113:F113"/>
    <mergeCell ref="D114:F114"/>
    <mergeCell ref="D117:F117"/>
    <mergeCell ref="D119:F119"/>
    <mergeCell ref="H117:H118"/>
    <mergeCell ref="D118:F118"/>
    <mergeCell ref="D120:F120"/>
    <mergeCell ref="D109:F109"/>
    <mergeCell ref="G117:G118"/>
    <mergeCell ref="D105:F105"/>
    <mergeCell ref="D106:F106"/>
    <mergeCell ref="G95:G96"/>
    <mergeCell ref="D110:F110"/>
    <mergeCell ref="D111:F111"/>
    <mergeCell ref="H80:H81"/>
    <mergeCell ref="G80:G81"/>
    <mergeCell ref="G76:G77"/>
    <mergeCell ref="H94:H95"/>
    <mergeCell ref="D103:F103"/>
    <mergeCell ref="G84:G85"/>
    <mergeCell ref="H84:H85"/>
    <mergeCell ref="D102:F102"/>
    <mergeCell ref="H92:H93"/>
    <mergeCell ref="D84:F84"/>
    <mergeCell ref="G82:G83"/>
    <mergeCell ref="D83:F83"/>
    <mergeCell ref="H82:H83"/>
    <mergeCell ref="C115:C116"/>
    <mergeCell ref="A113:A114"/>
    <mergeCell ref="B113:B114"/>
    <mergeCell ref="C113:C114"/>
    <mergeCell ref="A111:A112"/>
    <mergeCell ref="B111:B112"/>
    <mergeCell ref="C111:C112"/>
    <mergeCell ref="A101:A102"/>
    <mergeCell ref="B101:B102"/>
    <mergeCell ref="C101:C102"/>
    <mergeCell ref="C107:C108"/>
    <mergeCell ref="A109:A110"/>
    <mergeCell ref="B109:B110"/>
    <mergeCell ref="C109:C110"/>
    <mergeCell ref="A105:A106"/>
    <mergeCell ref="B105:B106"/>
    <mergeCell ref="C105:C106"/>
    <mergeCell ref="A103:A104"/>
    <mergeCell ref="B103:B104"/>
    <mergeCell ref="C103:C104"/>
    <mergeCell ref="A107:A108"/>
    <mergeCell ref="B107:B108"/>
    <mergeCell ref="A121:A122"/>
    <mergeCell ref="B121:B122"/>
    <mergeCell ref="C121:C122"/>
    <mergeCell ref="B132:B133"/>
    <mergeCell ref="C132:C133"/>
    <mergeCell ref="C82:C83"/>
    <mergeCell ref="A132:A133"/>
    <mergeCell ref="A94:A96"/>
    <mergeCell ref="B94:B96"/>
    <mergeCell ref="C94:C96"/>
    <mergeCell ref="A123:A124"/>
    <mergeCell ref="B123:B124"/>
    <mergeCell ref="C123:C124"/>
    <mergeCell ref="A119:A120"/>
    <mergeCell ref="B119:B120"/>
    <mergeCell ref="C119:C120"/>
    <mergeCell ref="A117:A118"/>
    <mergeCell ref="B117:B118"/>
    <mergeCell ref="C117:C118"/>
    <mergeCell ref="A115:A116"/>
    <mergeCell ref="B115:B116"/>
    <mergeCell ref="A125:A127"/>
    <mergeCell ref="B125:B127"/>
    <mergeCell ref="C125:C127"/>
    <mergeCell ref="H144:H145"/>
    <mergeCell ref="G138:G139"/>
    <mergeCell ref="G136:G137"/>
    <mergeCell ref="G140:G141"/>
    <mergeCell ref="G142:G143"/>
    <mergeCell ref="H140:H141"/>
    <mergeCell ref="H142:H143"/>
    <mergeCell ref="D138:F138"/>
    <mergeCell ref="A138:A139"/>
    <mergeCell ref="B138:B139"/>
    <mergeCell ref="C138:C139"/>
    <mergeCell ref="D139:F139"/>
    <mergeCell ref="A144:A145"/>
    <mergeCell ref="B144:B145"/>
    <mergeCell ref="C144:C145"/>
    <mergeCell ref="A142:A143"/>
    <mergeCell ref="A140:A141"/>
    <mergeCell ref="C136:C137"/>
    <mergeCell ref="G144:G145"/>
    <mergeCell ref="D142:F142"/>
    <mergeCell ref="C140:C141"/>
    <mergeCell ref="D140:F140"/>
    <mergeCell ref="D141:F141"/>
    <mergeCell ref="H134:H135"/>
    <mergeCell ref="H136:H137"/>
    <mergeCell ref="H138:H139"/>
    <mergeCell ref="A136:A137"/>
    <mergeCell ref="B136:B137"/>
    <mergeCell ref="G132:G133"/>
    <mergeCell ref="H132:H133"/>
    <mergeCell ref="A134:A135"/>
    <mergeCell ref="B134:B135"/>
    <mergeCell ref="C134:C135"/>
    <mergeCell ref="G134:G135"/>
    <mergeCell ref="H130:H131"/>
    <mergeCell ref="A128:A129"/>
    <mergeCell ref="B128:B129"/>
    <mergeCell ref="C128:C129"/>
    <mergeCell ref="G128:G129"/>
    <mergeCell ref="H128:H129"/>
    <mergeCell ref="A130:A131"/>
    <mergeCell ref="B130:B131"/>
    <mergeCell ref="C130:C131"/>
    <mergeCell ref="G130:G131"/>
    <mergeCell ref="A99:A100"/>
    <mergeCell ref="B99:B100"/>
    <mergeCell ref="C99:C100"/>
    <mergeCell ref="G99:G100"/>
    <mergeCell ref="H99:H100"/>
    <mergeCell ref="A97:A98"/>
    <mergeCell ref="B97:B98"/>
    <mergeCell ref="C97:C98"/>
    <mergeCell ref="G97:G98"/>
    <mergeCell ref="H97:H98"/>
    <mergeCell ref="D97:F97"/>
    <mergeCell ref="D98:F98"/>
    <mergeCell ref="D99:F99"/>
    <mergeCell ref="D100:F100"/>
    <mergeCell ref="A92:A93"/>
    <mergeCell ref="B92:B93"/>
    <mergeCell ref="G92:G93"/>
    <mergeCell ref="A86:A87"/>
    <mergeCell ref="B86:B87"/>
    <mergeCell ref="D86:F86"/>
    <mergeCell ref="C90:C91"/>
    <mergeCell ref="G88:G89"/>
    <mergeCell ref="H88:H89"/>
    <mergeCell ref="A88:A89"/>
    <mergeCell ref="D88:F88"/>
    <mergeCell ref="D89:F89"/>
    <mergeCell ref="C88:C89"/>
    <mergeCell ref="B88:B89"/>
    <mergeCell ref="D87:F87"/>
    <mergeCell ref="G86:G87"/>
    <mergeCell ref="C86:C87"/>
    <mergeCell ref="H86:H87"/>
    <mergeCell ref="A90:A91"/>
    <mergeCell ref="B90:B91"/>
    <mergeCell ref="G90:G91"/>
    <mergeCell ref="H90:H91"/>
    <mergeCell ref="C80:C81"/>
    <mergeCell ref="D78:F78"/>
    <mergeCell ref="A80:A81"/>
    <mergeCell ref="B80:B81"/>
    <mergeCell ref="A76:A77"/>
    <mergeCell ref="B76:B77"/>
    <mergeCell ref="D76:F76"/>
    <mergeCell ref="D77:F77"/>
    <mergeCell ref="A84:A85"/>
    <mergeCell ref="B84:B85"/>
    <mergeCell ref="A82:A83"/>
    <mergeCell ref="B82:B83"/>
    <mergeCell ref="C84:C85"/>
    <mergeCell ref="D85:F85"/>
    <mergeCell ref="A74:A75"/>
    <mergeCell ref="B74:B75"/>
    <mergeCell ref="G74:G75"/>
    <mergeCell ref="D79:F79"/>
    <mergeCell ref="H74:H75"/>
    <mergeCell ref="A72:A73"/>
    <mergeCell ref="B72:B73"/>
    <mergeCell ref="C74:C75"/>
    <mergeCell ref="D72:F72"/>
    <mergeCell ref="D73:F73"/>
    <mergeCell ref="C72:C73"/>
    <mergeCell ref="G72:G73"/>
    <mergeCell ref="C76:C77"/>
    <mergeCell ref="G78:G79"/>
    <mergeCell ref="H78:H79"/>
    <mergeCell ref="C78:C79"/>
    <mergeCell ref="A78:A79"/>
    <mergeCell ref="B78:B79"/>
    <mergeCell ref="H72:H73"/>
    <mergeCell ref="H76:H77"/>
    <mergeCell ref="D75:F75"/>
    <mergeCell ref="A66:A67"/>
    <mergeCell ref="B66:B67"/>
    <mergeCell ref="C68:C69"/>
    <mergeCell ref="G66:G67"/>
    <mergeCell ref="H66:H67"/>
    <mergeCell ref="C66:C67"/>
    <mergeCell ref="H68:H69"/>
    <mergeCell ref="H70:H71"/>
    <mergeCell ref="A68:A69"/>
    <mergeCell ref="B68:B69"/>
    <mergeCell ref="C70:C71"/>
    <mergeCell ref="A70:A71"/>
    <mergeCell ref="B70:B71"/>
    <mergeCell ref="D68:F68"/>
    <mergeCell ref="D69:F69"/>
    <mergeCell ref="G70:G71"/>
    <mergeCell ref="G68:G69"/>
    <mergeCell ref="D66:F66"/>
    <mergeCell ref="D67:F67"/>
    <mergeCell ref="D70:F70"/>
    <mergeCell ref="D71:F71"/>
    <mergeCell ref="A63:A65"/>
    <mergeCell ref="B63:B65"/>
    <mergeCell ref="C63:C65"/>
    <mergeCell ref="C61:C62"/>
    <mergeCell ref="H61:H62"/>
    <mergeCell ref="A59:A60"/>
    <mergeCell ref="B59:B60"/>
    <mergeCell ref="G59:G60"/>
    <mergeCell ref="H59:H60"/>
    <mergeCell ref="A61:A62"/>
    <mergeCell ref="B61:B62"/>
    <mergeCell ref="H63:H64"/>
    <mergeCell ref="G61:G62"/>
    <mergeCell ref="D61:F61"/>
    <mergeCell ref="D62:F62"/>
    <mergeCell ref="D63:G63"/>
    <mergeCell ref="G64:G65"/>
    <mergeCell ref="A57:A58"/>
    <mergeCell ref="B57:B58"/>
    <mergeCell ref="C59:C60"/>
    <mergeCell ref="D59:F59"/>
    <mergeCell ref="D60:F60"/>
    <mergeCell ref="A53:A54"/>
    <mergeCell ref="B53:B54"/>
    <mergeCell ref="C55:C56"/>
    <mergeCell ref="D58:F58"/>
    <mergeCell ref="A55:A56"/>
    <mergeCell ref="D55:F55"/>
    <mergeCell ref="D56:F56"/>
    <mergeCell ref="D57:F57"/>
    <mergeCell ref="B55:B56"/>
    <mergeCell ref="C57:C58"/>
    <mergeCell ref="D53:F53"/>
    <mergeCell ref="D54:F54"/>
    <mergeCell ref="G55:G56"/>
    <mergeCell ref="H55:H56"/>
    <mergeCell ref="H57:H58"/>
    <mergeCell ref="H45:H46"/>
    <mergeCell ref="A47:A48"/>
    <mergeCell ref="B47:B48"/>
    <mergeCell ref="C49:C50"/>
    <mergeCell ref="G47:G48"/>
    <mergeCell ref="H47:H48"/>
    <mergeCell ref="A45:A46"/>
    <mergeCell ref="B45:B46"/>
    <mergeCell ref="G49:G50"/>
    <mergeCell ref="G45:G46"/>
    <mergeCell ref="H49:H50"/>
    <mergeCell ref="A51:A52"/>
    <mergeCell ref="B51:B52"/>
    <mergeCell ref="C53:C54"/>
    <mergeCell ref="G51:G52"/>
    <mergeCell ref="H51:H52"/>
    <mergeCell ref="A49:A50"/>
    <mergeCell ref="B49:B50"/>
    <mergeCell ref="C51:C52"/>
    <mergeCell ref="H53:H54"/>
    <mergeCell ref="G53:G54"/>
    <mergeCell ref="A37:A38"/>
    <mergeCell ref="B37:B38"/>
    <mergeCell ref="C47:C48"/>
    <mergeCell ref="G41:G42"/>
    <mergeCell ref="A43:A44"/>
    <mergeCell ref="B43:B44"/>
    <mergeCell ref="C45:C46"/>
    <mergeCell ref="G43:G44"/>
    <mergeCell ref="A41:A42"/>
    <mergeCell ref="B41:B42"/>
    <mergeCell ref="A39:A40"/>
    <mergeCell ref="B39:B40"/>
    <mergeCell ref="D45:F45"/>
    <mergeCell ref="D46:F46"/>
    <mergeCell ref="D47:F47"/>
    <mergeCell ref="D48:F48"/>
    <mergeCell ref="H39:H40"/>
    <mergeCell ref="H41:H42"/>
    <mergeCell ref="D39:F39"/>
    <mergeCell ref="D40:F40"/>
    <mergeCell ref="D41:F41"/>
    <mergeCell ref="D42:F42"/>
    <mergeCell ref="C37:C38"/>
    <mergeCell ref="C43:C44"/>
    <mergeCell ref="G37:G38"/>
    <mergeCell ref="H37:H38"/>
    <mergeCell ref="H43:H44"/>
    <mergeCell ref="D43:F43"/>
    <mergeCell ref="D44:F44"/>
    <mergeCell ref="C39:C40"/>
    <mergeCell ref="C41:C42"/>
    <mergeCell ref="G39:G40"/>
    <mergeCell ref="D30:F30"/>
    <mergeCell ref="D31:F31"/>
    <mergeCell ref="G26:G27"/>
    <mergeCell ref="D29:F29"/>
    <mergeCell ref="G28:G29"/>
    <mergeCell ref="H35:H36"/>
    <mergeCell ref="A30:A31"/>
    <mergeCell ref="B30:B31"/>
    <mergeCell ref="C30:C31"/>
    <mergeCell ref="D35:F35"/>
    <mergeCell ref="D36:F36"/>
    <mergeCell ref="A35:A36"/>
    <mergeCell ref="B35:B36"/>
    <mergeCell ref="C35:C36"/>
    <mergeCell ref="H32:H33"/>
    <mergeCell ref="G35:G36"/>
    <mergeCell ref="D33:D34"/>
    <mergeCell ref="G33:G34"/>
    <mergeCell ref="E33:F33"/>
    <mergeCell ref="E34:F34"/>
    <mergeCell ref="A32:A34"/>
    <mergeCell ref="B32:B34"/>
    <mergeCell ref="C32:C34"/>
    <mergeCell ref="D26:F26"/>
    <mergeCell ref="D24:F24"/>
    <mergeCell ref="D25:F25"/>
    <mergeCell ref="H22:H23"/>
    <mergeCell ref="A24:A25"/>
    <mergeCell ref="B24:B25"/>
    <mergeCell ref="C24:C25"/>
    <mergeCell ref="G24:G25"/>
    <mergeCell ref="H26:H27"/>
    <mergeCell ref="H28:H29"/>
    <mergeCell ref="A26:A27"/>
    <mergeCell ref="B26:B27"/>
    <mergeCell ref="C26:C27"/>
    <mergeCell ref="A28:A29"/>
    <mergeCell ref="B28:B29"/>
    <mergeCell ref="C28:C29"/>
    <mergeCell ref="D27:F27"/>
    <mergeCell ref="D28:F28"/>
    <mergeCell ref="A20:A21"/>
    <mergeCell ref="C20:C21"/>
    <mergeCell ref="G22:G23"/>
    <mergeCell ref="D21:F21"/>
    <mergeCell ref="A22:A23"/>
    <mergeCell ref="D20:F20"/>
    <mergeCell ref="B20:B21"/>
    <mergeCell ref="C22:C23"/>
    <mergeCell ref="G20:G21"/>
    <mergeCell ref="B22:B23"/>
    <mergeCell ref="D22:F22"/>
    <mergeCell ref="D23:F23"/>
    <mergeCell ref="B18:B19"/>
    <mergeCell ref="A14:A15"/>
    <mergeCell ref="B12:B13"/>
    <mergeCell ref="C14:C15"/>
    <mergeCell ref="D17:F17"/>
    <mergeCell ref="D18:F18"/>
    <mergeCell ref="D19:F19"/>
    <mergeCell ref="D16:F16"/>
    <mergeCell ref="A18:A19"/>
    <mergeCell ref="B16:B17"/>
    <mergeCell ref="C18:C19"/>
    <mergeCell ref="A10:A11"/>
    <mergeCell ref="C10:C11"/>
    <mergeCell ref="B10:B11"/>
    <mergeCell ref="D10:F10"/>
    <mergeCell ref="G16:G17"/>
    <mergeCell ref="A12:A13"/>
    <mergeCell ref="C12:C13"/>
    <mergeCell ref="G14:G15"/>
    <mergeCell ref="B14:B15"/>
    <mergeCell ref="A16:A17"/>
    <mergeCell ref="C16:C17"/>
    <mergeCell ref="A8:A9"/>
    <mergeCell ref="B8:B9"/>
    <mergeCell ref="C8:C9"/>
    <mergeCell ref="C4:C5"/>
    <mergeCell ref="A6:A7"/>
    <mergeCell ref="B6:B7"/>
    <mergeCell ref="C6:C7"/>
    <mergeCell ref="A1:A3"/>
    <mergeCell ref="B1:B3"/>
    <mergeCell ref="A4:A5"/>
    <mergeCell ref="B4:B5"/>
    <mergeCell ref="C1:C3"/>
    <mergeCell ref="H1:H2"/>
    <mergeCell ref="D2:D3"/>
    <mergeCell ref="G2:G3"/>
    <mergeCell ref="H4:H5"/>
    <mergeCell ref="H6:H7"/>
    <mergeCell ref="G8:G9"/>
    <mergeCell ref="I1:I2"/>
    <mergeCell ref="I6:I7"/>
    <mergeCell ref="I8:I9"/>
    <mergeCell ref="E1:G1"/>
    <mergeCell ref="E2:F2"/>
    <mergeCell ref="E3:F3"/>
    <mergeCell ref="D4:F4"/>
    <mergeCell ref="G4:G5"/>
    <mergeCell ref="D5:F5"/>
    <mergeCell ref="D6:F6"/>
    <mergeCell ref="I12:I13"/>
    <mergeCell ref="I14:I15"/>
    <mergeCell ref="I32:I33"/>
    <mergeCell ref="I30:I31"/>
    <mergeCell ref="H8:H9"/>
    <mergeCell ref="G6:G7"/>
    <mergeCell ref="I22:I23"/>
    <mergeCell ref="I4:I5"/>
    <mergeCell ref="G12:G13"/>
    <mergeCell ref="G10:G11"/>
    <mergeCell ref="H12:H13"/>
    <mergeCell ref="H14:H15"/>
    <mergeCell ref="H10:H11"/>
    <mergeCell ref="I10:I11"/>
    <mergeCell ref="H20:H21"/>
    <mergeCell ref="H16:H17"/>
    <mergeCell ref="G18:G19"/>
    <mergeCell ref="H18:H19"/>
    <mergeCell ref="H24:H25"/>
    <mergeCell ref="G30:G31"/>
    <mergeCell ref="H30:H31"/>
    <mergeCell ref="I16:I17"/>
    <mergeCell ref="I18:I19"/>
    <mergeCell ref="I20:I21"/>
    <mergeCell ref="I45:I46"/>
    <mergeCell ref="I47:I48"/>
    <mergeCell ref="I24:I25"/>
    <mergeCell ref="I26:I27"/>
    <mergeCell ref="I28:I29"/>
    <mergeCell ref="I63:I64"/>
    <mergeCell ref="I61:I62"/>
    <mergeCell ref="I35:I36"/>
    <mergeCell ref="I37:I38"/>
    <mergeCell ref="I39:I40"/>
    <mergeCell ref="I41:I42"/>
    <mergeCell ref="I43:I44"/>
    <mergeCell ref="I72:I73"/>
    <mergeCell ref="I49:I50"/>
    <mergeCell ref="I51:I52"/>
    <mergeCell ref="I53:I54"/>
    <mergeCell ref="I55:I56"/>
    <mergeCell ref="I57:I58"/>
    <mergeCell ref="I59:I60"/>
    <mergeCell ref="I70:I71"/>
    <mergeCell ref="I68:I69"/>
    <mergeCell ref="I66:I67"/>
    <mergeCell ref="I74:I75"/>
    <mergeCell ref="I76:I77"/>
    <mergeCell ref="I78:I79"/>
    <mergeCell ref="I80:I81"/>
    <mergeCell ref="I82:I83"/>
    <mergeCell ref="I84:I85"/>
    <mergeCell ref="I92:I93"/>
    <mergeCell ref="I86:I87"/>
    <mergeCell ref="I90:I91"/>
    <mergeCell ref="I142:I143"/>
    <mergeCell ref="I144:I145"/>
    <mergeCell ref="I134:I135"/>
    <mergeCell ref="I136:I137"/>
    <mergeCell ref="I138:I139"/>
    <mergeCell ref="I140:I141"/>
    <mergeCell ref="I119:I120"/>
    <mergeCell ref="I121:I122"/>
    <mergeCell ref="I123:I124"/>
    <mergeCell ref="I130:I131"/>
    <mergeCell ref="I132:I133"/>
    <mergeCell ref="I125:I126"/>
    <mergeCell ref="I128:I129"/>
    <mergeCell ref="I97:I98"/>
    <mergeCell ref="I94:I95"/>
    <mergeCell ref="H101:H102"/>
    <mergeCell ref="H111:H112"/>
    <mergeCell ref="H125:H126"/>
    <mergeCell ref="G101:G102"/>
    <mergeCell ref="I99:I100"/>
    <mergeCell ref="I101:I102"/>
    <mergeCell ref="I103:I104"/>
    <mergeCell ref="I105:I106"/>
    <mergeCell ref="I109:I110"/>
    <mergeCell ref="I111:I112"/>
    <mergeCell ref="I115:I116"/>
    <mergeCell ref="I117:I118"/>
    <mergeCell ref="I113:I114"/>
    <mergeCell ref="G105:G106"/>
    <mergeCell ref="H105:H106"/>
    <mergeCell ref="G123:G124"/>
    <mergeCell ref="H123:H124"/>
    <mergeCell ref="G119:G120"/>
    <mergeCell ref="H119:H120"/>
    <mergeCell ref="G113:G114"/>
    <mergeCell ref="H113:H114"/>
    <mergeCell ref="G115:G116"/>
  </mergeCells>
  <phoneticPr fontId="7" type="noConversion"/>
  <pageMargins left="0.55118110236220474" right="0.55118110236220474" top="0.59055118110236227" bottom="0.47244094488188981" header="0.51181102362204722" footer="0.23622047244094491"/>
  <pageSetup paperSize="9" scale="75" fitToWidth="4" orientation="portrait" r:id="rId2"/>
  <headerFooter alignWithMargins="0">
    <oddFooter xml:space="preserve">&amp;CStránka &amp;P </oddFooter>
  </headerFooter>
  <rowBreaks count="6" manualBreakCount="6">
    <brk id="31" max="16383" man="1"/>
    <brk id="62" max="16383" man="1"/>
    <brk id="93" max="16383" man="1"/>
    <brk id="124" max="16383" man="1"/>
    <brk id="146" max="16383" man="1"/>
    <brk id="18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indexed="15"/>
    <outlinePr summaryBelow="0" summaryRight="0"/>
  </sheetPr>
  <dimension ref="A1:H65"/>
  <sheetViews>
    <sheetView zoomScaleNormal="100" workbookViewId="0">
      <selection activeCell="E66" sqref="E66"/>
    </sheetView>
  </sheetViews>
  <sheetFormatPr defaultColWidth="9.109375" defaultRowHeight="10.199999999999999" x14ac:dyDescent="0.25"/>
  <cols>
    <col min="1" max="1" width="4.44140625" style="318" customWidth="1"/>
    <col min="2" max="2" width="37.44140625" style="318" customWidth="1"/>
    <col min="3" max="3" width="4.109375" style="318" customWidth="1"/>
    <col min="4" max="4" width="28.33203125" style="318" customWidth="1"/>
    <col min="5" max="5" width="34.5546875" style="318" customWidth="1"/>
    <col min="6" max="6" width="26" style="558" hidden="1" customWidth="1"/>
    <col min="7" max="7" width="0" style="318" hidden="1" customWidth="1"/>
    <col min="8" max="16384" width="9.109375" style="318"/>
  </cols>
  <sheetData>
    <row r="1" spans="1:8" s="315" customFormat="1" ht="15.6" customHeight="1" thickBot="1" x14ac:dyDescent="0.3">
      <c r="A1" s="554"/>
      <c r="B1" s="555"/>
      <c r="C1" s="555"/>
      <c r="D1" s="932" t="s">
        <v>1875</v>
      </c>
      <c r="E1" s="933"/>
      <c r="F1" s="617">
        <v>30.126000000000001</v>
      </c>
    </row>
    <row r="2" spans="1:8" s="315" customFormat="1" ht="33.75" customHeight="1" x14ac:dyDescent="0.2">
      <c r="A2" s="548" t="s">
        <v>82</v>
      </c>
      <c r="B2" s="550" t="s">
        <v>1876</v>
      </c>
      <c r="C2" s="551" t="s">
        <v>84</v>
      </c>
      <c r="D2" s="552" t="s">
        <v>1877</v>
      </c>
      <c r="E2" s="553" t="s">
        <v>1878</v>
      </c>
      <c r="F2" s="618" t="s">
        <v>1283</v>
      </c>
    </row>
    <row r="3" spans="1:8" s="315" customFormat="1" ht="24.75" customHeight="1" x14ac:dyDescent="0.25">
      <c r="A3" s="810" t="s">
        <v>1879</v>
      </c>
      <c r="B3" s="806" t="s">
        <v>2835</v>
      </c>
      <c r="C3" s="301" t="s">
        <v>2211</v>
      </c>
      <c r="D3" s="783">
        <f>'IS-SK format'!G7</f>
        <v>0</v>
      </c>
      <c r="E3" s="781">
        <f>'IS-SK format'!H7</f>
        <v>0</v>
      </c>
      <c r="F3" s="619">
        <f>E3*$F$1/1000</f>
        <v>0</v>
      </c>
      <c r="G3" s="560" t="s">
        <v>452</v>
      </c>
    </row>
    <row r="4" spans="1:8" s="315" customFormat="1" ht="30" customHeight="1" x14ac:dyDescent="0.25">
      <c r="A4" s="810" t="s">
        <v>1880</v>
      </c>
      <c r="B4" s="806" t="s">
        <v>2834</v>
      </c>
      <c r="C4" s="301" t="s">
        <v>2212</v>
      </c>
      <c r="D4" s="783">
        <f>'IS-SK format'!G8</f>
        <v>0</v>
      </c>
      <c r="E4" s="781">
        <v>408</v>
      </c>
      <c r="F4" s="619">
        <f t="shared" ref="F4:F65" si="0">E4*$F$1/1000</f>
        <v>12.291408000000001</v>
      </c>
      <c r="G4" s="560" t="s">
        <v>452</v>
      </c>
    </row>
    <row r="5" spans="1:8" s="813" customFormat="1" ht="24.75" customHeight="1" x14ac:dyDescent="0.25">
      <c r="A5" s="808" t="s">
        <v>1757</v>
      </c>
      <c r="B5" s="809" t="s">
        <v>1881</v>
      </c>
      <c r="C5" s="812" t="s">
        <v>2213</v>
      </c>
      <c r="D5" s="788">
        <f>'IS-SK format'!G10</f>
        <v>0</v>
      </c>
      <c r="E5" s="787">
        <v>-408</v>
      </c>
      <c r="F5" s="619">
        <f t="shared" si="0"/>
        <v>-12.291408000000001</v>
      </c>
      <c r="G5" s="560" t="s">
        <v>452</v>
      </c>
      <c r="H5" s="315"/>
    </row>
    <row r="6" spans="1:8" s="813" customFormat="1" ht="24.75" customHeight="1" x14ac:dyDescent="0.25">
      <c r="A6" s="808" t="s">
        <v>1882</v>
      </c>
      <c r="B6" s="809" t="s">
        <v>1883</v>
      </c>
      <c r="C6" s="812" t="s">
        <v>2214</v>
      </c>
      <c r="D6" s="788">
        <f>'IS-SK format'!G12</f>
        <v>0</v>
      </c>
      <c r="E6" s="787">
        <f>'IS-SK format'!H12</f>
        <v>0</v>
      </c>
      <c r="F6" s="619">
        <f t="shared" si="0"/>
        <v>0</v>
      </c>
      <c r="G6" s="560" t="s">
        <v>452</v>
      </c>
      <c r="H6" s="315"/>
    </row>
    <row r="7" spans="1:8" s="315" customFormat="1" ht="24.75" customHeight="1" x14ac:dyDescent="0.25">
      <c r="A7" s="803" t="s">
        <v>1884</v>
      </c>
      <c r="B7" s="806" t="s">
        <v>2836</v>
      </c>
      <c r="C7" s="301" t="s">
        <v>442</v>
      </c>
      <c r="D7" s="783">
        <f>'IS-SK format'!G13</f>
        <v>0</v>
      </c>
      <c r="E7" s="781">
        <f>'IS-SK format'!H13</f>
        <v>0</v>
      </c>
      <c r="F7" s="619">
        <f t="shared" si="0"/>
        <v>0</v>
      </c>
      <c r="G7" s="560" t="s">
        <v>452</v>
      </c>
    </row>
    <row r="8" spans="1:8" s="315" customFormat="1" ht="24.75" customHeight="1" x14ac:dyDescent="0.25">
      <c r="A8" s="803" t="s">
        <v>773</v>
      </c>
      <c r="B8" s="806" t="s">
        <v>1914</v>
      </c>
      <c r="C8" s="301" t="s">
        <v>443</v>
      </c>
      <c r="D8" s="783">
        <f>'IS-SK format'!G14</f>
        <v>0</v>
      </c>
      <c r="E8" s="781">
        <f>'IS-SK format'!H14</f>
        <v>0</v>
      </c>
      <c r="F8" s="619">
        <f t="shared" si="0"/>
        <v>0</v>
      </c>
      <c r="G8" s="560" t="s">
        <v>452</v>
      </c>
    </row>
    <row r="9" spans="1:8" s="315" customFormat="1" ht="24.75" customHeight="1" x14ac:dyDescent="0.25">
      <c r="A9" s="803" t="s">
        <v>774</v>
      </c>
      <c r="B9" s="806" t="s">
        <v>1915</v>
      </c>
      <c r="C9" s="301" t="s">
        <v>444</v>
      </c>
      <c r="D9" s="783">
        <f>'IS-SK format'!G15</f>
        <v>0</v>
      </c>
      <c r="E9" s="781">
        <f>'IS-SK format'!H15</f>
        <v>0</v>
      </c>
      <c r="F9" s="619">
        <f t="shared" si="0"/>
        <v>0</v>
      </c>
    </row>
    <row r="10" spans="1:8" s="813" customFormat="1" ht="24.75" customHeight="1" x14ac:dyDescent="0.25">
      <c r="A10" s="808" t="s">
        <v>933</v>
      </c>
      <c r="B10" s="809" t="s">
        <v>1916</v>
      </c>
      <c r="C10" s="812" t="s">
        <v>445</v>
      </c>
      <c r="D10" s="788">
        <f>'IS-SK format'!G17</f>
        <v>408.59</v>
      </c>
      <c r="E10" s="787">
        <v>665</v>
      </c>
      <c r="F10" s="619">
        <f t="shared" si="0"/>
        <v>20.03379</v>
      </c>
      <c r="G10" s="560" t="s">
        <v>452</v>
      </c>
      <c r="H10" s="315"/>
    </row>
    <row r="11" spans="1:8" s="315" customFormat="1" ht="51.75" customHeight="1" x14ac:dyDescent="0.25">
      <c r="A11" s="810" t="s">
        <v>2661</v>
      </c>
      <c r="B11" s="806" t="s">
        <v>1917</v>
      </c>
      <c r="C11" s="301" t="s">
        <v>258</v>
      </c>
      <c r="D11" s="783">
        <f>'IS-SK format'!G18</f>
        <v>6.75</v>
      </c>
      <c r="E11" s="781">
        <f>'IS-SK format'!H18</f>
        <v>0</v>
      </c>
      <c r="F11" s="619">
        <f t="shared" si="0"/>
        <v>0</v>
      </c>
      <c r="G11" s="560" t="s">
        <v>452</v>
      </c>
    </row>
    <row r="12" spans="1:8" s="315" customFormat="1" ht="24.75" customHeight="1" x14ac:dyDescent="0.25">
      <c r="A12" s="810" t="s">
        <v>1918</v>
      </c>
      <c r="B12" s="806" t="s">
        <v>1919</v>
      </c>
      <c r="C12" s="301" t="s">
        <v>259</v>
      </c>
      <c r="D12" s="783">
        <f>'IS-SK format'!G19</f>
        <v>401.84</v>
      </c>
      <c r="E12" s="781">
        <v>665</v>
      </c>
      <c r="F12" s="619">
        <f t="shared" si="0"/>
        <v>20.03379</v>
      </c>
      <c r="G12" s="560" t="s">
        <v>452</v>
      </c>
    </row>
    <row r="13" spans="1:8" s="813" customFormat="1" ht="24.75" customHeight="1" x14ac:dyDescent="0.25">
      <c r="A13" s="808" t="s">
        <v>1757</v>
      </c>
      <c r="B13" s="809" t="s">
        <v>1920</v>
      </c>
      <c r="C13" s="812" t="s">
        <v>260</v>
      </c>
      <c r="D13" s="788">
        <f>'IS-SK format'!G21</f>
        <v>-408.59</v>
      </c>
      <c r="E13" s="787">
        <v>-1073</v>
      </c>
      <c r="F13" s="619">
        <f t="shared" si="0"/>
        <v>-32.325198</v>
      </c>
      <c r="G13" s="560" t="s">
        <v>452</v>
      </c>
      <c r="H13" s="315"/>
    </row>
    <row r="14" spans="1:8" s="315" customFormat="1" ht="24.75" customHeight="1" x14ac:dyDescent="0.25">
      <c r="A14" s="810" t="s">
        <v>261</v>
      </c>
      <c r="B14" s="806" t="s">
        <v>1921</v>
      </c>
      <c r="C14" s="301" t="s">
        <v>1739</v>
      </c>
      <c r="D14" s="783">
        <f>'IS-SK format'!G23</f>
        <v>0</v>
      </c>
      <c r="E14" s="781">
        <f>'IS-SK format'!H23</f>
        <v>0</v>
      </c>
      <c r="F14" s="619">
        <f t="shared" si="0"/>
        <v>0</v>
      </c>
      <c r="G14" s="560" t="s">
        <v>452</v>
      </c>
    </row>
    <row r="15" spans="1:8" s="315" customFormat="1" ht="24.75" customHeight="1" x14ac:dyDescent="0.25">
      <c r="A15" s="810" t="s">
        <v>1874</v>
      </c>
      <c r="B15" s="806" t="s">
        <v>1922</v>
      </c>
      <c r="C15" s="301" t="s">
        <v>1740</v>
      </c>
      <c r="D15" s="783">
        <f>'IS-SK format'!G24</f>
        <v>0</v>
      </c>
      <c r="E15" s="781">
        <f>'IS-SK format'!H24</f>
        <v>0</v>
      </c>
      <c r="F15" s="619">
        <f t="shared" si="0"/>
        <v>0</v>
      </c>
      <c r="G15" s="560" t="s">
        <v>452</v>
      </c>
    </row>
    <row r="16" spans="1:8" s="315" customFormat="1" ht="24.75" customHeight="1" x14ac:dyDescent="0.25">
      <c r="A16" s="810" t="s">
        <v>1918</v>
      </c>
      <c r="B16" s="806" t="s">
        <v>1923</v>
      </c>
      <c r="C16" s="301" t="s">
        <v>1741</v>
      </c>
      <c r="D16" s="783">
        <f>'IS-SK format'!G25</f>
        <v>0</v>
      </c>
      <c r="E16" s="781">
        <f>'IS-SK format'!H25</f>
        <v>0</v>
      </c>
      <c r="F16" s="619">
        <f t="shared" si="0"/>
        <v>0</v>
      </c>
    </row>
    <row r="17" spans="1:8" s="315" customFormat="1" ht="24.75" customHeight="1" x14ac:dyDescent="0.25">
      <c r="A17" s="810" t="s">
        <v>1924</v>
      </c>
      <c r="B17" s="806" t="s">
        <v>283</v>
      </c>
      <c r="C17" s="301" t="s">
        <v>1742</v>
      </c>
      <c r="D17" s="783">
        <f>'IS-SK format'!G26</f>
        <v>0</v>
      </c>
      <c r="E17" s="781">
        <f>'IS-SK format'!H26</f>
        <v>0</v>
      </c>
      <c r="F17" s="619">
        <f t="shared" si="0"/>
        <v>0</v>
      </c>
      <c r="G17" s="560" t="s">
        <v>452</v>
      </c>
    </row>
    <row r="18" spans="1:8" s="315" customFormat="1" ht="24.75" customHeight="1" x14ac:dyDescent="0.25">
      <c r="A18" s="810" t="s">
        <v>284</v>
      </c>
      <c r="B18" s="806" t="s">
        <v>285</v>
      </c>
      <c r="C18" s="301" t="s">
        <v>171</v>
      </c>
      <c r="D18" s="783">
        <f>'IS-SK format'!G27</f>
        <v>0</v>
      </c>
      <c r="E18" s="781">
        <f>'IS-SK format'!H27</f>
        <v>0</v>
      </c>
      <c r="F18" s="619">
        <f t="shared" si="0"/>
        <v>0</v>
      </c>
      <c r="G18" s="560" t="s">
        <v>452</v>
      </c>
    </row>
    <row r="19" spans="1:8" s="315" customFormat="1" ht="24.75" customHeight="1" x14ac:dyDescent="0.25">
      <c r="A19" s="810" t="s">
        <v>934</v>
      </c>
      <c r="B19" s="806" t="s">
        <v>286</v>
      </c>
      <c r="C19" s="301" t="s">
        <v>172</v>
      </c>
      <c r="D19" s="783">
        <f>'IS-SK format'!G28</f>
        <v>0</v>
      </c>
      <c r="E19" s="781">
        <f>'IS-SK format'!H28</f>
        <v>0</v>
      </c>
      <c r="F19" s="619">
        <f t="shared" si="0"/>
        <v>0</v>
      </c>
      <c r="G19" s="560" t="s">
        <v>452</v>
      </c>
    </row>
    <row r="20" spans="1:8" s="315" customFormat="1" ht="24.75" customHeight="1" x14ac:dyDescent="0.25">
      <c r="A20" s="810" t="s">
        <v>611</v>
      </c>
      <c r="B20" s="806" t="s">
        <v>287</v>
      </c>
      <c r="C20" s="301" t="s">
        <v>173</v>
      </c>
      <c r="D20" s="783">
        <f>'IS-SK format'!G29</f>
        <v>0</v>
      </c>
      <c r="E20" s="781">
        <f>'IS-SK format'!H29</f>
        <v>0</v>
      </c>
      <c r="F20" s="619">
        <f t="shared" si="0"/>
        <v>0</v>
      </c>
      <c r="G20" s="560" t="s">
        <v>452</v>
      </c>
    </row>
    <row r="21" spans="1:8" s="315" customFormat="1" ht="24.75" customHeight="1" x14ac:dyDescent="0.25">
      <c r="A21" s="810" t="s">
        <v>288</v>
      </c>
      <c r="B21" s="806" t="s">
        <v>289</v>
      </c>
      <c r="C21" s="301" t="s">
        <v>1106</v>
      </c>
      <c r="D21" s="783">
        <f>'IS-SK format'!G30</f>
        <v>0</v>
      </c>
      <c r="E21" s="781">
        <f>'IS-SK format'!H30</f>
        <v>0</v>
      </c>
      <c r="F21" s="619">
        <f t="shared" si="0"/>
        <v>0</v>
      </c>
      <c r="G21" s="560" t="s">
        <v>452</v>
      </c>
    </row>
    <row r="22" spans="1:8" s="315" customFormat="1" ht="24.75" customHeight="1" x14ac:dyDescent="0.25">
      <c r="A22" s="810" t="s">
        <v>616</v>
      </c>
      <c r="B22" s="806" t="s">
        <v>290</v>
      </c>
      <c r="C22" s="301" t="s">
        <v>1107</v>
      </c>
      <c r="D22" s="783">
        <f>'IS-SK format'!G31</f>
        <v>0</v>
      </c>
      <c r="E22" s="781">
        <f>'IS-SK format'!H31</f>
        <v>0</v>
      </c>
      <c r="F22" s="619">
        <f t="shared" si="0"/>
        <v>0</v>
      </c>
      <c r="G22" s="560" t="s">
        <v>452</v>
      </c>
    </row>
    <row r="23" spans="1:8" s="315" customFormat="1" ht="30" customHeight="1" x14ac:dyDescent="0.25">
      <c r="A23" s="810" t="s">
        <v>617</v>
      </c>
      <c r="B23" s="806" t="s">
        <v>2458</v>
      </c>
      <c r="C23" s="301" t="s">
        <v>1108</v>
      </c>
      <c r="D23" s="783">
        <f>'IS-SK format'!G32</f>
        <v>0</v>
      </c>
      <c r="E23" s="781">
        <f>'IS-SK format'!H32</f>
        <v>0</v>
      </c>
      <c r="F23" s="620">
        <f t="shared" si="0"/>
        <v>0</v>
      </c>
    </row>
    <row r="24" spans="1:8" s="315" customFormat="1" ht="24.75" customHeight="1" x14ac:dyDescent="0.25">
      <c r="A24" s="810" t="s">
        <v>291</v>
      </c>
      <c r="B24" s="806" t="s">
        <v>2010</v>
      </c>
      <c r="C24" s="301" t="s">
        <v>339</v>
      </c>
      <c r="D24" s="783">
        <f>'IS-SK format'!G33</f>
        <v>0</v>
      </c>
      <c r="E24" s="781">
        <f>'IS-SK format'!H33</f>
        <v>0</v>
      </c>
      <c r="F24" s="619">
        <f t="shared" si="0"/>
        <v>0</v>
      </c>
      <c r="G24" s="560" t="s">
        <v>452</v>
      </c>
    </row>
    <row r="25" spans="1:8" s="315" customFormat="1" ht="24.75" customHeight="1" x14ac:dyDescent="0.25">
      <c r="A25" s="810" t="s">
        <v>1891</v>
      </c>
      <c r="B25" s="806" t="s">
        <v>2459</v>
      </c>
      <c r="C25" s="301" t="s">
        <v>340</v>
      </c>
      <c r="D25" s="783">
        <f>'IS-SK format'!G34</f>
        <v>20</v>
      </c>
      <c r="E25" s="781">
        <f>'IS-SK format'!H34</f>
        <v>0</v>
      </c>
      <c r="F25" s="620">
        <f t="shared" si="0"/>
        <v>0</v>
      </c>
      <c r="G25" s="560" t="s">
        <v>452</v>
      </c>
    </row>
    <row r="26" spans="1:8" s="315" customFormat="1" ht="24.75" customHeight="1" x14ac:dyDescent="0.25">
      <c r="A26" s="810" t="s">
        <v>2011</v>
      </c>
      <c r="B26" s="806" t="s">
        <v>2012</v>
      </c>
      <c r="C26" s="301" t="s">
        <v>341</v>
      </c>
      <c r="D26" s="783">
        <f>'IS-SK format'!G35</f>
        <v>0</v>
      </c>
      <c r="E26" s="781">
        <f>'IS-SK format'!H35</f>
        <v>0</v>
      </c>
      <c r="F26" s="619">
        <f t="shared" si="0"/>
        <v>0</v>
      </c>
    </row>
    <row r="27" spans="1:8" s="315" customFormat="1" ht="24.75" customHeight="1" x14ac:dyDescent="0.25">
      <c r="A27" s="810" t="s">
        <v>2460</v>
      </c>
      <c r="B27" s="806" t="s">
        <v>2058</v>
      </c>
      <c r="C27" s="301" t="s">
        <v>342</v>
      </c>
      <c r="D27" s="783">
        <f>'IS-SK format'!G36</f>
        <v>0</v>
      </c>
      <c r="E27" s="781">
        <f>'IS-SK format'!H36</f>
        <v>0</v>
      </c>
      <c r="F27" s="619">
        <f t="shared" si="0"/>
        <v>0</v>
      </c>
    </row>
    <row r="28" spans="1:8" s="813" customFormat="1" ht="30" customHeight="1" x14ac:dyDescent="0.25">
      <c r="A28" s="808" t="s">
        <v>901</v>
      </c>
      <c r="B28" s="809" t="s">
        <v>1340</v>
      </c>
      <c r="C28" s="301" t="s">
        <v>343</v>
      </c>
      <c r="D28" s="788">
        <f>'IS-SK format'!G38</f>
        <v>-428.59</v>
      </c>
      <c r="E28" s="787">
        <v>-1073</v>
      </c>
      <c r="F28" s="619">
        <f t="shared" si="0"/>
        <v>-32.325198</v>
      </c>
      <c r="G28" s="560" t="s">
        <v>452</v>
      </c>
      <c r="H28" s="315"/>
    </row>
    <row r="29" spans="1:8" s="315" customFormat="1" ht="24.75" customHeight="1" thickBot="1" x14ac:dyDescent="0.3">
      <c r="A29" s="317" t="s">
        <v>2059</v>
      </c>
      <c r="B29" s="807" t="s">
        <v>2060</v>
      </c>
      <c r="C29" s="310" t="s">
        <v>344</v>
      </c>
      <c r="D29" s="797">
        <f>'IS-SK format'!G40</f>
        <v>0</v>
      </c>
      <c r="E29" s="785">
        <f>'IS-SK format'!H40</f>
        <v>0</v>
      </c>
      <c r="F29" s="619">
        <f t="shared" si="0"/>
        <v>0</v>
      </c>
    </row>
    <row r="30" spans="1:8" ht="33.75" customHeight="1" x14ac:dyDescent="0.2">
      <c r="A30" s="804" t="s">
        <v>82</v>
      </c>
      <c r="B30" s="801" t="s">
        <v>1876</v>
      </c>
      <c r="C30" s="805" t="s">
        <v>84</v>
      </c>
      <c r="D30" s="621" t="s">
        <v>1877</v>
      </c>
      <c r="E30" s="802" t="s">
        <v>1878</v>
      </c>
      <c r="F30" s="618" t="s">
        <v>1283</v>
      </c>
      <c r="H30" s="315"/>
    </row>
    <row r="31" spans="1:8" s="315" customFormat="1" ht="24.75" customHeight="1" x14ac:dyDescent="0.25">
      <c r="A31" s="810" t="s">
        <v>2075</v>
      </c>
      <c r="B31" s="806" t="s">
        <v>2062</v>
      </c>
      <c r="C31" s="301" t="s">
        <v>345</v>
      </c>
      <c r="D31" s="783">
        <f>'IS-SK format'!G41</f>
        <v>0</v>
      </c>
      <c r="E31" s="781">
        <f>'IS-SK format'!H41</f>
        <v>0</v>
      </c>
      <c r="F31" s="619">
        <f t="shared" si="0"/>
        <v>0</v>
      </c>
    </row>
    <row r="32" spans="1:8" ht="24.75" customHeight="1" x14ac:dyDescent="0.25">
      <c r="A32" s="547" t="s">
        <v>2063</v>
      </c>
      <c r="B32" s="811" t="s">
        <v>1341</v>
      </c>
      <c r="C32" s="549" t="s">
        <v>346</v>
      </c>
      <c r="D32" s="794">
        <f>'IS-SK format'!G43</f>
        <v>0</v>
      </c>
      <c r="E32" s="784">
        <f>'IS-SK format'!H43</f>
        <v>0</v>
      </c>
      <c r="F32" s="619">
        <f t="shared" si="0"/>
        <v>0</v>
      </c>
      <c r="H32" s="315"/>
    </row>
    <row r="33" spans="1:8" ht="24.75" customHeight="1" x14ac:dyDescent="0.25">
      <c r="A33" s="810" t="s">
        <v>2064</v>
      </c>
      <c r="B33" s="806" t="s">
        <v>2065</v>
      </c>
      <c r="C33" s="301" t="s">
        <v>2068</v>
      </c>
      <c r="D33" s="783">
        <f>'IS-SK format'!G44</f>
        <v>0</v>
      </c>
      <c r="E33" s="781">
        <f>'IS-SK format'!H44</f>
        <v>0</v>
      </c>
      <c r="F33" s="619">
        <f t="shared" si="0"/>
        <v>0</v>
      </c>
      <c r="H33" s="315"/>
    </row>
    <row r="34" spans="1:8" ht="24.75" customHeight="1" x14ac:dyDescent="0.25">
      <c r="A34" s="810" t="s">
        <v>2066</v>
      </c>
      <c r="B34" s="806" t="s">
        <v>2067</v>
      </c>
      <c r="C34" s="549" t="s">
        <v>2071</v>
      </c>
      <c r="D34" s="783">
        <f>'IS-SK format'!G45</f>
        <v>0</v>
      </c>
      <c r="E34" s="781">
        <f>'IS-SK format'!H45</f>
        <v>0</v>
      </c>
      <c r="F34" s="619">
        <f t="shared" si="0"/>
        <v>0</v>
      </c>
      <c r="H34" s="315"/>
    </row>
    <row r="35" spans="1:8" ht="24.75" customHeight="1" x14ac:dyDescent="0.25">
      <c r="A35" s="810" t="s">
        <v>2069</v>
      </c>
      <c r="B35" s="806" t="s">
        <v>2070</v>
      </c>
      <c r="C35" s="301" t="s">
        <v>2074</v>
      </c>
      <c r="D35" s="783">
        <f>'IS-SK format'!G46</f>
        <v>0</v>
      </c>
      <c r="E35" s="781">
        <f>'IS-SK format'!H46</f>
        <v>0</v>
      </c>
      <c r="F35" s="619">
        <f t="shared" si="0"/>
        <v>0</v>
      </c>
      <c r="H35" s="315"/>
    </row>
    <row r="36" spans="1:8" ht="24.75" customHeight="1" x14ac:dyDescent="0.25">
      <c r="A36" s="810" t="s">
        <v>2072</v>
      </c>
      <c r="B36" s="806" t="s">
        <v>2073</v>
      </c>
      <c r="C36" s="549" t="s">
        <v>2077</v>
      </c>
      <c r="D36" s="783">
        <f>'IS-SK format'!G47</f>
        <v>0</v>
      </c>
      <c r="E36" s="781">
        <f>'IS-SK format'!H47</f>
        <v>0</v>
      </c>
      <c r="F36" s="619">
        <f t="shared" si="0"/>
        <v>0</v>
      </c>
      <c r="H36" s="315"/>
    </row>
    <row r="37" spans="1:8" ht="24.75" customHeight="1" x14ac:dyDescent="0.25">
      <c r="A37" s="810" t="s">
        <v>907</v>
      </c>
      <c r="B37" s="806" t="s">
        <v>2076</v>
      </c>
      <c r="C37" s="301" t="s">
        <v>126</v>
      </c>
      <c r="D37" s="783">
        <f>'IS-SK format'!G48</f>
        <v>0</v>
      </c>
      <c r="E37" s="781">
        <f>'IS-SK format'!H48</f>
        <v>0</v>
      </c>
      <c r="F37" s="619">
        <f t="shared" si="0"/>
        <v>0</v>
      </c>
      <c r="H37" s="315"/>
    </row>
    <row r="38" spans="1:8" ht="24.75" customHeight="1" x14ac:dyDescent="0.25">
      <c r="A38" s="810" t="s">
        <v>2078</v>
      </c>
      <c r="B38" s="806" t="s">
        <v>125</v>
      </c>
      <c r="C38" s="549" t="s">
        <v>128</v>
      </c>
      <c r="D38" s="783">
        <f>'IS-SK format'!G49</f>
        <v>0</v>
      </c>
      <c r="E38" s="781">
        <f>'IS-SK format'!H49</f>
        <v>0</v>
      </c>
      <c r="F38" s="619">
        <f t="shared" si="0"/>
        <v>0</v>
      </c>
      <c r="H38" s="315"/>
    </row>
    <row r="39" spans="1:8" ht="24.75" customHeight="1" x14ac:dyDescent="0.25">
      <c r="A39" s="810" t="s">
        <v>908</v>
      </c>
      <c r="B39" s="806" t="s">
        <v>127</v>
      </c>
      <c r="C39" s="301" t="s">
        <v>130</v>
      </c>
      <c r="D39" s="783">
        <f>'IS-SK format'!G50</f>
        <v>0</v>
      </c>
      <c r="E39" s="781">
        <f>'IS-SK format'!H50</f>
        <v>0</v>
      </c>
      <c r="F39" s="619">
        <f t="shared" si="0"/>
        <v>0</v>
      </c>
      <c r="H39" s="315"/>
    </row>
    <row r="40" spans="1:8" ht="32.25" customHeight="1" x14ac:dyDescent="0.25">
      <c r="A40" s="810" t="s">
        <v>1618</v>
      </c>
      <c r="B40" s="806" t="s">
        <v>129</v>
      </c>
      <c r="C40" s="549" t="s">
        <v>132</v>
      </c>
      <c r="D40" s="783">
        <f>'IS-SK format'!G51</f>
        <v>0</v>
      </c>
      <c r="E40" s="781">
        <f>'IS-SK format'!H51</f>
        <v>0</v>
      </c>
      <c r="F40" s="619">
        <f t="shared" si="0"/>
        <v>0</v>
      </c>
      <c r="H40" s="315"/>
    </row>
    <row r="41" spans="1:8" ht="24.75" customHeight="1" x14ac:dyDescent="0.25">
      <c r="A41" s="810" t="s">
        <v>131</v>
      </c>
      <c r="B41" s="806" t="s">
        <v>913</v>
      </c>
      <c r="C41" s="301" t="s">
        <v>134</v>
      </c>
      <c r="D41" s="783">
        <f>'IS-SK format'!G52</f>
        <v>0</v>
      </c>
      <c r="E41" s="781">
        <f>'IS-SK format'!H52</f>
        <v>0</v>
      </c>
      <c r="F41" s="619">
        <f t="shared" si="0"/>
        <v>0</v>
      </c>
      <c r="G41" s="560" t="s">
        <v>452</v>
      </c>
      <c r="H41" s="315"/>
    </row>
    <row r="42" spans="1:8" ht="24.75" customHeight="1" x14ac:dyDescent="0.25">
      <c r="A42" s="810" t="s">
        <v>914</v>
      </c>
      <c r="B42" s="806" t="s">
        <v>133</v>
      </c>
      <c r="C42" s="549" t="s">
        <v>136</v>
      </c>
      <c r="D42" s="783">
        <f>'IS-SK format'!G53</f>
        <v>0</v>
      </c>
      <c r="E42" s="781">
        <f>'IS-SK format'!H53</f>
        <v>0</v>
      </c>
      <c r="F42" s="619">
        <f t="shared" si="0"/>
        <v>0</v>
      </c>
      <c r="G42" s="560" t="s">
        <v>452</v>
      </c>
      <c r="H42" s="315"/>
    </row>
    <row r="43" spans="1:8" ht="24.75" customHeight="1" x14ac:dyDescent="0.25">
      <c r="A43" s="810" t="s">
        <v>135</v>
      </c>
      <c r="B43" s="806" t="s">
        <v>1620</v>
      </c>
      <c r="C43" s="301" t="s">
        <v>137</v>
      </c>
      <c r="D43" s="783">
        <f>'IS-SK format'!G54</f>
        <v>0</v>
      </c>
      <c r="E43" s="781">
        <f>'IS-SK format'!H54</f>
        <v>0</v>
      </c>
      <c r="F43" s="619">
        <f t="shared" si="0"/>
        <v>0</v>
      </c>
      <c r="G43" s="560" t="s">
        <v>452</v>
      </c>
      <c r="H43" s="315"/>
    </row>
    <row r="44" spans="1:8" ht="24.75" customHeight="1" x14ac:dyDescent="0.25">
      <c r="A44" s="810" t="s">
        <v>1149</v>
      </c>
      <c r="B44" s="806" t="s">
        <v>1621</v>
      </c>
      <c r="C44" s="549" t="s">
        <v>140</v>
      </c>
      <c r="D44" s="783">
        <f>'IS-SK format'!G55</f>
        <v>0</v>
      </c>
      <c r="E44" s="781">
        <f>'IS-SK format'!H55</f>
        <v>0</v>
      </c>
      <c r="F44" s="619">
        <f t="shared" si="0"/>
        <v>0</v>
      </c>
      <c r="G44" s="560" t="s">
        <v>452</v>
      </c>
      <c r="H44" s="315"/>
    </row>
    <row r="45" spans="1:8" ht="24.75" customHeight="1" x14ac:dyDescent="0.25">
      <c r="A45" s="810" t="s">
        <v>138</v>
      </c>
      <c r="B45" s="806" t="s">
        <v>139</v>
      </c>
      <c r="C45" s="301" t="s">
        <v>142</v>
      </c>
      <c r="D45" s="783">
        <f>'IS-SK format'!G56</f>
        <v>0</v>
      </c>
      <c r="E45" s="781">
        <f>'IS-SK format'!H56</f>
        <v>0</v>
      </c>
      <c r="F45" s="619">
        <f t="shared" si="0"/>
        <v>0</v>
      </c>
      <c r="H45" s="315"/>
    </row>
    <row r="46" spans="1:8" ht="24.75" customHeight="1" x14ac:dyDescent="0.25">
      <c r="A46" s="810" t="s">
        <v>917</v>
      </c>
      <c r="B46" s="806" t="s">
        <v>141</v>
      </c>
      <c r="C46" s="549" t="s">
        <v>145</v>
      </c>
      <c r="D46" s="783">
        <f>'IS-SK format'!G57</f>
        <v>0</v>
      </c>
      <c r="E46" s="781">
        <f>'IS-SK format'!H57</f>
        <v>0</v>
      </c>
      <c r="F46" s="619">
        <f t="shared" si="0"/>
        <v>0</v>
      </c>
      <c r="G46" s="560" t="s">
        <v>452</v>
      </c>
      <c r="H46" s="315"/>
    </row>
    <row r="47" spans="1:8" ht="24.75" customHeight="1" x14ac:dyDescent="0.25">
      <c r="A47" s="810" t="s">
        <v>143</v>
      </c>
      <c r="B47" s="806" t="s">
        <v>144</v>
      </c>
      <c r="C47" s="301" t="s">
        <v>147</v>
      </c>
      <c r="D47" s="783">
        <f>'IS-SK format'!G58</f>
        <v>0</v>
      </c>
      <c r="E47" s="781">
        <f>'IS-SK format'!H58</f>
        <v>0</v>
      </c>
      <c r="F47" s="619">
        <f t="shared" si="0"/>
        <v>0</v>
      </c>
      <c r="H47" s="315"/>
    </row>
    <row r="48" spans="1:8" ht="24.75" customHeight="1" x14ac:dyDescent="0.25">
      <c r="A48" s="810" t="s">
        <v>1623</v>
      </c>
      <c r="B48" s="806" t="s">
        <v>146</v>
      </c>
      <c r="C48" s="549" t="s">
        <v>148</v>
      </c>
      <c r="D48" s="783">
        <f>'IS-SK format'!G59</f>
        <v>0</v>
      </c>
      <c r="E48" s="781">
        <f>'IS-SK format'!H59</f>
        <v>0</v>
      </c>
      <c r="F48" s="619">
        <f t="shared" si="0"/>
        <v>0</v>
      </c>
      <c r="H48" s="315"/>
    </row>
    <row r="49" spans="1:8" s="814" customFormat="1" ht="40.5" customHeight="1" x14ac:dyDescent="0.25">
      <c r="A49" s="808" t="s">
        <v>901</v>
      </c>
      <c r="B49" s="809" t="s">
        <v>1342</v>
      </c>
      <c r="C49" s="301" t="s">
        <v>149</v>
      </c>
      <c r="D49" s="788">
        <f>'IS-SK format'!G60</f>
        <v>0</v>
      </c>
      <c r="E49" s="787">
        <f>'IS-SK format'!H60</f>
        <v>0</v>
      </c>
      <c r="F49" s="619">
        <f t="shared" si="0"/>
        <v>0</v>
      </c>
      <c r="G49" s="560" t="s">
        <v>452</v>
      </c>
      <c r="H49" s="315"/>
    </row>
    <row r="50" spans="1:8" s="814" customFormat="1" ht="30" customHeight="1" x14ac:dyDescent="0.25">
      <c r="A50" s="808" t="s">
        <v>918</v>
      </c>
      <c r="B50" s="809" t="s">
        <v>2167</v>
      </c>
      <c r="C50" s="301" t="s">
        <v>152</v>
      </c>
      <c r="D50" s="788">
        <f>'IS-SK format'!G61</f>
        <v>-428.59</v>
      </c>
      <c r="E50" s="787">
        <v>-1073</v>
      </c>
      <c r="F50" s="619">
        <f t="shared" si="0"/>
        <v>-32.325198</v>
      </c>
      <c r="H50" s="315"/>
    </row>
    <row r="51" spans="1:8" ht="24.75" customHeight="1" x14ac:dyDescent="0.25">
      <c r="A51" s="810" t="s">
        <v>355</v>
      </c>
      <c r="B51" s="806" t="s">
        <v>1343</v>
      </c>
      <c r="C51" s="301" t="s">
        <v>154</v>
      </c>
      <c r="D51" s="783">
        <f>'IS-SK format'!G63</f>
        <v>960</v>
      </c>
      <c r="E51" s="781">
        <v>960</v>
      </c>
      <c r="F51" s="619">
        <f t="shared" si="0"/>
        <v>28.920960000000004</v>
      </c>
      <c r="H51" s="315"/>
    </row>
    <row r="52" spans="1:8" ht="24.75" customHeight="1" x14ac:dyDescent="0.25">
      <c r="A52" s="810" t="s">
        <v>1345</v>
      </c>
      <c r="B52" s="806" t="s">
        <v>151</v>
      </c>
      <c r="C52" s="301" t="s">
        <v>352</v>
      </c>
      <c r="D52" s="783">
        <f>'IS-SK format'!G64</f>
        <v>960</v>
      </c>
      <c r="E52" s="781">
        <v>960</v>
      </c>
      <c r="F52" s="619">
        <f t="shared" si="0"/>
        <v>28.920960000000004</v>
      </c>
      <c r="G52" s="560" t="s">
        <v>452</v>
      </c>
      <c r="H52" s="315"/>
    </row>
    <row r="53" spans="1:8" ht="24.75" customHeight="1" x14ac:dyDescent="0.25">
      <c r="A53" s="810" t="s">
        <v>1918</v>
      </c>
      <c r="B53" s="806" t="s">
        <v>153</v>
      </c>
      <c r="C53" s="301" t="s">
        <v>353</v>
      </c>
      <c r="D53" s="783">
        <f>'IS-SK format'!G65</f>
        <v>0</v>
      </c>
      <c r="E53" s="781">
        <f>'IS-SK format'!H65</f>
        <v>0</v>
      </c>
      <c r="F53" s="619">
        <f t="shared" si="0"/>
        <v>0</v>
      </c>
      <c r="G53" s="560" t="s">
        <v>452</v>
      </c>
      <c r="H53" s="315"/>
    </row>
    <row r="54" spans="1:8" s="814" customFormat="1" ht="24.75" customHeight="1" x14ac:dyDescent="0.25">
      <c r="A54" s="808" t="s">
        <v>918</v>
      </c>
      <c r="B54" s="809" t="s">
        <v>1344</v>
      </c>
      <c r="C54" s="301" t="s">
        <v>158</v>
      </c>
      <c r="D54" s="788">
        <f>'IS-SK format'!G67</f>
        <v>-1388.59</v>
      </c>
      <c r="E54" s="787">
        <v>-2033</v>
      </c>
      <c r="F54" s="619">
        <f t="shared" si="0"/>
        <v>-61.246158000000001</v>
      </c>
      <c r="G54" s="560" t="s">
        <v>452</v>
      </c>
      <c r="H54" s="315"/>
    </row>
    <row r="55" spans="1:8" ht="24.75" customHeight="1" x14ac:dyDescent="0.25">
      <c r="A55" s="810" t="s">
        <v>155</v>
      </c>
      <c r="B55" s="806" t="s">
        <v>156</v>
      </c>
      <c r="C55" s="301" t="s">
        <v>1625</v>
      </c>
      <c r="D55" s="783">
        <f>'IS-SK format'!G69</f>
        <v>0</v>
      </c>
      <c r="E55" s="781">
        <f>'IS-SK format'!H69</f>
        <v>0</v>
      </c>
      <c r="F55" s="619">
        <f t="shared" si="0"/>
        <v>0</v>
      </c>
      <c r="H55" s="315"/>
    </row>
    <row r="56" spans="1:8" ht="24.75" customHeight="1" x14ac:dyDescent="0.25">
      <c r="A56" s="810" t="s">
        <v>356</v>
      </c>
      <c r="B56" s="806" t="s">
        <v>157</v>
      </c>
      <c r="C56" s="301" t="s">
        <v>1626</v>
      </c>
      <c r="D56" s="783">
        <f>'IS-SK format'!G70</f>
        <v>0</v>
      </c>
      <c r="E56" s="781">
        <f>'IS-SK format'!H70</f>
        <v>0</v>
      </c>
      <c r="F56" s="619">
        <f t="shared" si="0"/>
        <v>0</v>
      </c>
      <c r="H56" s="315"/>
    </row>
    <row r="57" spans="1:8" ht="24.75" customHeight="1" thickBot="1" x14ac:dyDescent="0.3">
      <c r="A57" s="317" t="s">
        <v>901</v>
      </c>
      <c r="B57" s="815" t="s">
        <v>1346</v>
      </c>
      <c r="C57" s="310" t="s">
        <v>162</v>
      </c>
      <c r="D57" s="797">
        <f>'IS-SK format'!G72</f>
        <v>0</v>
      </c>
      <c r="E57" s="785">
        <f>'IS-SK format'!H72</f>
        <v>0</v>
      </c>
      <c r="F57" s="619">
        <f t="shared" si="0"/>
        <v>0</v>
      </c>
      <c r="H57" s="315"/>
    </row>
    <row r="58" spans="1:8" ht="33.75" customHeight="1" x14ac:dyDescent="0.2">
      <c r="A58" s="804" t="s">
        <v>82</v>
      </c>
      <c r="B58" s="801" t="s">
        <v>1876</v>
      </c>
      <c r="C58" s="805" t="s">
        <v>84</v>
      </c>
      <c r="D58" s="621" t="s">
        <v>1877</v>
      </c>
      <c r="E58" s="802" t="s">
        <v>1878</v>
      </c>
      <c r="F58" s="556" t="s">
        <v>1283</v>
      </c>
      <c r="H58" s="315"/>
    </row>
    <row r="59" spans="1:8" ht="24.75" customHeight="1" x14ac:dyDescent="0.25">
      <c r="A59" s="810" t="s">
        <v>358</v>
      </c>
      <c r="B59" s="806" t="s">
        <v>1348</v>
      </c>
      <c r="C59" s="301" t="s">
        <v>1627</v>
      </c>
      <c r="D59" s="783">
        <f>'IS-SK format'!G74</f>
        <v>0</v>
      </c>
      <c r="E59" s="781">
        <f>'IS-SK format'!H74</f>
        <v>0</v>
      </c>
      <c r="F59" s="557">
        <f t="shared" si="0"/>
        <v>0</v>
      </c>
      <c r="H59" s="315"/>
    </row>
    <row r="60" spans="1:8" ht="24.75" customHeight="1" x14ac:dyDescent="0.25">
      <c r="A60" s="810" t="s">
        <v>1347</v>
      </c>
      <c r="B60" s="806" t="s">
        <v>160</v>
      </c>
      <c r="C60" s="301" t="s">
        <v>1628</v>
      </c>
      <c r="D60" s="783">
        <f>'IS-SK format'!G75</f>
        <v>0</v>
      </c>
      <c r="E60" s="781">
        <f>'IS-SK format'!H75</f>
        <v>0</v>
      </c>
      <c r="F60" s="557">
        <f t="shared" si="0"/>
        <v>0</v>
      </c>
      <c r="H60" s="315"/>
    </row>
    <row r="61" spans="1:8" ht="24.75" customHeight="1" x14ac:dyDescent="0.25">
      <c r="A61" s="810" t="s">
        <v>1918</v>
      </c>
      <c r="B61" s="806" t="s">
        <v>161</v>
      </c>
      <c r="C61" s="301" t="s">
        <v>359</v>
      </c>
      <c r="D61" s="783">
        <f>'IS-SK format'!G76</f>
        <v>0</v>
      </c>
      <c r="E61" s="781">
        <f>'IS-SK format'!H76</f>
        <v>0</v>
      </c>
      <c r="F61" s="557">
        <f t="shared" si="0"/>
        <v>0</v>
      </c>
      <c r="H61" s="315"/>
    </row>
    <row r="62" spans="1:8" s="814" customFormat="1" ht="24.75" customHeight="1" x14ac:dyDescent="0.25">
      <c r="A62" s="816" t="s">
        <v>901</v>
      </c>
      <c r="B62" s="817" t="s">
        <v>1352</v>
      </c>
      <c r="C62" s="301" t="s">
        <v>1349</v>
      </c>
      <c r="D62" s="690">
        <f>'IS-SK format'!G78</f>
        <v>0</v>
      </c>
      <c r="E62" s="691">
        <f>'IS-SK format'!H78</f>
        <v>0</v>
      </c>
      <c r="F62" s="557">
        <f t="shared" si="0"/>
        <v>0</v>
      </c>
      <c r="H62" s="315"/>
    </row>
    <row r="63" spans="1:8" s="814" customFormat="1" ht="24.75" customHeight="1" x14ac:dyDescent="0.25">
      <c r="A63" s="816" t="s">
        <v>1758</v>
      </c>
      <c r="B63" s="817" t="s">
        <v>468</v>
      </c>
      <c r="C63" s="301" t="s">
        <v>1350</v>
      </c>
      <c r="D63" s="690">
        <f>'IS-SK format'!G80</f>
        <v>-428.59</v>
      </c>
      <c r="E63" s="787">
        <v>-1073</v>
      </c>
      <c r="F63" s="557">
        <f t="shared" si="0"/>
        <v>-32.325198</v>
      </c>
      <c r="H63" s="315"/>
    </row>
    <row r="64" spans="1:8" ht="24.75" customHeight="1" x14ac:dyDescent="0.25">
      <c r="A64" s="810" t="s">
        <v>1353</v>
      </c>
      <c r="B64" s="806" t="s">
        <v>716</v>
      </c>
      <c r="C64" s="301" t="s">
        <v>1351</v>
      </c>
      <c r="D64" s="783">
        <f>'IS-SK format'!G82</f>
        <v>0</v>
      </c>
      <c r="E64" s="781">
        <f>'IS-SK format'!H82</f>
        <v>0</v>
      </c>
      <c r="F64" s="557">
        <f t="shared" si="0"/>
        <v>0</v>
      </c>
      <c r="H64" s="315"/>
    </row>
    <row r="65" spans="1:8" s="814" customFormat="1" ht="30" customHeight="1" thickBot="1" x14ac:dyDescent="0.3">
      <c r="A65" s="818" t="s">
        <v>1758</v>
      </c>
      <c r="B65" s="815" t="s">
        <v>1355</v>
      </c>
      <c r="C65" s="310" t="s">
        <v>1354</v>
      </c>
      <c r="D65" s="692">
        <f>'IS-SK format'!G84</f>
        <v>-1388.59</v>
      </c>
      <c r="E65" s="693">
        <v>-2033</v>
      </c>
      <c r="F65" s="557">
        <f t="shared" si="0"/>
        <v>-61.246158000000001</v>
      </c>
      <c r="G65" s="560" t="s">
        <v>452</v>
      </c>
      <c r="H65" s="315"/>
    </row>
  </sheetData>
  <customSheetViews>
    <customSheetView guid="{305BD771-46DB-4130-A6E1-9C92E07EE410}" showPageBreaks="1" view="pageBreakPreview" showRuler="0">
      <rowBreaks count="2" manualBreakCount="2">
        <brk id="29" max="16383" man="1"/>
        <brk id="58" max="16383" man="1"/>
      </rowBreaks>
      <pageMargins left="0.55118110236220474" right="0.55118110236220474" top="0.59055118110236227" bottom="0.47244094488188981" header="0.23622047244094491" footer="0.23622047244094491"/>
      <pageSetup orientation="portrait" r:id="rId1"/>
      <headerFooter alignWithMargins="0"/>
    </customSheetView>
  </customSheetViews>
  <mergeCells count="1">
    <mergeCell ref="D1:E1"/>
  </mergeCells>
  <phoneticPr fontId="7" type="noConversion"/>
  <pageMargins left="0.55118110236220474" right="0.55118110236220474" top="0.59055118110236227" bottom="0.47244094488188981" header="0.23622047244094491" footer="0.23622047244094491"/>
  <pageSetup paperSize="9" scale="85" fitToWidth="2" fitToHeight="2" orientation="portrait" r:id="rId2"/>
  <headerFooter alignWithMargins="0">
    <oddFooter>Stránka &amp;P</oddFooter>
  </headerFooter>
  <rowBreaks count="2" manualBreakCount="2">
    <brk id="29" max="16383" man="1"/>
    <brk id="5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indexed="43"/>
    <outlinePr summaryBelow="0" summaryRight="0"/>
  </sheetPr>
  <dimension ref="A1:AK51"/>
  <sheetViews>
    <sheetView workbookViewId="0"/>
  </sheetViews>
  <sheetFormatPr defaultColWidth="9.109375" defaultRowHeight="13.2" x14ac:dyDescent="0.25"/>
  <cols>
    <col min="1" max="45" width="2.5546875" style="327" customWidth="1"/>
    <col min="46" max="46" width="7.6640625" style="327" customWidth="1"/>
    <col min="47" max="61" width="2.5546875" style="327" customWidth="1"/>
    <col min="62" max="16384" width="9.109375" style="327"/>
  </cols>
  <sheetData>
    <row r="1" spans="1:37" s="320" customFormat="1" ht="10.199999999999999" thickBot="1" x14ac:dyDescent="0.3">
      <c r="C1" s="321" t="s">
        <v>163</v>
      </c>
    </row>
    <row r="2" spans="1:37" s="322" customFormat="1" ht="21" customHeight="1" thickBot="1" x14ac:dyDescent="0.3">
      <c r="C2" s="323" t="s">
        <v>857</v>
      </c>
      <c r="D2" s="324"/>
      <c r="E2" s="324"/>
      <c r="F2" s="324"/>
      <c r="G2" s="324"/>
      <c r="H2" s="324"/>
      <c r="I2" s="324"/>
      <c r="J2" s="534"/>
      <c r="K2" s="324"/>
      <c r="L2" s="412"/>
      <c r="Q2" s="326" t="s">
        <v>2702</v>
      </c>
    </row>
    <row r="3" spans="1:37" ht="13.8" thickBot="1" x14ac:dyDescent="0.3"/>
    <row r="4" spans="1:37" ht="28.5" customHeight="1" thickBot="1" x14ac:dyDescent="0.3">
      <c r="K4" s="328" t="s">
        <v>2047</v>
      </c>
      <c r="L4" s="432" t="e">
        <f>+MID(#REF!,1,1)</f>
        <v>#REF!</v>
      </c>
      <c r="M4" s="432" t="e">
        <f>+MID(#REF!,2,1)</f>
        <v>#REF!</v>
      </c>
      <c r="N4" s="433" t="s">
        <v>2687</v>
      </c>
      <c r="O4" s="432" t="e">
        <f>LEFT(#REF!,1)</f>
        <v>#REF!</v>
      </c>
      <c r="P4" s="432" t="e">
        <f>RIGHT(#REF!,1)</f>
        <v>#REF!</v>
      </c>
      <c r="Q4" s="433" t="s">
        <v>2687</v>
      </c>
      <c r="R4" s="432" t="e">
        <f>+LEFT(#REF!,1)</f>
        <v>#REF!</v>
      </c>
      <c r="S4" s="432" t="e">
        <f>+MID(#REF!,2,1)</f>
        <v>#REF!</v>
      </c>
      <c r="T4" s="432" t="e">
        <f>+MID(#REF!,3,1)</f>
        <v>#REF!</v>
      </c>
      <c r="U4" s="432" t="e">
        <f>+MID(#REF!,4,1)</f>
        <v>#REF!</v>
      </c>
      <c r="V4" s="533" t="s">
        <v>858</v>
      </c>
      <c r="W4" s="329"/>
      <c r="X4" s="329"/>
      <c r="Y4" s="329"/>
      <c r="Z4" s="330"/>
    </row>
    <row r="5" spans="1:37" ht="7.5" customHeight="1" thickBot="1" x14ac:dyDescent="0.3"/>
    <row r="6" spans="1:37" s="334" customFormat="1" ht="14.25" customHeight="1" x14ac:dyDescent="0.25">
      <c r="A6" s="331" t="s">
        <v>1222</v>
      </c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3"/>
      <c r="T6" s="332"/>
      <c r="U6" s="332"/>
      <c r="V6" s="332"/>
      <c r="W6" s="332"/>
      <c r="X6" s="332"/>
      <c r="Y6" s="332"/>
      <c r="Z6" s="332"/>
      <c r="AA6" s="332"/>
      <c r="AB6" s="332"/>
      <c r="AC6" s="332"/>
      <c r="AD6" s="332"/>
      <c r="AE6" s="332"/>
      <c r="AF6" s="332"/>
      <c r="AG6" s="332"/>
      <c r="AH6" s="332"/>
      <c r="AI6" s="332"/>
      <c r="AJ6" s="332"/>
      <c r="AK6" s="333"/>
    </row>
    <row r="7" spans="1:37" s="338" customFormat="1" ht="15" customHeight="1" x14ac:dyDescent="0.25">
      <c r="A7" s="335" t="s">
        <v>1223</v>
      </c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7"/>
    </row>
    <row r="8" spans="1:37" s="342" customFormat="1" ht="18" customHeight="1" thickBot="1" x14ac:dyDescent="0.3">
      <c r="A8" s="339" t="s">
        <v>1186</v>
      </c>
      <c r="B8" s="340"/>
      <c r="C8" s="340"/>
      <c r="D8" s="340"/>
      <c r="E8" s="339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1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0"/>
      <c r="AE8" s="340"/>
      <c r="AF8" s="340"/>
      <c r="AG8" s="340"/>
      <c r="AH8" s="340"/>
      <c r="AI8" s="340"/>
      <c r="AJ8" s="340"/>
      <c r="AK8" s="341"/>
    </row>
    <row r="9" spans="1:37" s="343" customFormat="1" ht="3.75" customHeight="1" thickBot="1" x14ac:dyDescent="0.3"/>
    <row r="10" spans="1:37" s="343" customFormat="1" ht="14.25" customHeight="1" x14ac:dyDescent="0.25">
      <c r="A10" s="344" t="s">
        <v>601</v>
      </c>
      <c r="B10" s="345"/>
      <c r="C10" s="345"/>
      <c r="D10" s="345"/>
      <c r="E10" s="345"/>
      <c r="F10" s="345"/>
      <c r="G10" s="345"/>
      <c r="H10" s="345"/>
      <c r="I10" s="346"/>
      <c r="J10" s="347"/>
      <c r="K10" s="348" t="s">
        <v>1271</v>
      </c>
      <c r="L10" s="345"/>
      <c r="M10" s="349"/>
      <c r="N10" s="349"/>
      <c r="O10" s="349"/>
      <c r="P10" s="345"/>
      <c r="Q10" s="348" t="s">
        <v>1271</v>
      </c>
      <c r="R10" s="345"/>
      <c r="S10" s="346"/>
      <c r="T10" s="345"/>
      <c r="U10" s="345"/>
      <c r="V10" s="350"/>
      <c r="W10" s="345"/>
      <c r="X10" s="345"/>
      <c r="Y10" s="345"/>
      <c r="Z10" s="345"/>
      <c r="AA10" s="345"/>
      <c r="AB10" s="345"/>
      <c r="AC10" s="345"/>
      <c r="AD10" s="348" t="s">
        <v>833</v>
      </c>
      <c r="AE10" s="348"/>
      <c r="AF10" s="348"/>
      <c r="AG10" s="348" t="s">
        <v>862</v>
      </c>
      <c r="AH10" s="345"/>
      <c r="AI10" s="345"/>
      <c r="AJ10" s="345"/>
      <c r="AK10" s="351"/>
    </row>
    <row r="11" spans="1:37" s="343" customFormat="1" ht="19.5" customHeight="1" x14ac:dyDescent="0.2">
      <c r="A11" s="425" t="e">
        <f>LEFT(#REF!,1)</f>
        <v>#REF!</v>
      </c>
      <c r="B11" s="426" t="e">
        <f>MID(#REF!,2,1)</f>
        <v>#REF!</v>
      </c>
      <c r="C11" s="424" t="e">
        <f>MID(#REF!,3,1)</f>
        <v>#REF!</v>
      </c>
      <c r="D11" s="424" t="e">
        <f>MID(#REF!,4,1)</f>
        <v>#REF!</v>
      </c>
      <c r="E11" s="424" t="e">
        <f>MID(#REF!,5,1)</f>
        <v>#REF!</v>
      </c>
      <c r="F11" s="424" t="e">
        <f>MID(#REF!,6,1)</f>
        <v>#REF!</v>
      </c>
      <c r="G11" s="424" t="e">
        <f>MID(#REF!,7,1)</f>
        <v>#REF!</v>
      </c>
      <c r="H11" s="424" t="e">
        <f>MID(#REF!,8,1)</f>
        <v>#REF!</v>
      </c>
      <c r="I11" s="424" t="e">
        <f>MID(#REF!,9,1)</f>
        <v>#REF!</v>
      </c>
      <c r="J11" s="424" t="e">
        <f>MID(#REF!,10,1)</f>
        <v>#REF!</v>
      </c>
      <c r="K11" s="353"/>
      <c r="L11" s="354"/>
      <c r="M11" s="354"/>
      <c r="N11" s="354"/>
      <c r="O11" s="354"/>
      <c r="P11" s="354"/>
      <c r="Q11" s="354"/>
      <c r="R11" s="354"/>
      <c r="S11" s="354"/>
      <c r="T11" s="354"/>
      <c r="U11" s="354"/>
      <c r="V11" s="355"/>
      <c r="W11" s="356" t="s">
        <v>860</v>
      </c>
      <c r="X11" s="354"/>
      <c r="Y11" s="354"/>
      <c r="Z11" s="354"/>
      <c r="AA11" s="354"/>
      <c r="AB11" s="356" t="s">
        <v>861</v>
      </c>
      <c r="AC11" s="354"/>
      <c r="AD11" s="424" t="e">
        <f>MID(#REF!,1,1)</f>
        <v>#REF!</v>
      </c>
      <c r="AE11" s="424" t="e">
        <f>MID(#REF!,2,1)</f>
        <v>#REF!</v>
      </c>
      <c r="AF11" s="427"/>
      <c r="AG11" s="424" t="e">
        <f>MID(#REF!,1,1)</f>
        <v>#REF!</v>
      </c>
      <c r="AH11" s="424" t="e">
        <f>MID(#REF!,2,1)</f>
        <v>#REF!</v>
      </c>
      <c r="AI11" s="424" t="e">
        <f>MID(#REF!,3,1)</f>
        <v>#REF!</v>
      </c>
      <c r="AJ11" s="424" t="e">
        <f>MID(#REF!,4,1)</f>
        <v>#REF!</v>
      </c>
      <c r="AK11" s="357"/>
    </row>
    <row r="12" spans="1:37" s="343" customFormat="1" ht="19.5" customHeight="1" x14ac:dyDescent="0.3">
      <c r="A12" s="358"/>
      <c r="B12" s="354"/>
      <c r="C12" s="354"/>
      <c r="D12" s="354"/>
      <c r="E12" s="354"/>
      <c r="F12" s="354"/>
      <c r="G12" s="354"/>
      <c r="H12" s="354"/>
      <c r="I12" s="353"/>
      <c r="J12" s="359"/>
      <c r="K12" s="353"/>
      <c r="L12" s="434" t="e">
        <f>IF(#REF!="X","X"," ")</f>
        <v>#REF!</v>
      </c>
      <c r="M12" s="356" t="s">
        <v>1102</v>
      </c>
      <c r="N12" s="360"/>
      <c r="O12" s="360"/>
      <c r="P12" s="360"/>
      <c r="Q12" s="360"/>
      <c r="R12" s="434" t="e">
        <f>IF(#REF!="X","X"," ")</f>
        <v>#REF!</v>
      </c>
      <c r="S12" s="356" t="s">
        <v>1210</v>
      </c>
      <c r="T12" s="354"/>
      <c r="U12" s="354"/>
      <c r="V12" s="355"/>
      <c r="W12" s="362"/>
      <c r="X12" s="363"/>
      <c r="Y12" s="363"/>
      <c r="Z12" s="363"/>
      <c r="AA12" s="363"/>
      <c r="AB12" s="364" t="s">
        <v>1206</v>
      </c>
      <c r="AC12" s="363"/>
      <c r="AD12" s="424" t="e">
        <f>MID(#REF!,1,1)</f>
        <v>#REF!</v>
      </c>
      <c r="AE12" s="424" t="e">
        <f>MID(#REF!,2,1)</f>
        <v>#REF!</v>
      </c>
      <c r="AF12" s="428"/>
      <c r="AG12" s="424" t="e">
        <f>MID(#REF!,1,1)</f>
        <v>#REF!</v>
      </c>
      <c r="AH12" s="424" t="e">
        <f>MID(#REF!,2,1)</f>
        <v>#REF!</v>
      </c>
      <c r="AI12" s="424" t="e">
        <f>MID(#REF!,3,1)</f>
        <v>#REF!</v>
      </c>
      <c r="AJ12" s="424" t="e">
        <f>MID(#REF!,4,1)</f>
        <v>#REF!</v>
      </c>
      <c r="AK12" s="365"/>
    </row>
    <row r="13" spans="1:37" s="343" customFormat="1" ht="19.5" customHeight="1" x14ac:dyDescent="0.25">
      <c r="A13" s="540" t="s">
        <v>1209</v>
      </c>
      <c r="B13" s="354"/>
      <c r="C13" s="354"/>
      <c r="D13" s="354"/>
      <c r="E13" s="354"/>
      <c r="F13" s="354"/>
      <c r="G13" s="354"/>
      <c r="H13" s="353"/>
      <c r="I13" s="353"/>
      <c r="J13" s="359"/>
      <c r="K13" s="353"/>
      <c r="L13" s="352" t="e">
        <f>IF(#REF!="X",#NAME?, "")</f>
        <v>#REF!</v>
      </c>
      <c r="M13" s="356" t="s">
        <v>567</v>
      </c>
      <c r="N13" s="360"/>
      <c r="O13" s="360"/>
      <c r="P13" s="360"/>
      <c r="Q13" s="360"/>
      <c r="R13" s="361" t="e">
        <f>IF(#REF!="X","X"," ")</f>
        <v>#REF!</v>
      </c>
      <c r="S13" s="356" t="s">
        <v>1211</v>
      </c>
      <c r="T13" s="354"/>
      <c r="U13" s="354"/>
      <c r="V13" s="355"/>
      <c r="W13" s="356"/>
      <c r="X13" s="354"/>
      <c r="Y13" s="366"/>
      <c r="Z13" s="353"/>
      <c r="AA13" s="353"/>
      <c r="AB13" s="360"/>
      <c r="AC13" s="353"/>
      <c r="AD13" s="427"/>
      <c r="AE13" s="427"/>
      <c r="AF13" s="427"/>
      <c r="AG13" s="427"/>
      <c r="AH13" s="427"/>
      <c r="AI13" s="427"/>
      <c r="AJ13" s="427"/>
      <c r="AK13" s="367"/>
    </row>
    <row r="14" spans="1:37" s="343" customFormat="1" ht="19.5" customHeight="1" x14ac:dyDescent="0.25">
      <c r="A14" s="425" t="e">
        <f>LEFT(#REF!,1)</f>
        <v>#REF!</v>
      </c>
      <c r="B14" s="426" t="e">
        <f>MID(#REF!,2,1)</f>
        <v>#REF!</v>
      </c>
      <c r="C14" s="424" t="e">
        <f>MID(#REF!,3,1)</f>
        <v>#REF!</v>
      </c>
      <c r="D14" s="424" t="e">
        <f>MID(#REF!,4,1)</f>
        <v>#REF!</v>
      </c>
      <c r="E14" s="424" t="e">
        <f>MID(#REF!,5,1)</f>
        <v>#REF!</v>
      </c>
      <c r="F14" s="424" t="e">
        <f>MID(#REF!,6,1)</f>
        <v>#REF!</v>
      </c>
      <c r="G14" s="424" t="e">
        <f>MID(#REF!,7,1)</f>
        <v>#REF!</v>
      </c>
      <c r="H14" s="424" t="e">
        <f>MID(#REF!,8,1)</f>
        <v>#REF!</v>
      </c>
      <c r="I14" s="353"/>
      <c r="J14" s="359"/>
      <c r="K14" s="353"/>
      <c r="L14" s="352" t="e">
        <f>IF(#REF!="X",#NAME?, "")</f>
        <v>#REF!</v>
      </c>
      <c r="M14" s="356" t="s">
        <v>1674</v>
      </c>
      <c r="N14" s="360"/>
      <c r="O14" s="360"/>
      <c r="P14" s="360"/>
      <c r="Q14" s="360"/>
      <c r="R14" s="368" t="s">
        <v>859</v>
      </c>
      <c r="S14" s="360"/>
      <c r="T14" s="354"/>
      <c r="U14" s="354"/>
      <c r="V14" s="355"/>
      <c r="W14" s="356" t="s">
        <v>586</v>
      </c>
      <c r="X14" s="354"/>
      <c r="Y14" s="366"/>
      <c r="Z14" s="353"/>
      <c r="AA14" s="353"/>
      <c r="AB14" s="356" t="s">
        <v>861</v>
      </c>
      <c r="AC14" s="353"/>
      <c r="AD14" s="424" t="e">
        <f>MID(#REF!,1,1)</f>
        <v>#REF!</v>
      </c>
      <c r="AE14" s="424" t="e">
        <f>MID(#REF!,2,1)</f>
        <v>#REF!</v>
      </c>
      <c r="AF14" s="427"/>
      <c r="AG14" s="424" t="e">
        <f>MID(#REF!,1,1)</f>
        <v>#REF!</v>
      </c>
      <c r="AH14" s="424" t="e">
        <f>MID(#REF!,2,1)</f>
        <v>#REF!</v>
      </c>
      <c r="AI14" s="424" t="e">
        <f>MID(#REF!,3,1)</f>
        <v>#REF!</v>
      </c>
      <c r="AJ14" s="424" t="e">
        <f>MID(#REF!,4,1)</f>
        <v>#REF!</v>
      </c>
      <c r="AK14" s="367"/>
    </row>
    <row r="15" spans="1:37" s="343" customFormat="1" ht="19.5" customHeight="1" thickBot="1" x14ac:dyDescent="0.25">
      <c r="A15" s="369"/>
      <c r="B15" s="370"/>
      <c r="C15" s="370"/>
      <c r="D15" s="370"/>
      <c r="E15" s="370"/>
      <c r="F15" s="370"/>
      <c r="G15" s="370"/>
      <c r="H15" s="371"/>
      <c r="I15" s="371"/>
      <c r="J15" s="372"/>
      <c r="K15" s="371"/>
      <c r="L15" s="371"/>
      <c r="M15" s="371"/>
      <c r="N15" s="371"/>
      <c r="O15" s="371"/>
      <c r="P15" s="371"/>
      <c r="Q15" s="371"/>
      <c r="R15" s="371"/>
      <c r="S15" s="371"/>
      <c r="T15" s="370"/>
      <c r="U15" s="370"/>
      <c r="V15" s="420"/>
      <c r="W15" s="421" t="s">
        <v>2048</v>
      </c>
      <c r="X15" s="370"/>
      <c r="Y15" s="422"/>
      <c r="Z15" s="371"/>
      <c r="AA15" s="371"/>
      <c r="AB15" s="421" t="s">
        <v>1206</v>
      </c>
      <c r="AC15" s="371"/>
      <c r="AD15" s="429" t="e">
        <f>MID(#REF!,1,1)</f>
        <v>#REF!</v>
      </c>
      <c r="AE15" s="429" t="e">
        <f>MID(#REF!,2,1)</f>
        <v>#REF!</v>
      </c>
      <c r="AF15" s="430"/>
      <c r="AG15" s="429" t="e">
        <f>MID(#REF!,1,1)</f>
        <v>#REF!</v>
      </c>
      <c r="AH15" s="429" t="e">
        <f>MID(#REF!,2,1)</f>
        <v>#REF!</v>
      </c>
      <c r="AI15" s="429" t="e">
        <f>MID(#REF!,3,1)</f>
        <v>#REF!</v>
      </c>
      <c r="AJ15" s="429" t="e">
        <f>MID(#REF!,4,1)</f>
        <v>#REF!</v>
      </c>
      <c r="AK15" s="373"/>
    </row>
    <row r="16" spans="1:37" s="343" customFormat="1" ht="4.5" customHeight="1" x14ac:dyDescent="0.25">
      <c r="A16" s="354"/>
      <c r="B16" s="354"/>
      <c r="C16" s="354"/>
      <c r="D16" s="354"/>
      <c r="E16" s="354"/>
      <c r="F16" s="354"/>
      <c r="G16" s="354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4"/>
      <c r="U16" s="354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</row>
    <row r="17" spans="1:37" s="343" customFormat="1" ht="3" customHeight="1" thickBot="1" x14ac:dyDescent="0.3"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</row>
    <row r="18" spans="1:37" s="343" customFormat="1" ht="16.2" x14ac:dyDescent="0.25">
      <c r="A18" s="375" t="s">
        <v>866</v>
      </c>
      <c r="B18" s="345"/>
      <c r="C18" s="345"/>
      <c r="D18" s="345"/>
      <c r="E18" s="345"/>
      <c r="F18" s="345"/>
      <c r="G18" s="345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5"/>
      <c r="U18" s="345"/>
      <c r="V18" s="345"/>
      <c r="W18" s="346"/>
      <c r="X18" s="346"/>
      <c r="Y18" s="346"/>
      <c r="Z18" s="346"/>
      <c r="AA18" s="346"/>
      <c r="AB18" s="346"/>
      <c r="AC18" s="346"/>
      <c r="AD18" s="346"/>
      <c r="AE18" s="346"/>
      <c r="AF18" s="346"/>
      <c r="AG18" s="346"/>
      <c r="AH18" s="346"/>
      <c r="AI18" s="346"/>
      <c r="AJ18" s="346"/>
      <c r="AK18" s="376"/>
    </row>
    <row r="19" spans="1:37" s="343" customFormat="1" ht="19.5" customHeight="1" x14ac:dyDescent="0.25">
      <c r="A19" s="423" t="e">
        <f>+LEFT(#REF!,1)</f>
        <v>#REF!</v>
      </c>
      <c r="B19" s="424" t="e">
        <f>+MID(#REF!,2,1)</f>
        <v>#REF!</v>
      </c>
      <c r="C19" s="424" t="e">
        <f>+MID(#REF!,3,1)</f>
        <v>#REF!</v>
      </c>
      <c r="D19" s="424" t="e">
        <f>+MID(#REF!,4,1)</f>
        <v>#REF!</v>
      </c>
      <c r="E19" s="424" t="e">
        <f>+MID(#REF!,5,1)</f>
        <v>#REF!</v>
      </c>
      <c r="F19" s="424" t="e">
        <f>+MID(#REF!,6,1)</f>
        <v>#REF!</v>
      </c>
      <c r="G19" s="424" t="e">
        <f>+MID(#REF!,7,1)</f>
        <v>#REF!</v>
      </c>
      <c r="H19" s="424" t="e">
        <f>+MID(#REF!,8,1)</f>
        <v>#REF!</v>
      </c>
      <c r="I19" s="424" t="e">
        <f>+MID(#REF!,9,1)</f>
        <v>#REF!</v>
      </c>
      <c r="J19" s="424" t="e">
        <f>+MID(#REF!,10,1)</f>
        <v>#REF!</v>
      </c>
      <c r="K19" s="424" t="e">
        <f>+MID(#REF!,11,1)</f>
        <v>#REF!</v>
      </c>
      <c r="L19" s="424" t="e">
        <f>+MID(#REF!,12,1)</f>
        <v>#REF!</v>
      </c>
      <c r="M19" s="424" t="e">
        <f>+MID(#REF!,13,1)</f>
        <v>#REF!</v>
      </c>
      <c r="N19" s="424" t="e">
        <f>+MID(#REF!,14,1)</f>
        <v>#REF!</v>
      </c>
      <c r="O19" s="424" t="e">
        <f>+MID(#REF!,15,1)</f>
        <v>#REF!</v>
      </c>
      <c r="P19" s="424" t="e">
        <f>+MID(#REF!,16,1)</f>
        <v>#REF!</v>
      </c>
      <c r="Q19" s="424" t="e">
        <f>+MID(#REF!,17,1)</f>
        <v>#REF!</v>
      </c>
      <c r="R19" s="424" t="e">
        <f>+MID(#REF!,18,1)</f>
        <v>#REF!</v>
      </c>
      <c r="S19" s="424" t="e">
        <f>+MID(#REF!,19,1)</f>
        <v>#REF!</v>
      </c>
      <c r="T19" s="424" t="e">
        <f>+MID(#REF!,20,1)</f>
        <v>#REF!</v>
      </c>
      <c r="U19" s="424" t="e">
        <f>+MID(#REF!,21,1)</f>
        <v>#REF!</v>
      </c>
      <c r="V19" s="424" t="e">
        <f>+MID(#REF!,22,1)</f>
        <v>#REF!</v>
      </c>
      <c r="W19" s="424" t="e">
        <f>+MID(#REF!,23,1)</f>
        <v>#REF!</v>
      </c>
      <c r="X19" s="424" t="e">
        <f>+MID(#REF!,24,1)</f>
        <v>#REF!</v>
      </c>
      <c r="Y19" s="424" t="e">
        <f>+MID(#REF!,25,1)</f>
        <v>#REF!</v>
      </c>
      <c r="Z19" s="424" t="e">
        <f>+MID(#REF!,26,1)</f>
        <v>#REF!</v>
      </c>
      <c r="AA19" s="424" t="e">
        <f>+MID(#REF!,27,1)</f>
        <v>#REF!</v>
      </c>
      <c r="AB19" s="424" t="e">
        <f>+MID(#REF!,28,1)</f>
        <v>#REF!</v>
      </c>
      <c r="AC19" s="424" t="e">
        <f>+MID(#REF!,29,1)</f>
        <v>#REF!</v>
      </c>
      <c r="AD19" s="424" t="e">
        <f>+MID(#REF!,30,1)</f>
        <v>#REF!</v>
      </c>
      <c r="AE19" s="424" t="e">
        <f>+MID(#REF!,31,1)</f>
        <v>#REF!</v>
      </c>
      <c r="AF19" s="424" t="e">
        <f>+MID(#REF!,32,1)</f>
        <v>#REF!</v>
      </c>
      <c r="AG19" s="424" t="e">
        <f>+MID(#REF!,33,1)</f>
        <v>#REF!</v>
      </c>
      <c r="AH19" s="424" t="e">
        <f>+MID(#REF!,34,1)</f>
        <v>#REF!</v>
      </c>
      <c r="AI19" s="424" t="e">
        <f>+MID(#REF!,35,1)</f>
        <v>#REF!</v>
      </c>
      <c r="AJ19" s="424" t="e">
        <f>+MID(#REF!,36,1)</f>
        <v>#REF!</v>
      </c>
      <c r="AK19" s="501" t="e">
        <f>+MID(#REF!,37,1)</f>
        <v>#REF!</v>
      </c>
    </row>
    <row r="20" spans="1:37" ht="19.5" customHeight="1" x14ac:dyDescent="0.25">
      <c r="A20" s="423" t="e">
        <f>+MID(#REF!,38,1)</f>
        <v>#REF!</v>
      </c>
      <c r="B20" s="424" t="e">
        <f>+MID(#REF!,39,1)</f>
        <v>#REF!</v>
      </c>
      <c r="C20" s="424" t="e">
        <f>+MID(#REF!,40,1)</f>
        <v>#REF!</v>
      </c>
      <c r="D20" s="424" t="e">
        <f>+MID(#REF!,41,1)</f>
        <v>#REF!</v>
      </c>
      <c r="E20" s="424" t="e">
        <f>+MID(#REF!,42,1)</f>
        <v>#REF!</v>
      </c>
      <c r="F20" s="424" t="e">
        <f>+MID(#REF!,43,1)</f>
        <v>#REF!</v>
      </c>
      <c r="G20" s="424" t="e">
        <f>+MID(#REF!,44,1)</f>
        <v>#REF!</v>
      </c>
      <c r="H20" s="424" t="e">
        <f>+MID(#REF!,45,1)</f>
        <v>#REF!</v>
      </c>
      <c r="I20" s="424" t="e">
        <f>+MID(#REF!,46,1)</f>
        <v>#REF!</v>
      </c>
      <c r="J20" s="424" t="e">
        <f>+MID(#REF!,47,1)</f>
        <v>#REF!</v>
      </c>
      <c r="K20" s="424" t="e">
        <f>+MID(#REF!,48,1)</f>
        <v>#REF!</v>
      </c>
      <c r="L20" s="424" t="e">
        <f>+MID(#REF!,49,1)</f>
        <v>#REF!</v>
      </c>
      <c r="M20" s="424" t="e">
        <f>+MID(#REF!,50,1)</f>
        <v>#REF!</v>
      </c>
      <c r="N20" s="424" t="e">
        <f>+MID(#REF!,51,1)</f>
        <v>#REF!</v>
      </c>
      <c r="O20" s="424" t="e">
        <f>+MID(#REF!,52,1)</f>
        <v>#REF!</v>
      </c>
      <c r="P20" s="424" t="e">
        <f>+MID(#REF!,53,1)</f>
        <v>#REF!</v>
      </c>
      <c r="Q20" s="424" t="e">
        <f>+MID(#REF!,54,1)</f>
        <v>#REF!</v>
      </c>
      <c r="R20" s="424" t="e">
        <f>+MID(#REF!,55,1)</f>
        <v>#REF!</v>
      </c>
      <c r="S20" s="424" t="e">
        <f>+MID(#REF!,56,1)</f>
        <v>#REF!</v>
      </c>
      <c r="T20" s="424" t="e">
        <f>+MID(#REF!,57,1)</f>
        <v>#REF!</v>
      </c>
      <c r="U20" s="424" t="e">
        <f>+MID(#REF!,58,1)</f>
        <v>#REF!</v>
      </c>
      <c r="V20" s="424" t="e">
        <f>+MID(#REF!,59,1)</f>
        <v>#REF!</v>
      </c>
      <c r="W20" s="424" t="e">
        <f>+MID(#REF!,60,1)</f>
        <v>#REF!</v>
      </c>
      <c r="X20" s="424" t="e">
        <f>+MID(#REF!,61,1)</f>
        <v>#REF!</v>
      </c>
      <c r="Y20" s="424" t="e">
        <f>+MID(#REF!,62,1)</f>
        <v>#REF!</v>
      </c>
      <c r="Z20" s="424" t="e">
        <f>+MID(#REF!,63,1)</f>
        <v>#REF!</v>
      </c>
      <c r="AA20" s="424" t="e">
        <f>+MID(#REF!,64,1)</f>
        <v>#REF!</v>
      </c>
      <c r="AB20" s="424" t="e">
        <f>+MID(#REF!,65,1)</f>
        <v>#REF!</v>
      </c>
      <c r="AC20" s="424" t="e">
        <f>+MID(#REF!,66,1)</f>
        <v>#REF!</v>
      </c>
      <c r="AD20" s="424" t="e">
        <f>+MID(#REF!,67,1)</f>
        <v>#REF!</v>
      </c>
      <c r="AE20" s="424" t="e">
        <f>+MID(#REF!,68,1)</f>
        <v>#REF!</v>
      </c>
      <c r="AF20" s="424" t="e">
        <f>+MID(#REF!,69,1)</f>
        <v>#REF!</v>
      </c>
      <c r="AG20" s="424" t="e">
        <f>+MID(#REF!,70,1)</f>
        <v>#REF!</v>
      </c>
      <c r="AH20" s="424" t="e">
        <f>+MID(#REF!,71,1)</f>
        <v>#REF!</v>
      </c>
      <c r="AI20" s="424" t="e">
        <f>+MID(#REF!,72,1)</f>
        <v>#REF!</v>
      </c>
      <c r="AJ20" s="424" t="e">
        <f>+MID(#REF!,73,1)</f>
        <v>#REF!</v>
      </c>
      <c r="AK20" s="501" t="e">
        <f>+MID(#REF!,74,1)</f>
        <v>#REF!</v>
      </c>
    </row>
    <row r="21" spans="1:37" ht="14.25" customHeight="1" x14ac:dyDescent="0.25">
      <c r="A21" s="377" t="s">
        <v>865</v>
      </c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367"/>
    </row>
    <row r="22" spans="1:37" ht="19.5" customHeight="1" x14ac:dyDescent="0.25">
      <c r="A22" s="423" t="e">
        <f>+LEFT(#REF!,1)</f>
        <v>#REF!</v>
      </c>
      <c r="B22" s="424" t="e">
        <f>+MID(#REF!,2,1)</f>
        <v>#REF!</v>
      </c>
      <c r="C22" s="424" t="e">
        <f>+MID(#REF!,3,1)</f>
        <v>#REF!</v>
      </c>
      <c r="D22" s="424" t="e">
        <f>+MID(#REF!,4,1)</f>
        <v>#REF!</v>
      </c>
      <c r="E22" s="424" t="e">
        <f>+MID(#REF!,5,1)</f>
        <v>#REF!</v>
      </c>
      <c r="F22" s="424" t="e">
        <f>+MID(#REF!,6,1)</f>
        <v>#REF!</v>
      </c>
      <c r="G22" s="424" t="e">
        <f>+MID(#REF!,7,1)</f>
        <v>#REF!</v>
      </c>
      <c r="H22" s="424" t="e">
        <f>+MID(#REF!,8,1)</f>
        <v>#REF!</v>
      </c>
      <c r="I22" s="424" t="e">
        <f>+MID(#REF!,9,1)</f>
        <v>#REF!</v>
      </c>
      <c r="J22" s="424" t="e">
        <f>+MID(#REF!,10,1)</f>
        <v>#REF!</v>
      </c>
      <c r="K22" s="424" t="e">
        <f>+MID(#REF!,11,1)</f>
        <v>#REF!</v>
      </c>
      <c r="L22" s="424" t="e">
        <f>+MID(#REF!,12,1)</f>
        <v>#REF!</v>
      </c>
      <c r="M22" s="424" t="e">
        <f>+MID(#REF!,13,1)</f>
        <v>#REF!</v>
      </c>
      <c r="N22" s="424" t="e">
        <f>+MID(#REF!,14,1)</f>
        <v>#REF!</v>
      </c>
      <c r="O22" s="424" t="e">
        <f>+MID(#REF!,15,1)</f>
        <v>#REF!</v>
      </c>
      <c r="P22" s="424" t="e">
        <f>+MID(#REF!,16,1)</f>
        <v>#REF!</v>
      </c>
      <c r="Q22" s="424" t="e">
        <f>+MID(#REF!,17,1)</f>
        <v>#REF!</v>
      </c>
      <c r="R22" s="424" t="e">
        <f>+MID(#REF!,18,1)</f>
        <v>#REF!</v>
      </c>
      <c r="S22" s="424" t="e">
        <f>+MID(#REF!,19,1)</f>
        <v>#REF!</v>
      </c>
      <c r="T22" s="424" t="e">
        <f>+MID(#REF!,20,1)</f>
        <v>#REF!</v>
      </c>
      <c r="U22" s="424" t="e">
        <f>+MID(#REF!,21,1)</f>
        <v>#REF!</v>
      </c>
      <c r="V22" s="424" t="e">
        <f>+MID(#REF!,22,1)</f>
        <v>#REF!</v>
      </c>
      <c r="W22" s="424" t="e">
        <f>+MID(#REF!,23,1)</f>
        <v>#REF!</v>
      </c>
      <c r="X22" s="424" t="e">
        <f>+MID(#REF!,24,1)</f>
        <v>#REF!</v>
      </c>
      <c r="Y22" s="424" t="e">
        <f>+MID(#REF!,25,1)</f>
        <v>#REF!</v>
      </c>
      <c r="Z22" s="424" t="e">
        <f>+MID(#REF!,26,1)</f>
        <v>#REF!</v>
      </c>
      <c r="AA22" s="424" t="e">
        <f>+MID(#REF!,27,1)</f>
        <v>#REF!</v>
      </c>
      <c r="AB22" s="424" t="e">
        <f>+MID(#REF!,28,1)</f>
        <v>#REF!</v>
      </c>
      <c r="AC22" s="424" t="e">
        <f>+MID(#REF!,29,1)</f>
        <v>#REF!</v>
      </c>
      <c r="AD22" s="424" t="e">
        <f>+MID(#REF!,30,1)</f>
        <v>#REF!</v>
      </c>
      <c r="AE22" s="424" t="e">
        <f>+MID(#REF!,31,1)</f>
        <v>#REF!</v>
      </c>
      <c r="AF22" s="424" t="e">
        <f>+MID(#REF!,32,1)</f>
        <v>#REF!</v>
      </c>
      <c r="AG22" s="424" t="e">
        <f>+MID(#REF!,33,1)</f>
        <v>#REF!</v>
      </c>
      <c r="AH22" s="424" t="e">
        <f>+MID(#REF!,34,1)</f>
        <v>#REF!</v>
      </c>
      <c r="AI22" s="424" t="e">
        <f>+MID(#REF!,35,1)</f>
        <v>#REF!</v>
      </c>
      <c r="AJ22" s="424" t="e">
        <f>+MID(#REF!,36,1)</f>
        <v>#REF!</v>
      </c>
      <c r="AK22" s="501" t="e">
        <f>+MID(#REF!,37,1)</f>
        <v>#REF!</v>
      </c>
    </row>
    <row r="23" spans="1:37" s="299" customFormat="1" ht="14.25" customHeight="1" x14ac:dyDescent="0.25">
      <c r="A23" s="379" t="s">
        <v>863</v>
      </c>
      <c r="B23" s="380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1"/>
      <c r="X23" s="381"/>
      <c r="Y23" s="381"/>
      <c r="Z23" s="381"/>
      <c r="AA23" s="381"/>
      <c r="AB23" s="381"/>
      <c r="AC23" s="381"/>
      <c r="AD23" s="381"/>
      <c r="AE23" s="381"/>
      <c r="AF23" s="381"/>
      <c r="AG23" s="381"/>
      <c r="AH23" s="381"/>
      <c r="AI23" s="381"/>
      <c r="AJ23" s="381"/>
      <c r="AK23" s="382"/>
    </row>
    <row r="24" spans="1:37" x14ac:dyDescent="0.25">
      <c r="A24" s="377" t="s">
        <v>864</v>
      </c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53"/>
      <c r="X24" s="353"/>
      <c r="Y24" s="353"/>
      <c r="Z24" s="353"/>
      <c r="AA24" s="353"/>
      <c r="AB24" s="366" t="s">
        <v>867</v>
      </c>
      <c r="AC24" s="353"/>
      <c r="AD24" s="353"/>
      <c r="AE24" s="353"/>
      <c r="AF24" s="353"/>
      <c r="AG24" s="353"/>
      <c r="AH24" s="353"/>
      <c r="AI24" s="353"/>
      <c r="AJ24" s="353"/>
      <c r="AK24" s="367"/>
    </row>
    <row r="25" spans="1:37" ht="19.5" customHeight="1" x14ac:dyDescent="0.25">
      <c r="A25" s="423" t="e">
        <f>+LEFT(#REF!,1)</f>
        <v>#REF!</v>
      </c>
      <c r="B25" s="424" t="e">
        <f>+MID(#REF!,2,1)</f>
        <v>#REF!</v>
      </c>
      <c r="C25" s="424" t="e">
        <f>+MID(#REF!,3,1)</f>
        <v>#REF!</v>
      </c>
      <c r="D25" s="424" t="e">
        <f>+MID(#REF!,4,1)</f>
        <v>#REF!</v>
      </c>
      <c r="E25" s="424" t="e">
        <f>+MID(#REF!,5,1)</f>
        <v>#REF!</v>
      </c>
      <c r="F25" s="424" t="e">
        <f>+MID(#REF!,6,1)</f>
        <v>#REF!</v>
      </c>
      <c r="G25" s="424" t="e">
        <f>+MID(#REF!,7,1)</f>
        <v>#REF!</v>
      </c>
      <c r="H25" s="424" t="e">
        <f>+MID(#REF!,8,1)</f>
        <v>#REF!</v>
      </c>
      <c r="I25" s="424" t="e">
        <f>+MID(#REF!,9,1)</f>
        <v>#REF!</v>
      </c>
      <c r="J25" s="424" t="e">
        <f>+MID(#REF!,10,1)</f>
        <v>#REF!</v>
      </c>
      <c r="K25" s="424" t="e">
        <f>+MID(#REF!,11,1)</f>
        <v>#REF!</v>
      </c>
      <c r="L25" s="424" t="e">
        <f>+MID(#REF!,12,1)</f>
        <v>#REF!</v>
      </c>
      <c r="M25" s="424" t="e">
        <f>+MID(#REF!,13,1)</f>
        <v>#REF!</v>
      </c>
      <c r="N25" s="424" t="e">
        <f>+MID(#REF!,14,1)</f>
        <v>#REF!</v>
      </c>
      <c r="O25" s="424" t="e">
        <f>+MID(#REF!,15,1)</f>
        <v>#REF!</v>
      </c>
      <c r="P25" s="424" t="e">
        <f>+MID(#REF!,16,1)</f>
        <v>#REF!</v>
      </c>
      <c r="Q25" s="424" t="e">
        <f>+MID(#REF!,17,1)</f>
        <v>#REF!</v>
      </c>
      <c r="R25" s="424" t="e">
        <f>+MID(#REF!,18,1)</f>
        <v>#REF!</v>
      </c>
      <c r="S25" s="424" t="e">
        <f>+MID(#REF!,19,1)</f>
        <v>#REF!</v>
      </c>
      <c r="T25" s="424" t="e">
        <f>+MID(#REF!,20,1)</f>
        <v>#REF!</v>
      </c>
      <c r="U25" s="424" t="e">
        <f>+MID(#REF!,21,1)</f>
        <v>#REF!</v>
      </c>
      <c r="V25" s="424" t="e">
        <f>+MID(#REF!,22,1)</f>
        <v>#REF!</v>
      </c>
      <c r="W25" s="424" t="e">
        <f>+MID(#REF!,23,1)</f>
        <v>#REF!</v>
      </c>
      <c r="X25" s="424" t="e">
        <f>+MID(#REF!,24,1)</f>
        <v>#REF!</v>
      </c>
      <c r="Y25" s="424" t="e">
        <f>+MID(#REF!,25,1)</f>
        <v>#REF!</v>
      </c>
      <c r="Z25" s="424" t="e">
        <f>+MID(#REF!,26,1)</f>
        <v>#REF!</v>
      </c>
      <c r="AA25" s="427" t="s">
        <v>179</v>
      </c>
      <c r="AB25" s="424" t="e">
        <f>+LEFT(#REF!,1)</f>
        <v>#REF!</v>
      </c>
      <c r="AC25" s="424" t="e">
        <f>+MID(#REF!,2,1)</f>
        <v>#REF!</v>
      </c>
      <c r="AD25" s="424" t="e">
        <f>+MID(#REF!,3,1)</f>
        <v>#REF!</v>
      </c>
      <c r="AE25" s="424" t="e">
        <f>+MID(#REF!,4,1)</f>
        <v>#REF!</v>
      </c>
      <c r="AF25" s="424" t="e">
        <f>+MID(#REF!,5,1)</f>
        <v>#REF!</v>
      </c>
      <c r="AG25" s="424" t="e">
        <f>+MID(#REF!,6,1)</f>
        <v>#REF!</v>
      </c>
      <c r="AH25" s="424" t="e">
        <f>+MID(#REF!,7,1)</f>
        <v>#REF!</v>
      </c>
      <c r="AI25" s="499" t="e">
        <f>+MID(#REF!,8,1)</f>
        <v>#REF!</v>
      </c>
      <c r="AJ25" s="499" t="e">
        <f>+MID(#REF!,9,1)</f>
        <v>#REF!</v>
      </c>
      <c r="AK25" s="500" t="e">
        <f>+MID(#REF!,10,1)</f>
        <v>#REF!</v>
      </c>
    </row>
    <row r="26" spans="1:37" x14ac:dyDescent="0.25">
      <c r="A26" s="377" t="s">
        <v>1103</v>
      </c>
      <c r="B26" s="378"/>
      <c r="C26" s="378"/>
      <c r="D26" s="378"/>
      <c r="E26" s="378"/>
      <c r="F26" s="378"/>
      <c r="G26" s="383" t="s">
        <v>1104</v>
      </c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3"/>
      <c r="S26" s="383"/>
      <c r="T26" s="383"/>
      <c r="U26" s="383"/>
      <c r="V26" s="383"/>
      <c r="W26" s="383"/>
      <c r="X26" s="383"/>
      <c r="Y26" s="383"/>
      <c r="Z26" s="383"/>
      <c r="AA26" s="383"/>
      <c r="AB26" s="383"/>
      <c r="AC26" s="383"/>
      <c r="AD26" s="383"/>
      <c r="AE26" s="353"/>
      <c r="AF26" s="353"/>
      <c r="AG26" s="353"/>
      <c r="AH26" s="353"/>
      <c r="AI26" s="353"/>
      <c r="AJ26" s="353"/>
      <c r="AK26" s="367"/>
    </row>
    <row r="27" spans="1:37" s="419" customFormat="1" ht="19.5" customHeight="1" x14ac:dyDescent="0.25">
      <c r="A27" s="423" t="e">
        <f>+LEFT(#REF!,1)</f>
        <v>#REF!</v>
      </c>
      <c r="B27" s="424" t="e">
        <f>+MID(#REF!,2,1)</f>
        <v>#REF!</v>
      </c>
      <c r="C27" s="424" t="e">
        <f>+MID(#REF!,3,1)</f>
        <v>#REF!</v>
      </c>
      <c r="D27" s="424" t="e">
        <f>+MID(#REF!,4,1)</f>
        <v>#REF!</v>
      </c>
      <c r="E27" s="424" t="e">
        <f>+MID(#REF!,5,1)</f>
        <v>#REF!</v>
      </c>
      <c r="F27" s="427"/>
      <c r="G27" s="424" t="e">
        <f>+LEFT(#REF!,1)</f>
        <v>#REF!</v>
      </c>
      <c r="H27" s="424" t="e">
        <f>+MID(#REF!,2,1)</f>
        <v>#REF!</v>
      </c>
      <c r="I27" s="424" t="e">
        <f>+MID(#REF!,3,1)</f>
        <v>#REF!</v>
      </c>
      <c r="J27" s="424" t="e">
        <f>+MID(#REF!,4,1)</f>
        <v>#REF!</v>
      </c>
      <c r="K27" s="424" t="e">
        <f>+MID(#REF!,5,1)</f>
        <v>#REF!</v>
      </c>
      <c r="L27" s="424" t="e">
        <f>+MID(#REF!,6,1)</f>
        <v>#REF!</v>
      </c>
      <c r="M27" s="424" t="e">
        <f>+MID(#REF!,7,1)</f>
        <v>#REF!</v>
      </c>
      <c r="N27" s="424" t="e">
        <f>+MID(#REF!,8,1)</f>
        <v>#REF!</v>
      </c>
      <c r="O27" s="424" t="e">
        <f>+MID(#REF!,9,1)</f>
        <v>#REF!</v>
      </c>
      <c r="P27" s="424" t="e">
        <f>+MID(#REF!,10,1)</f>
        <v>#REF!</v>
      </c>
      <c r="Q27" s="424" t="e">
        <f>+MID(#REF!,11,1)</f>
        <v>#REF!</v>
      </c>
      <c r="R27" s="424" t="e">
        <f>+MID(#REF!,12,1)</f>
        <v>#REF!</v>
      </c>
      <c r="S27" s="424" t="e">
        <f>+MID(#REF!,13,1)</f>
        <v>#REF!</v>
      </c>
      <c r="T27" s="424" t="e">
        <f>+MID(#REF!,14,1)</f>
        <v>#REF!</v>
      </c>
      <c r="U27" s="424" t="e">
        <f>+MID(#REF!,15,1)</f>
        <v>#REF!</v>
      </c>
      <c r="V27" s="424" t="e">
        <f>+MID(#REF!,16,1)</f>
        <v>#REF!</v>
      </c>
      <c r="W27" s="424" t="e">
        <f>+MID(#REF!,17,1)</f>
        <v>#REF!</v>
      </c>
      <c r="X27" s="424" t="e">
        <f>+MID(#REF!,18,1)</f>
        <v>#REF!</v>
      </c>
      <c r="Y27" s="424" t="e">
        <f>+MID(#REF!,19,1)</f>
        <v>#REF!</v>
      </c>
      <c r="Z27" s="424" t="e">
        <f>+MID(#REF!,20,1)</f>
        <v>#REF!</v>
      </c>
      <c r="AA27" s="424" t="e">
        <f>+MID(#REF!,21,1)</f>
        <v>#REF!</v>
      </c>
      <c r="AB27" s="424" t="e">
        <f>+MID(#REF!,22,1)</f>
        <v>#REF!</v>
      </c>
      <c r="AC27" s="424" t="e">
        <f>+MID(#REF!,23,1)</f>
        <v>#REF!</v>
      </c>
      <c r="AD27" s="424" t="e">
        <f>+MID(#REF!,24,1)</f>
        <v>#REF!</v>
      </c>
      <c r="AE27" s="424" t="e">
        <f>+MID(#REF!,25,1)</f>
        <v>#REF!</v>
      </c>
      <c r="AF27" s="424" t="e">
        <f>+MID(#REF!,26,1)</f>
        <v>#REF!</v>
      </c>
      <c r="AG27" s="424" t="e">
        <f>+MID(#REF!,27,1)</f>
        <v>#REF!</v>
      </c>
      <c r="AH27" s="424" t="e">
        <f>+MID(#REF!,28,1)</f>
        <v>#REF!</v>
      </c>
      <c r="AI27" s="424" t="e">
        <f>+MID(#REF!,29,1)</f>
        <v>#REF!</v>
      </c>
      <c r="AJ27" s="424" t="e">
        <f>+MID(#REF!,30,1)</f>
        <v>#REF!</v>
      </c>
      <c r="AK27" s="501" t="e">
        <f>+MID(#REF!,31,1)</f>
        <v>#REF!</v>
      </c>
    </row>
    <row r="28" spans="1:37" x14ac:dyDescent="0.25">
      <c r="A28" s="377" t="s">
        <v>1105</v>
      </c>
      <c r="B28" s="378"/>
      <c r="C28" s="378"/>
      <c r="D28" s="378"/>
      <c r="E28" s="378"/>
      <c r="F28" s="378"/>
      <c r="G28" s="383"/>
      <c r="H28" s="383"/>
      <c r="I28" s="383"/>
      <c r="J28" s="383"/>
      <c r="K28" s="383"/>
      <c r="L28" s="383"/>
      <c r="M28" s="383"/>
      <c r="N28" s="378"/>
      <c r="O28" s="383" t="s">
        <v>370</v>
      </c>
      <c r="P28" s="383"/>
      <c r="Q28" s="383"/>
      <c r="R28" s="383"/>
      <c r="S28" s="383"/>
      <c r="T28" s="383"/>
      <c r="U28" s="383"/>
      <c r="V28" s="383"/>
      <c r="W28" s="383"/>
      <c r="X28" s="383"/>
      <c r="Y28" s="383"/>
      <c r="Z28" s="383"/>
      <c r="AA28" s="383"/>
      <c r="AB28" s="383"/>
      <c r="AC28" s="383"/>
      <c r="AD28" s="383"/>
      <c r="AE28" s="353"/>
      <c r="AF28" s="353"/>
      <c r="AG28" s="353"/>
      <c r="AH28" s="353"/>
      <c r="AI28" s="353"/>
      <c r="AJ28" s="353"/>
      <c r="AK28" s="367"/>
    </row>
    <row r="29" spans="1:37" ht="19.5" customHeight="1" x14ac:dyDescent="0.25">
      <c r="A29" s="423" t="e">
        <f>+LEFT(#REF!,1)</f>
        <v>#REF!</v>
      </c>
      <c r="B29" s="424" t="e">
        <f>+MID(#REF!,2,1)</f>
        <v>#REF!</v>
      </c>
      <c r="C29" s="424" t="e">
        <f>+MID(#REF!,3,1)</f>
        <v>#REF!</v>
      </c>
      <c r="D29" s="424" t="e">
        <f>+MID(#REF!,4,1)</f>
        <v>#REF!</v>
      </c>
      <c r="E29" s="424" t="e">
        <f>+MID(#REF!,5,1)</f>
        <v>#REF!</v>
      </c>
      <c r="F29" s="427" t="s">
        <v>1187</v>
      </c>
      <c r="G29" s="424" t="e">
        <f>+LEFT(#REF!,1)</f>
        <v>#REF!</v>
      </c>
      <c r="H29" s="424" t="e">
        <f>+MID(#REF!,2,1)</f>
        <v>#REF!</v>
      </c>
      <c r="I29" s="424" t="e">
        <f>+MID(#REF!,3,1)</f>
        <v>#REF!</v>
      </c>
      <c r="J29" s="424" t="e">
        <f>+MID(#REF!,4,1)</f>
        <v>#REF!</v>
      </c>
      <c r="K29" s="424" t="e">
        <f>+MID(#REF!,5,1)</f>
        <v>#REF!</v>
      </c>
      <c r="L29" s="424" t="e">
        <f>+MID(#REF!,6,1)</f>
        <v>#REF!</v>
      </c>
      <c r="M29" s="424" t="e">
        <f>+MID(#REF!,7,1)</f>
        <v>#REF!</v>
      </c>
      <c r="N29" s="424" t="e">
        <f>+MID(#REF!,8,1)</f>
        <v>#REF!</v>
      </c>
      <c r="O29" s="427"/>
      <c r="P29" s="424" t="e">
        <f>+LEFT(#REF!,1)</f>
        <v>#REF!</v>
      </c>
      <c r="Q29" s="424" t="e">
        <f>+MID(#REF!,2,1)</f>
        <v>#REF!</v>
      </c>
      <c r="R29" s="424" t="e">
        <f>+MID(#REF!,3,1)</f>
        <v>#REF!</v>
      </c>
      <c r="S29" s="424" t="e">
        <f>+MID(#REF!,4,1)</f>
        <v>#REF!</v>
      </c>
      <c r="T29" s="424" t="e">
        <f>+MID(#REF!,5,1)</f>
        <v>#REF!</v>
      </c>
      <c r="U29" s="427" t="s">
        <v>1187</v>
      </c>
      <c r="V29" s="424" t="e">
        <f>+LEFT(#REF!,1)</f>
        <v>#REF!</v>
      </c>
      <c r="W29" s="424" t="e">
        <f>+MID(#REF!,2,1)</f>
        <v>#REF!</v>
      </c>
      <c r="X29" s="424" t="e">
        <f>+MID(#REF!,3,1)</f>
        <v>#REF!</v>
      </c>
      <c r="Y29" s="424" t="e">
        <f>+MID(#REF!,4,1)</f>
        <v>#REF!</v>
      </c>
      <c r="Z29" s="424" t="e">
        <f>+MID(#REF!,5,1)</f>
        <v>#REF!</v>
      </c>
      <c r="AA29" s="424" t="e">
        <f>+MID(#REF!,6,1)</f>
        <v>#REF!</v>
      </c>
      <c r="AB29" s="424" t="e">
        <f>+MID(#REF!,7,1)</f>
        <v>#REF!</v>
      </c>
      <c r="AC29" s="424" t="e">
        <f>+MID(#REF!,8,1)</f>
        <v>#REF!</v>
      </c>
      <c r="AD29" s="427"/>
      <c r="AE29" s="353"/>
      <c r="AF29" s="353"/>
      <c r="AG29" s="353"/>
      <c r="AH29" s="353"/>
      <c r="AI29" s="353"/>
      <c r="AJ29" s="353"/>
      <c r="AK29" s="367"/>
    </row>
    <row r="30" spans="1:37" s="338" customFormat="1" x14ac:dyDescent="0.25">
      <c r="A30" s="335" t="s">
        <v>1188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336"/>
      <c r="W30" s="353"/>
      <c r="X30" s="353"/>
      <c r="Y30" s="353"/>
      <c r="Z30" s="353"/>
      <c r="AA30" s="353"/>
      <c r="AB30" s="353"/>
      <c r="AC30" s="353"/>
      <c r="AD30" s="353"/>
      <c r="AE30" s="353"/>
      <c r="AF30" s="353"/>
      <c r="AG30" s="353"/>
      <c r="AH30" s="353"/>
      <c r="AI30" s="353"/>
      <c r="AJ30" s="353"/>
      <c r="AK30" s="367"/>
    </row>
    <row r="31" spans="1:37" ht="19.5" customHeight="1" thickBot="1" x14ac:dyDescent="0.3">
      <c r="A31" s="502" t="e">
        <f>+LEFT(#REF!,1)</f>
        <v>#REF!</v>
      </c>
      <c r="B31" s="429" t="e">
        <f>+MID(#REF!,2,1)</f>
        <v>#REF!</v>
      </c>
      <c r="C31" s="429" t="e">
        <f>+MID(#REF!,3,1)</f>
        <v>#REF!</v>
      </c>
      <c r="D31" s="429" t="e">
        <f>+MID(#REF!,4,1)</f>
        <v>#REF!</v>
      </c>
      <c r="E31" s="429" t="e">
        <f>+MID(#REF!,5,1)</f>
        <v>#REF!</v>
      </c>
      <c r="F31" s="429" t="e">
        <f>+MID(#REF!,6,1)</f>
        <v>#REF!</v>
      </c>
      <c r="G31" s="429" t="e">
        <f>+MID(#REF!,7,1)</f>
        <v>#REF!</v>
      </c>
      <c r="H31" s="429" t="e">
        <f>+MID(#REF!,8,1)</f>
        <v>#REF!</v>
      </c>
      <c r="I31" s="429" t="e">
        <f>+MID(#REF!,9,1)</f>
        <v>#REF!</v>
      </c>
      <c r="J31" s="429" t="e">
        <f>+MID(#REF!,10,1)</f>
        <v>#REF!</v>
      </c>
      <c r="K31" s="429" t="e">
        <f>+MID(#REF!,11,1)</f>
        <v>#REF!</v>
      </c>
      <c r="L31" s="429" t="e">
        <f>+MID(#REF!,12,1)</f>
        <v>#REF!</v>
      </c>
      <c r="M31" s="429" t="e">
        <f>+MID(#REF!,13,1)</f>
        <v>#REF!</v>
      </c>
      <c r="N31" s="429" t="e">
        <f>+MID(#REF!,14,1)</f>
        <v>#REF!</v>
      </c>
      <c r="O31" s="429" t="e">
        <f>+MID(#REF!,15,1)</f>
        <v>#REF!</v>
      </c>
      <c r="P31" s="429" t="e">
        <f>+MID(#REF!,16,1)</f>
        <v>#REF!</v>
      </c>
      <c r="Q31" s="429" t="e">
        <f>+MID(#REF!,17,1)</f>
        <v>#REF!</v>
      </c>
      <c r="R31" s="429" t="e">
        <f>+MID(#REF!,18,1)</f>
        <v>#REF!</v>
      </c>
      <c r="S31" s="429" t="e">
        <f>+MID(#REF!,19,1)</f>
        <v>#REF!</v>
      </c>
      <c r="T31" s="429" t="e">
        <f>+MID(#REF!,20,1)</f>
        <v>#REF!</v>
      </c>
      <c r="U31" s="429" t="e">
        <f>+MID(#REF!,21,1)</f>
        <v>#REF!</v>
      </c>
      <c r="V31" s="429" t="e">
        <f>+MID(#REF!,22,1)</f>
        <v>#REF!</v>
      </c>
      <c r="W31" s="429" t="e">
        <f>+MID(#REF!,23,1)</f>
        <v>#REF!</v>
      </c>
      <c r="X31" s="429" t="e">
        <f>+MID(#REF!,24,1)</f>
        <v>#REF!</v>
      </c>
      <c r="Y31" s="429" t="e">
        <f>+MID(#REF!,25,1)</f>
        <v>#REF!</v>
      </c>
      <c r="Z31" s="429" t="e">
        <f>+MID(#REF!,26,1)</f>
        <v>#REF!</v>
      </c>
      <c r="AA31" s="429" t="e">
        <f>+MID(#REF!,27,1)</f>
        <v>#REF!</v>
      </c>
      <c r="AB31" s="429" t="e">
        <f>+MID(#REF!,28,1)</f>
        <v>#REF!</v>
      </c>
      <c r="AC31" s="429" t="e">
        <f>+MID(#REF!,29,1)</f>
        <v>#REF!</v>
      </c>
      <c r="AD31" s="429" t="e">
        <f>+MID(#REF!,30,1)</f>
        <v>#REF!</v>
      </c>
      <c r="AE31" s="429" t="e">
        <f>+MID(#REF!,31,1)</f>
        <v>#REF!</v>
      </c>
      <c r="AF31" s="429" t="e">
        <f>+MID(#REF!,32,1)</f>
        <v>#REF!</v>
      </c>
      <c r="AG31" s="429" t="e">
        <f>+MID(#REF!,33,1)</f>
        <v>#REF!</v>
      </c>
      <c r="AH31" s="429" t="e">
        <f>+MID(#REF!,34,1)</f>
        <v>#REF!</v>
      </c>
      <c r="AI31" s="429" t="e">
        <f>+MID(#REF!,35,1)</f>
        <v>#REF!</v>
      </c>
      <c r="AJ31" s="429" t="e">
        <f>+MID(#REF!,36,1)</f>
        <v>#REF!</v>
      </c>
      <c r="AK31" s="498" t="e">
        <f>+MID(#REF!,37,1)</f>
        <v>#REF!</v>
      </c>
    </row>
    <row r="32" spans="1:37" s="338" customFormat="1" ht="4.5" customHeight="1" thickBot="1" x14ac:dyDescent="0.3">
      <c r="W32" s="374"/>
      <c r="X32" s="374"/>
      <c r="Y32" s="374"/>
      <c r="Z32" s="374"/>
      <c r="AA32" s="374"/>
      <c r="AB32" s="374"/>
      <c r="AC32" s="374"/>
      <c r="AD32" s="374"/>
      <c r="AE32" s="374"/>
      <c r="AF32" s="374"/>
      <c r="AG32" s="374"/>
      <c r="AH32" s="374"/>
      <c r="AI32" s="374"/>
      <c r="AJ32" s="374"/>
      <c r="AK32" s="374"/>
    </row>
    <row r="33" spans="1:37" s="390" customFormat="1" ht="12.75" customHeight="1" x14ac:dyDescent="0.25">
      <c r="A33" s="385" t="s">
        <v>1208</v>
      </c>
      <c r="B33" s="386"/>
      <c r="C33" s="386"/>
      <c r="D33" s="386"/>
      <c r="E33" s="386"/>
      <c r="F33" s="386"/>
      <c r="G33" s="386"/>
      <c r="H33" s="386"/>
      <c r="I33" s="386"/>
      <c r="J33" s="386"/>
      <c r="K33" s="387"/>
      <c r="L33" s="388"/>
      <c r="M33" s="940" t="s">
        <v>1643</v>
      </c>
      <c r="N33" s="940"/>
      <c r="O33" s="940"/>
      <c r="P33" s="940"/>
      <c r="Q33" s="940"/>
      <c r="R33" s="940"/>
      <c r="S33" s="940"/>
      <c r="T33" s="940"/>
      <c r="U33" s="941"/>
      <c r="V33" s="938" t="s">
        <v>1644</v>
      </c>
      <c r="W33" s="934"/>
      <c r="X33" s="934"/>
      <c r="Y33" s="934"/>
      <c r="Z33" s="934"/>
      <c r="AA33" s="934"/>
      <c r="AB33" s="934"/>
      <c r="AC33" s="389"/>
      <c r="AD33" s="934" t="s">
        <v>1645</v>
      </c>
      <c r="AE33" s="934"/>
      <c r="AF33" s="934"/>
      <c r="AG33" s="934"/>
      <c r="AH33" s="934"/>
      <c r="AI33" s="934"/>
      <c r="AJ33" s="934"/>
      <c r="AK33" s="935"/>
    </row>
    <row r="34" spans="1:37" s="338" customFormat="1" ht="19.5" customHeight="1" x14ac:dyDescent="0.25">
      <c r="A34" s="455" t="e">
        <f>LEFT(TEXT(#REF!,"dd.m.yyyy"),1)</f>
        <v>#REF!</v>
      </c>
      <c r="B34" s="454" t="e">
        <f>MID(TEXT(#REF!,"dd.mm.yyyy"),2,1)</f>
        <v>#REF!</v>
      </c>
      <c r="C34" s="452" t="s">
        <v>179</v>
      </c>
      <c r="D34" s="454" t="e">
        <f>MID(TEXT(#REF!,"dd.mm.yyyy"),4,1)</f>
        <v>#REF!</v>
      </c>
      <c r="E34" s="454" t="e">
        <f>MID(TEXT(#REF!,"dd.mm.yyyy"),5,1)</f>
        <v>#REF!</v>
      </c>
      <c r="F34" s="452" t="s">
        <v>179</v>
      </c>
      <c r="G34" s="454" t="e">
        <f>MID(TEXT(#REF!,"dd.mm.yyyy"),7,1)</f>
        <v>#REF!</v>
      </c>
      <c r="H34" s="454" t="e">
        <f>MID(TEXT(#REF!,"dd.mm.yyyy"),8,1)</f>
        <v>#REF!</v>
      </c>
      <c r="I34" s="454" t="e">
        <f>MID(TEXT(#REF!,"dd.mm.yyyy"),9,1)</f>
        <v>#REF!</v>
      </c>
      <c r="J34" s="454" t="e">
        <f>MID(TEXT(#REF!,"dd.mm.yyyy"),10,1)</f>
        <v>#REF!</v>
      </c>
      <c r="K34" s="431"/>
      <c r="L34" s="392"/>
      <c r="M34" s="942"/>
      <c r="N34" s="942"/>
      <c r="O34" s="942"/>
      <c r="P34" s="942"/>
      <c r="Q34" s="942"/>
      <c r="R34" s="942"/>
      <c r="S34" s="942"/>
      <c r="T34" s="942"/>
      <c r="U34" s="943"/>
      <c r="V34" s="939"/>
      <c r="W34" s="936"/>
      <c r="X34" s="936"/>
      <c r="Y34" s="936"/>
      <c r="Z34" s="936"/>
      <c r="AA34" s="936"/>
      <c r="AB34" s="936"/>
      <c r="AC34" s="393"/>
      <c r="AD34" s="936"/>
      <c r="AE34" s="936"/>
      <c r="AF34" s="936"/>
      <c r="AG34" s="936"/>
      <c r="AH34" s="936"/>
      <c r="AI34" s="936"/>
      <c r="AJ34" s="936"/>
      <c r="AK34" s="937"/>
    </row>
    <row r="35" spans="1:37" s="338" customFormat="1" ht="12.75" customHeight="1" x14ac:dyDescent="0.25">
      <c r="A35" s="394"/>
      <c r="B35" s="395"/>
      <c r="C35" s="395"/>
      <c r="D35" s="395"/>
      <c r="E35" s="395"/>
      <c r="F35" s="395"/>
      <c r="G35" s="395"/>
      <c r="H35" s="395"/>
      <c r="I35" s="395"/>
      <c r="J35" s="395"/>
      <c r="K35" s="396"/>
      <c r="L35" s="397"/>
      <c r="M35" s="942"/>
      <c r="N35" s="942"/>
      <c r="O35" s="942"/>
      <c r="P35" s="942"/>
      <c r="Q35" s="942"/>
      <c r="R35" s="942"/>
      <c r="S35" s="942"/>
      <c r="T35" s="942"/>
      <c r="U35" s="943"/>
      <c r="V35" s="939"/>
      <c r="W35" s="936"/>
      <c r="X35" s="936"/>
      <c r="Y35" s="936"/>
      <c r="Z35" s="936"/>
      <c r="AA35" s="936"/>
      <c r="AB35" s="936"/>
      <c r="AC35" s="393"/>
      <c r="AD35" s="936"/>
      <c r="AE35" s="936"/>
      <c r="AF35" s="936"/>
      <c r="AG35" s="936"/>
      <c r="AH35" s="936"/>
      <c r="AI35" s="936"/>
      <c r="AJ35" s="936"/>
      <c r="AK35" s="937"/>
    </row>
    <row r="36" spans="1:37" s="338" customFormat="1" x14ac:dyDescent="0.25">
      <c r="A36" s="335" t="s">
        <v>1207</v>
      </c>
      <c r="B36" s="336"/>
      <c r="C36" s="336"/>
      <c r="D36" s="336"/>
      <c r="E36" s="336"/>
      <c r="F36" s="336"/>
      <c r="G36" s="336"/>
      <c r="H36" s="336"/>
      <c r="I36" s="336"/>
      <c r="J36" s="336"/>
      <c r="K36" s="391"/>
      <c r="L36" s="392"/>
      <c r="M36" s="391"/>
      <c r="N36" s="391"/>
      <c r="O36" s="391"/>
      <c r="P36" s="391"/>
      <c r="Q36" s="391"/>
      <c r="R36" s="391"/>
      <c r="S36" s="336"/>
      <c r="T36" s="398"/>
      <c r="U36" s="398"/>
      <c r="V36" s="399"/>
      <c r="W36" s="398"/>
      <c r="X36" s="398"/>
      <c r="Y36" s="398"/>
      <c r="Z36" s="398"/>
      <c r="AA36" s="353"/>
      <c r="AB36" s="398"/>
      <c r="AC36" s="393"/>
      <c r="AD36" s="398"/>
      <c r="AE36" s="398"/>
      <c r="AF36" s="398"/>
      <c r="AG36" s="398"/>
      <c r="AH36" s="398"/>
      <c r="AI36" s="353"/>
      <c r="AJ36" s="353"/>
      <c r="AK36" s="367"/>
    </row>
    <row r="37" spans="1:37" s="338" customFormat="1" ht="19.5" customHeight="1" x14ac:dyDescent="0.25">
      <c r="A37" s="455" t="e">
        <f>LEFT(TEXT(#REF!,"dd.mm.yyyy"),1)</f>
        <v>#REF!</v>
      </c>
      <c r="B37" s="454" t="e">
        <f>MID(TEXT(#REF!,"dd.mm.yyyy"),2,1)</f>
        <v>#REF!</v>
      </c>
      <c r="C37" s="452" t="s">
        <v>179</v>
      </c>
      <c r="D37" s="454" t="e">
        <f>MID(TEXT(#REF!,"dd.mm.yyyy"),4,1)</f>
        <v>#REF!</v>
      </c>
      <c r="E37" s="454" t="e">
        <f>MID(TEXT(#REF!,"dd.mm.yyyy"),5,1)</f>
        <v>#REF!</v>
      </c>
      <c r="F37" s="452" t="s">
        <v>179</v>
      </c>
      <c r="G37" s="454" t="e">
        <f>MID(TEXT(#REF!,"dd.mm.yyyy"),7,1)</f>
        <v>#REF!</v>
      </c>
      <c r="H37" s="454" t="e">
        <f>MID(TEXT(#REF!,"dd.mm.yyyy"),8,1)</f>
        <v>#REF!</v>
      </c>
      <c r="I37" s="454" t="e">
        <f>MID(TEXT(#REF!,"dd.mm.yyyy"),9,1)</f>
        <v>#REF!</v>
      </c>
      <c r="J37" s="454" t="e">
        <f>MID(TEXT(#REF!,"dd.mm.yyyy"),10,1)</f>
        <v>#REF!</v>
      </c>
      <c r="K37" s="503"/>
      <c r="L37" s="400"/>
      <c r="M37" s="336"/>
      <c r="N37" s="336"/>
      <c r="O37" s="336"/>
      <c r="P37" s="336"/>
      <c r="Q37" s="336"/>
      <c r="R37" s="336"/>
      <c r="S37" s="336"/>
      <c r="T37" s="336"/>
      <c r="U37" s="336"/>
      <c r="V37" s="401"/>
      <c r="W37" s="353"/>
      <c r="X37" s="353"/>
      <c r="Y37" s="353"/>
      <c r="Z37" s="353"/>
      <c r="AA37" s="353"/>
      <c r="AB37" s="353"/>
      <c r="AC37" s="359"/>
      <c r="AD37" s="353"/>
      <c r="AE37" s="353"/>
      <c r="AF37" s="353"/>
      <c r="AG37" s="353"/>
      <c r="AH37" s="353"/>
      <c r="AI37" s="353"/>
      <c r="AJ37" s="353"/>
      <c r="AK37" s="367"/>
    </row>
    <row r="38" spans="1:37" s="322" customFormat="1" ht="13.8" thickBot="1" x14ac:dyDescent="0.3">
      <c r="A38" s="402"/>
      <c r="B38" s="403"/>
      <c r="C38" s="403"/>
      <c r="D38" s="403"/>
      <c r="E38" s="403"/>
      <c r="F38" s="403"/>
      <c r="G38" s="403"/>
      <c r="H38" s="403"/>
      <c r="I38" s="403"/>
      <c r="J38" s="403"/>
      <c r="K38" s="403"/>
      <c r="L38" s="404"/>
      <c r="M38" s="403"/>
      <c r="N38" s="403"/>
      <c r="O38" s="403"/>
      <c r="P38" s="403"/>
      <c r="Q38" s="403"/>
      <c r="R38" s="403"/>
      <c r="S38" s="403"/>
      <c r="T38" s="403"/>
      <c r="U38" s="403"/>
      <c r="V38" s="405"/>
      <c r="W38" s="371"/>
      <c r="X38" s="371"/>
      <c r="Y38" s="371"/>
      <c r="Z38" s="371"/>
      <c r="AA38" s="371"/>
      <c r="AB38" s="371"/>
      <c r="AC38" s="372"/>
      <c r="AD38" s="371"/>
      <c r="AE38" s="371"/>
      <c r="AF38" s="371"/>
      <c r="AG38" s="371"/>
      <c r="AH38" s="371"/>
      <c r="AI38" s="371"/>
      <c r="AJ38" s="371"/>
      <c r="AK38" s="373"/>
    </row>
    <row r="39" spans="1:37" s="322" customFormat="1" x14ac:dyDescent="0.25">
      <c r="W39" s="374"/>
      <c r="X39" s="374"/>
      <c r="Y39" s="374"/>
      <c r="Z39" s="374"/>
      <c r="AA39" s="374"/>
      <c r="AB39" s="374"/>
      <c r="AC39" s="374"/>
      <c r="AD39" s="374"/>
      <c r="AE39" s="374"/>
      <c r="AF39" s="374"/>
      <c r="AG39" s="374"/>
      <c r="AH39" s="374"/>
      <c r="AI39" s="374"/>
      <c r="AJ39" s="374"/>
      <c r="AK39" s="374"/>
    </row>
    <row r="40" spans="1:37" ht="13.8" thickBot="1" x14ac:dyDescent="0.3">
      <c r="W40" s="374"/>
      <c r="X40" s="374"/>
      <c r="Y40" s="374"/>
      <c r="Z40" s="374"/>
      <c r="AA40" s="374"/>
      <c r="AB40" s="374"/>
      <c r="AC40" s="374"/>
      <c r="AD40" s="374"/>
      <c r="AE40" s="374"/>
      <c r="AF40" s="374"/>
      <c r="AG40" s="374"/>
      <c r="AH40" s="374"/>
      <c r="AI40" s="374"/>
      <c r="AJ40" s="374"/>
      <c r="AK40" s="374"/>
    </row>
    <row r="41" spans="1:37" s="322" customFormat="1" x14ac:dyDescent="0.25">
      <c r="B41" s="406" t="s">
        <v>1224</v>
      </c>
      <c r="C41" s="407"/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346"/>
      <c r="X41" s="346"/>
      <c r="Y41" s="346"/>
      <c r="Z41" s="346"/>
      <c r="AA41" s="346"/>
      <c r="AB41" s="346"/>
      <c r="AC41" s="346"/>
      <c r="AD41" s="346"/>
      <c r="AE41" s="346"/>
      <c r="AF41" s="346"/>
      <c r="AG41" s="346"/>
      <c r="AH41" s="346"/>
      <c r="AI41" s="346"/>
      <c r="AJ41" s="376"/>
      <c r="AK41" s="374"/>
    </row>
    <row r="42" spans="1:37" s="322" customFormat="1" x14ac:dyDescent="0.25">
      <c r="B42" s="408"/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9"/>
      <c r="S42" s="409"/>
      <c r="T42" s="409"/>
      <c r="U42" s="409"/>
      <c r="V42" s="409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  <c r="AH42" s="353"/>
      <c r="AI42" s="353"/>
      <c r="AJ42" s="367"/>
      <c r="AK42" s="374"/>
    </row>
    <row r="43" spans="1:37" x14ac:dyDescent="0.25">
      <c r="B43" s="384"/>
      <c r="C43" s="378"/>
      <c r="D43" s="378"/>
      <c r="E43" s="378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8"/>
      <c r="Q43" s="378"/>
      <c r="R43" s="378"/>
      <c r="S43" s="378"/>
      <c r="T43" s="378"/>
      <c r="U43" s="378"/>
      <c r="V43" s="378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3"/>
      <c r="AJ43" s="367"/>
      <c r="AK43" s="374"/>
    </row>
    <row r="44" spans="1:37" s="322" customFormat="1" x14ac:dyDescent="0.25">
      <c r="B44" s="408"/>
      <c r="C44" s="409"/>
      <c r="D44" s="409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  <c r="P44" s="409"/>
      <c r="Q44" s="409"/>
      <c r="R44" s="409"/>
      <c r="S44" s="409"/>
      <c r="T44" s="409"/>
      <c r="U44" s="409"/>
      <c r="V44" s="409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67"/>
      <c r="AK44" s="374"/>
    </row>
    <row r="45" spans="1:37" s="338" customFormat="1" x14ac:dyDescent="0.25">
      <c r="B45" s="335"/>
      <c r="C45" s="336"/>
      <c r="D45" s="336"/>
      <c r="E45" s="336"/>
      <c r="F45" s="336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6"/>
      <c r="R45" s="336"/>
      <c r="S45" s="336"/>
      <c r="T45" s="336"/>
      <c r="U45" s="336"/>
      <c r="V45" s="336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67"/>
      <c r="AK45" s="374"/>
    </row>
    <row r="46" spans="1:37" s="338" customFormat="1" x14ac:dyDescent="0.25">
      <c r="B46" s="335"/>
      <c r="C46" s="336"/>
      <c r="D46" s="336"/>
      <c r="E46" s="336"/>
      <c r="F46" s="336"/>
      <c r="G46" s="336"/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6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67"/>
      <c r="AK46" s="374"/>
    </row>
    <row r="47" spans="1:37" s="322" customFormat="1" x14ac:dyDescent="0.25">
      <c r="B47" s="408"/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  <c r="V47" s="409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67"/>
      <c r="AK47" s="374"/>
    </row>
    <row r="48" spans="1:37" s="322" customFormat="1" x14ac:dyDescent="0.25">
      <c r="B48" s="408"/>
      <c r="C48" s="409"/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09"/>
      <c r="P48" s="409"/>
      <c r="Q48" s="409"/>
      <c r="R48" s="409"/>
      <c r="S48" s="409"/>
      <c r="T48" s="409"/>
      <c r="U48" s="409"/>
      <c r="V48" s="409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67"/>
      <c r="AK48" s="374"/>
    </row>
    <row r="49" spans="2:37" s="322" customFormat="1" x14ac:dyDescent="0.25">
      <c r="B49" s="408"/>
      <c r="C49" s="409"/>
      <c r="D49" s="409"/>
      <c r="E49" s="409"/>
      <c r="F49" s="409"/>
      <c r="G49" s="409"/>
      <c r="H49" s="409"/>
      <c r="I49" s="409"/>
      <c r="J49" s="409"/>
      <c r="K49" s="409"/>
      <c r="L49" s="409"/>
      <c r="M49" s="409"/>
      <c r="N49" s="409"/>
      <c r="O49" s="409"/>
      <c r="P49" s="409"/>
      <c r="Q49" s="409"/>
      <c r="R49" s="409"/>
      <c r="S49" s="409"/>
      <c r="T49" s="409"/>
      <c r="U49" s="409"/>
      <c r="V49" s="409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67"/>
      <c r="AK49" s="374"/>
    </row>
    <row r="50" spans="2:37" s="322" customFormat="1" x14ac:dyDescent="0.25">
      <c r="B50" s="408"/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09"/>
      <c r="T50" s="409"/>
      <c r="U50" s="409"/>
      <c r="V50" s="409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67"/>
      <c r="AK50" s="374"/>
    </row>
    <row r="51" spans="2:37" s="338" customFormat="1" ht="13.8" thickBot="1" x14ac:dyDescent="0.3">
      <c r="B51" s="410"/>
      <c r="C51" s="411"/>
      <c r="D51" s="411"/>
      <c r="E51" s="411"/>
      <c r="F51" s="411"/>
      <c r="G51" s="411" t="s">
        <v>1225</v>
      </c>
      <c r="H51" s="411"/>
      <c r="I51" s="411"/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 t="s">
        <v>1226</v>
      </c>
      <c r="V51" s="411"/>
      <c r="W51" s="371"/>
      <c r="X51" s="371"/>
      <c r="Y51" s="371"/>
      <c r="Z51" s="371"/>
      <c r="AA51" s="371"/>
      <c r="AB51" s="371"/>
      <c r="AC51" s="371"/>
      <c r="AD51" s="371"/>
      <c r="AE51" s="371"/>
      <c r="AF51" s="371"/>
      <c r="AG51" s="371"/>
      <c r="AH51" s="371"/>
      <c r="AI51" s="371"/>
      <c r="AJ51" s="373"/>
      <c r="AK51" s="374"/>
    </row>
  </sheetData>
  <mergeCells count="3">
    <mergeCell ref="AD33:AK35"/>
    <mergeCell ref="V33:AB35"/>
    <mergeCell ref="M33:U35"/>
  </mergeCells>
  <phoneticPr fontId="7" type="noConversion"/>
  <pageMargins left="0.39370078740157483" right="0.39370078740157483" top="0.35433070866141736" bottom="0.35433070866141736" header="0.23622047244094491" footer="0.23622047244094491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telefony</vt:lpstr>
      <vt:lpstr>info</vt:lpstr>
      <vt:lpstr>vstupne udaje</vt:lpstr>
      <vt:lpstr>kontrola LD</vt:lpstr>
      <vt:lpstr>BS-SK format</vt:lpstr>
      <vt:lpstr>IS-SK format</vt:lpstr>
      <vt:lpstr>SUVAHA</vt:lpstr>
      <vt:lpstr>VYKAZ Ziskov a STRAT</vt:lpstr>
      <vt:lpstr>BS-E Cover sheet</vt:lpstr>
      <vt:lpstr>IS-E Cover sheet</vt:lpstr>
      <vt:lpstr>BS-E Old format</vt:lpstr>
      <vt:lpstr>IS-E Old format</vt:lpstr>
      <vt:lpstr>BS - E Statutory</vt:lpstr>
      <vt:lpstr>IS-E Statutory</vt:lpstr>
      <vt:lpstr>BS-G Cover sheet</vt:lpstr>
      <vt:lpstr>IS-G Cover sheet</vt:lpstr>
      <vt:lpstr>BS-G Old format</vt:lpstr>
      <vt:lpstr>IS-G Old format</vt:lpstr>
      <vt:lpstr>BS-G Statutory</vt:lpstr>
      <vt:lpstr>IS-G Statutory</vt:lpstr>
      <vt:lpstr>Checks</vt:lpstr>
      <vt:lpstr>CASH FLOW</vt:lpstr>
      <vt:lpstr>ADJ of CF</vt:lpstr>
      <vt:lpstr>SUVAHA!Print_Area</vt:lpstr>
      <vt:lpstr>'VYKAZ Ziskov a STRAT'!Print_Area</vt:lpstr>
    </vt:vector>
  </TitlesOfParts>
  <Company>Coopers &amp; Lybrand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Nivin</dc:creator>
  <cp:lastModifiedBy>SESA251592</cp:lastModifiedBy>
  <cp:lastPrinted>2013-01-18T08:26:16Z</cp:lastPrinted>
  <dcterms:created xsi:type="dcterms:W3CDTF">1999-03-01T20:35:08Z</dcterms:created>
  <dcterms:modified xsi:type="dcterms:W3CDTF">2018-06-27T16:33:15Z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