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 activeTab="1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C24" i="2"/>
  <c r="C23"/>
  <c r="C21" s="1"/>
  <c r="C12"/>
  <c r="C9"/>
  <c r="C11"/>
  <c r="C6" s="1"/>
  <c r="C2" s="1"/>
  <c r="C8"/>
  <c r="D6"/>
  <c r="F21"/>
  <c r="F31"/>
  <c r="H20"/>
  <c r="P9"/>
  <c r="P8"/>
  <c r="O9"/>
  <c r="O8"/>
  <c r="C10"/>
  <c r="C25"/>
  <c r="D17"/>
  <c r="C19"/>
  <c r="H9"/>
  <c r="L2"/>
  <c r="H6"/>
  <c r="N2"/>
  <c r="N3" s="1"/>
  <c r="H14"/>
  <c r="H8"/>
  <c r="H13"/>
  <c r="H12"/>
  <c r="H15" s="1"/>
  <c r="C15"/>
  <c r="C4"/>
  <c r="C3" s="1"/>
  <c r="H11"/>
  <c r="H2"/>
  <c r="I12"/>
  <c r="I27"/>
  <c r="D27"/>
  <c r="M26"/>
  <c r="I25"/>
  <c r="D21"/>
  <c r="I24"/>
  <c r="I26" s="1"/>
  <c r="I23"/>
  <c r="R22"/>
  <c r="N22"/>
  <c r="M22"/>
  <c r="N21"/>
  <c r="D19"/>
  <c r="M16"/>
  <c r="D15"/>
  <c r="I15"/>
  <c r="D11"/>
  <c r="D8"/>
  <c r="R7"/>
  <c r="M6"/>
  <c r="I11"/>
  <c r="D4"/>
  <c r="D3" s="1"/>
  <c r="D2" s="1"/>
  <c r="I2"/>
  <c r="G6" i="1"/>
  <c r="I6"/>
  <c r="C7"/>
  <c r="I16"/>
  <c r="C12"/>
  <c r="G28"/>
  <c r="G27"/>
  <c r="G25"/>
  <c r="G26"/>
  <c r="G24"/>
  <c r="I26"/>
  <c r="G13"/>
  <c r="G5"/>
  <c r="C20" i="2" l="1"/>
  <c r="I28"/>
  <c r="H4"/>
  <c r="L3" s="1"/>
  <c r="L4" s="1"/>
  <c r="D20"/>
  <c r="H10"/>
  <c r="H16" s="1"/>
  <c r="H18" s="1"/>
  <c r="D14"/>
  <c r="D13" s="1"/>
  <c r="I4"/>
  <c r="I10" s="1"/>
  <c r="I16" s="1"/>
  <c r="I18" s="1"/>
  <c r="F20" s="1"/>
  <c r="I22" i="1"/>
  <c r="G14"/>
  <c r="C25"/>
  <c r="C27"/>
  <c r="G8"/>
  <c r="C14" i="2" l="1"/>
  <c r="C13" s="1"/>
  <c r="C19" i="1"/>
  <c r="J22"/>
  <c r="J21"/>
  <c r="G23"/>
  <c r="C26"/>
  <c r="C23" s="1"/>
  <c r="C21" s="1"/>
  <c r="N22"/>
  <c r="N7"/>
  <c r="C3"/>
  <c r="C8"/>
  <c r="C6" s="1"/>
  <c r="C2" s="1"/>
  <c r="C11"/>
  <c r="G11"/>
  <c r="G12"/>
  <c r="G15" s="1"/>
  <c r="G4"/>
  <c r="G10" s="1"/>
  <c r="G2"/>
  <c r="C15"/>
  <c r="C4"/>
  <c r="C20" l="1"/>
  <c r="C14" s="1"/>
  <c r="C13" s="1"/>
  <c r="G16"/>
  <c r="G18" s="1"/>
  <c r="E20" l="1"/>
</calcChain>
</file>

<file path=xl/sharedStrings.xml><?xml version="1.0" encoding="utf-8"?>
<sst xmlns="http://schemas.openxmlformats.org/spreadsheetml/2006/main" count="117" uniqueCount="62">
  <si>
    <t>Spolu majetok</t>
  </si>
  <si>
    <t>Neobežný majetok</t>
  </si>
  <si>
    <t>Dlhodobý HM</t>
  </si>
  <si>
    <t>Samostatné hnuteľné veci</t>
  </si>
  <si>
    <t>Obežný majetok</t>
  </si>
  <si>
    <t>Krátkodobé pohľadávky</t>
  </si>
  <si>
    <t>Pohľadávky obchodného styku</t>
  </si>
  <si>
    <t>Sociálne poistenie, daňové pohľ</t>
  </si>
  <si>
    <t>Finančný majetok</t>
  </si>
  <si>
    <t>Peniaze a účty v bankách</t>
  </si>
  <si>
    <t>Spolu vlastné imanie a záväzky</t>
  </si>
  <si>
    <t>Vlastné imanie</t>
  </si>
  <si>
    <t>Základné imanie</t>
  </si>
  <si>
    <t>ZI a zmeny</t>
  </si>
  <si>
    <t>Kapitálové fondy</t>
  </si>
  <si>
    <t>Fondy zo zisku</t>
  </si>
  <si>
    <t>Nerozdelený zisk/strata</t>
  </si>
  <si>
    <t>VH - po zdanení</t>
  </si>
  <si>
    <t>Záväzky</t>
  </si>
  <si>
    <t>Dlhodobé záväzky okrem rez, a úverov</t>
  </si>
  <si>
    <t>Krátkodobé záväzky okrem rez. A úverov</t>
  </si>
  <si>
    <t>Krátkodobé záv. Obch styku</t>
  </si>
  <si>
    <t>Záväzky voči zamestnancom</t>
  </si>
  <si>
    <t>Daňové záväzky a dotácie</t>
  </si>
  <si>
    <t>Ostatné krátkodobé záväzky</t>
  </si>
  <si>
    <t>Bežné bankové úvery (221, 231, 232, 461)</t>
  </si>
  <si>
    <t>Výnosy z hospodárskej činnosti</t>
  </si>
  <si>
    <t>Tržby zo služieb</t>
  </si>
  <si>
    <t>Náklady na hosp. činnosť</t>
  </si>
  <si>
    <t>Spotreba materiálu a energie</t>
  </si>
  <si>
    <t>Služby</t>
  </si>
  <si>
    <t>Osobné náklady</t>
  </si>
  <si>
    <t>Dane a poplatky</t>
  </si>
  <si>
    <t>VH - z hospodárskej činnosti</t>
  </si>
  <si>
    <t>Pridaná hodnota</t>
  </si>
  <si>
    <t>Náklady na finančnú činnosť</t>
  </si>
  <si>
    <t>Nákladové úroky</t>
  </si>
  <si>
    <t>Ostatné náklady na fin činn</t>
  </si>
  <si>
    <t>VH - z finančnej činnosti</t>
  </si>
  <si>
    <t>VH - za ÚO pred zdanením</t>
  </si>
  <si>
    <t xml:space="preserve">Daň z príjmov </t>
  </si>
  <si>
    <t>VH - za ÚO po zdanení</t>
  </si>
  <si>
    <t>Dlhodobé pohľadávky</t>
  </si>
  <si>
    <t>2017 - Briton Logistic s.r.o.</t>
  </si>
  <si>
    <t>DPH:</t>
  </si>
  <si>
    <t>DPH 2016</t>
  </si>
  <si>
    <t>júl VU</t>
  </si>
  <si>
    <t>nov VU</t>
  </si>
  <si>
    <t>SF:</t>
  </si>
  <si>
    <t>Výbery z BÚ</t>
  </si>
  <si>
    <t>Mzdy vyplatené z pokladne</t>
  </si>
  <si>
    <t>Zostatok v pokladnici:</t>
  </si>
  <si>
    <t>Vklad v hotovosti</t>
  </si>
  <si>
    <t>účtovníctvo</t>
  </si>
  <si>
    <t>2018 - Briton Logistic s.r.o.</t>
  </si>
  <si>
    <t>=</t>
  </si>
  <si>
    <t>Výnosy</t>
  </si>
  <si>
    <t>Náklady</t>
  </si>
  <si>
    <t>HV</t>
  </si>
  <si>
    <t>Daň</t>
  </si>
  <si>
    <t>vklady spolu:</t>
  </si>
  <si>
    <t>výbery spolu: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</si>
</sst>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Fill="1" applyBorder="1"/>
    <xf numFmtId="0" fontId="0" fillId="0" borderId="5" xfId="0" applyFill="1" applyBorder="1"/>
    <xf numFmtId="0" fontId="0" fillId="0" borderId="4" xfId="0" applyFill="1" applyBorder="1"/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8" xfId="0" applyFont="1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6" xfId="0" applyFill="1" applyBorder="1"/>
    <xf numFmtId="0" fontId="0" fillId="0" borderId="1" xfId="0" applyFill="1" applyBorder="1"/>
    <xf numFmtId="0" fontId="0" fillId="2" borderId="6" xfId="0" applyFill="1" applyBorder="1"/>
    <xf numFmtId="0" fontId="0" fillId="2" borderId="0" xfId="0" applyFill="1"/>
    <xf numFmtId="0" fontId="0" fillId="2" borderId="10" xfId="0" applyFill="1" applyBorder="1"/>
    <xf numFmtId="4" fontId="1" fillId="0" borderId="1" xfId="0" applyNumberFormat="1" applyFont="1" applyBorder="1"/>
    <xf numFmtId="4" fontId="0" fillId="0" borderId="6" xfId="0" applyNumberFormat="1" applyBorder="1"/>
    <xf numFmtId="4" fontId="0" fillId="2" borderId="6" xfId="0" applyNumberFormat="1" applyFill="1" applyBorder="1"/>
    <xf numFmtId="4" fontId="0" fillId="3" borderId="6" xfId="0" applyNumberFormat="1" applyFill="1" applyBorder="1"/>
    <xf numFmtId="4" fontId="0" fillId="2" borderId="7" xfId="0" applyNumberFormat="1" applyFill="1" applyBorder="1"/>
    <xf numFmtId="4" fontId="0" fillId="0" borderId="10" xfId="0" applyNumberFormat="1" applyBorder="1"/>
    <xf numFmtId="4" fontId="1" fillId="0" borderId="6" xfId="0" applyNumberFormat="1" applyFont="1" applyBorder="1"/>
    <xf numFmtId="0" fontId="0" fillId="2" borderId="7" xfId="0" applyFill="1" applyBorder="1"/>
    <xf numFmtId="2" fontId="0" fillId="0" borderId="0" xfId="0" applyNumberFormat="1"/>
    <xf numFmtId="4" fontId="0" fillId="0" borderId="0" xfId="0" applyNumberFormat="1"/>
    <xf numFmtId="0" fontId="0" fillId="0" borderId="12" xfId="0" applyBorder="1"/>
    <xf numFmtId="0" fontId="0" fillId="0" borderId="13" xfId="0" applyBorder="1"/>
    <xf numFmtId="4" fontId="2" fillId="3" borderId="9" xfId="0" applyNumberFormat="1" applyFont="1" applyFill="1" applyBorder="1"/>
    <xf numFmtId="4" fontId="2" fillId="3" borderId="11" xfId="0" applyNumberFormat="1" applyFont="1" applyFill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0" fillId="2" borderId="6" xfId="0" applyNumberFormat="1" applyFill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6" xfId="0" applyNumberFormat="1" applyBorder="1"/>
    <xf numFmtId="2" fontId="1" fillId="0" borderId="6" xfId="0" applyNumberFormat="1" applyFont="1" applyBorder="1"/>
    <xf numFmtId="2" fontId="0" fillId="0" borderId="19" xfId="0" applyNumberFormat="1" applyBorder="1"/>
    <xf numFmtId="2" fontId="0" fillId="0" borderId="20" xfId="0" applyNumberFormat="1" applyBorder="1"/>
    <xf numFmtId="2" fontId="2" fillId="3" borderId="8" xfId="0" applyNumberFormat="1" applyFont="1" applyFill="1" applyBorder="1"/>
    <xf numFmtId="2" fontId="2" fillId="3" borderId="14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40.7109375" customWidth="1"/>
    <col min="2" max="2" width="4.140625" customWidth="1"/>
    <col min="3" max="3" width="10.42578125" customWidth="1"/>
    <col min="4" max="4" width="2.140625" customWidth="1"/>
    <col min="5" max="5" width="29.28515625" customWidth="1"/>
    <col min="6" max="6" width="3.5703125" customWidth="1"/>
    <col min="7" max="7" width="10.140625" customWidth="1"/>
    <col min="9" max="9" width="10" bestFit="1" customWidth="1"/>
  </cols>
  <sheetData>
    <row r="1" spans="1:14">
      <c r="A1" s="9" t="s">
        <v>43</v>
      </c>
    </row>
    <row r="2" spans="1:14">
      <c r="A2" s="4" t="s">
        <v>0</v>
      </c>
      <c r="B2" s="15">
        <v>1</v>
      </c>
      <c r="C2" s="21">
        <f>C3+C6</f>
        <v>123177.98999999999</v>
      </c>
      <c r="E2" s="1" t="s">
        <v>26</v>
      </c>
      <c r="F2" s="12">
        <v>1</v>
      </c>
      <c r="G2" s="26">
        <f>G3</f>
        <v>306740</v>
      </c>
    </row>
    <row r="3" spans="1:14">
      <c r="A3" s="2" t="s">
        <v>1</v>
      </c>
      <c r="B3" s="13">
        <v>2</v>
      </c>
      <c r="C3" s="22">
        <f>C4</f>
        <v>4807</v>
      </c>
      <c r="E3" s="2" t="s">
        <v>27</v>
      </c>
      <c r="F3" s="13">
        <v>3</v>
      </c>
      <c r="G3" s="23">
        <v>306740</v>
      </c>
      <c r="L3" t="s">
        <v>45</v>
      </c>
      <c r="M3">
        <v>308.27</v>
      </c>
    </row>
    <row r="4" spans="1:14">
      <c r="A4" s="2" t="s">
        <v>2</v>
      </c>
      <c r="B4" s="13">
        <v>4</v>
      </c>
      <c r="C4" s="22">
        <f>C5</f>
        <v>4807</v>
      </c>
      <c r="E4" s="2" t="s">
        <v>28</v>
      </c>
      <c r="F4" s="13">
        <v>8</v>
      </c>
      <c r="G4" s="27">
        <f>G5+G6+G8+G9</f>
        <v>305338.5</v>
      </c>
      <c r="H4" s="8"/>
      <c r="M4">
        <v>575.42999999999995</v>
      </c>
    </row>
    <row r="5" spans="1:14">
      <c r="A5" s="2" t="s">
        <v>3</v>
      </c>
      <c r="B5" s="13">
        <v>6</v>
      </c>
      <c r="C5" s="23">
        <v>4807</v>
      </c>
      <c r="E5" s="2" t="s">
        <v>29</v>
      </c>
      <c r="F5" s="13">
        <v>10</v>
      </c>
      <c r="G5" s="23">
        <f>1663.47+7152.92+3.8-571.59-571.59-571.59-571.59-571.59-571.59-571.59-571.59-571.59-571.59-571.59-574.33</f>
        <v>1958.3699999999972</v>
      </c>
      <c r="M5" s="19">
        <v>3873.05</v>
      </c>
    </row>
    <row r="6" spans="1:14">
      <c r="A6" s="2" t="s">
        <v>4</v>
      </c>
      <c r="B6" s="13">
        <v>14</v>
      </c>
      <c r="C6" s="22">
        <f>C8+C11+C7</f>
        <v>118370.98999999999</v>
      </c>
      <c r="E6" s="2" t="s">
        <v>30</v>
      </c>
      <c r="F6" s="13">
        <v>11</v>
      </c>
      <c r="G6" s="23">
        <f>286500.33+3840</f>
        <v>290340.33</v>
      </c>
      <c r="I6" s="4">
        <f>(12*250)+(12*60)+60+60</f>
        <v>3840</v>
      </c>
      <c r="J6" s="31" t="s">
        <v>53</v>
      </c>
      <c r="K6" s="32"/>
      <c r="M6" s="19">
        <v>2138.73</v>
      </c>
    </row>
    <row r="7" spans="1:14">
      <c r="A7" s="2" t="s">
        <v>42</v>
      </c>
      <c r="B7" s="16">
        <v>16</v>
      </c>
      <c r="C7" s="24">
        <f>209876.36+41223.1-192956.41</f>
        <v>58143.049999999988</v>
      </c>
      <c r="E7" s="2"/>
      <c r="F7" s="13"/>
      <c r="G7" s="23"/>
      <c r="I7" s="30"/>
      <c r="M7" s="19">
        <v>2073.31</v>
      </c>
      <c r="N7">
        <f>SUM(M5:M7)</f>
        <v>8085.09</v>
      </c>
    </row>
    <row r="8" spans="1:14">
      <c r="A8" s="2" t="s">
        <v>5</v>
      </c>
      <c r="B8" s="13">
        <v>17</v>
      </c>
      <c r="C8" s="22">
        <f>C9+C10</f>
        <v>77039.09</v>
      </c>
      <c r="E8" s="2" t="s">
        <v>31</v>
      </c>
      <c r="F8" s="13">
        <v>12</v>
      </c>
      <c r="G8" s="23">
        <f>9400.83+3308.8+94</f>
        <v>12803.630000000001</v>
      </c>
    </row>
    <row r="9" spans="1:14">
      <c r="A9" s="2" t="s">
        <v>6</v>
      </c>
      <c r="B9" s="13">
        <v>18</v>
      </c>
      <c r="C9" s="24">
        <v>64080.07</v>
      </c>
      <c r="E9" s="2" t="s">
        <v>32</v>
      </c>
      <c r="F9" s="13">
        <v>13</v>
      </c>
      <c r="G9" s="23">
        <v>236.17</v>
      </c>
    </row>
    <row r="10" spans="1:14" ht="15.75" thickBot="1">
      <c r="A10" s="2" t="s">
        <v>7</v>
      </c>
      <c r="B10" s="18">
        <v>19</v>
      </c>
      <c r="C10" s="23">
        <v>12959.02</v>
      </c>
      <c r="E10" s="2" t="s">
        <v>33</v>
      </c>
      <c r="F10" s="13">
        <v>18</v>
      </c>
      <c r="G10" s="22">
        <f>G2-G4</f>
        <v>1401.5</v>
      </c>
    </row>
    <row r="11" spans="1:14" ht="15.75" thickBot="1">
      <c r="A11" s="2" t="s">
        <v>8</v>
      </c>
      <c r="B11" s="13">
        <v>21</v>
      </c>
      <c r="C11" s="22">
        <f>C12</f>
        <v>-16811.150000000001</v>
      </c>
      <c r="E11" s="2" t="s">
        <v>34</v>
      </c>
      <c r="F11" s="13">
        <v>19</v>
      </c>
      <c r="G11" s="22">
        <f>G3-(G5+G6)</f>
        <v>14441.299999999988</v>
      </c>
      <c r="I11" s="11">
        <v>334385</v>
      </c>
      <c r="L11" t="s">
        <v>44</v>
      </c>
      <c r="M11" s="20">
        <v>1853.13</v>
      </c>
    </row>
    <row r="12" spans="1:14">
      <c r="A12" s="3" t="s">
        <v>9</v>
      </c>
      <c r="B12" s="28">
        <v>22</v>
      </c>
      <c r="C12" s="25">
        <f>-16811.15</f>
        <v>-16811.150000000001</v>
      </c>
      <c r="E12" s="2" t="s">
        <v>35</v>
      </c>
      <c r="F12" s="13">
        <v>27</v>
      </c>
      <c r="G12" s="22">
        <f>G13+G14</f>
        <v>2810.8</v>
      </c>
      <c r="M12" s="18">
        <v>1003.88</v>
      </c>
    </row>
    <row r="13" spans="1:14">
      <c r="A13" s="6" t="s">
        <v>10</v>
      </c>
      <c r="B13" s="17">
        <v>24</v>
      </c>
      <c r="C13" s="21">
        <f>C14+C21</f>
        <v>123177.98999999999</v>
      </c>
      <c r="E13" s="2" t="s">
        <v>36</v>
      </c>
      <c r="F13" s="13">
        <v>31</v>
      </c>
      <c r="G13" s="23">
        <f>217.34+193.04+209.53+199.08+201.72+191.51+193.91+190+180.18+182.19+172.62+174.38</f>
        <v>2305.5000000000005</v>
      </c>
      <c r="M13" s="18">
        <v>1303.52</v>
      </c>
    </row>
    <row r="14" spans="1:14">
      <c r="A14" s="5" t="s">
        <v>11</v>
      </c>
      <c r="B14" s="16">
        <v>25</v>
      </c>
      <c r="C14" s="22">
        <f>C15+C17+C18+C19+C20</f>
        <v>9824.6999999999825</v>
      </c>
      <c r="E14" s="2" t="s">
        <v>37</v>
      </c>
      <c r="F14" s="13">
        <v>33</v>
      </c>
      <c r="G14" s="23">
        <f>2+2+2+2+2+2+2+5+2+5.9+2+5+2+2+2+2+2+5.9+5+2+5+5+2+5+2+5+2+5+5+2+2+5.9+2+5+1.5+5+2+5+2+2+5+2+2+2+5.9+6+5+2+5+5+2+2+2+5+2+5.9+6+5+2+5+2+2+5+2+5.9+3+8+8+3+8+3+8+3+3+8+8+3+8+8+3+3+3+8+8+5.9+3+3+8+3+3+3+8+3+8+6+5.9+8+8+8+3+3+8+3+8+3+5.9+2+5+2+2+4+5+2+5.9+5.9+5.9+10+10</f>
        <v>505.29999999999984</v>
      </c>
      <c r="L14" t="s">
        <v>46</v>
      </c>
      <c r="M14" s="13">
        <v>2882</v>
      </c>
    </row>
    <row r="15" spans="1:14">
      <c r="A15" s="5" t="s">
        <v>12</v>
      </c>
      <c r="B15" s="16">
        <v>26</v>
      </c>
      <c r="C15" s="22">
        <f>C16</f>
        <v>6640</v>
      </c>
      <c r="E15" s="2" t="s">
        <v>38</v>
      </c>
      <c r="F15" s="13">
        <v>34</v>
      </c>
      <c r="G15" s="27">
        <f>-G12</f>
        <v>-2810.8</v>
      </c>
      <c r="M15" s="18">
        <v>1547.56</v>
      </c>
    </row>
    <row r="16" spans="1:14">
      <c r="A16" s="5" t="s">
        <v>13</v>
      </c>
      <c r="B16" s="16">
        <v>27</v>
      </c>
      <c r="C16" s="23">
        <v>6640</v>
      </c>
      <c r="E16" s="2" t="s">
        <v>39</v>
      </c>
      <c r="F16" s="13">
        <v>35</v>
      </c>
      <c r="G16" s="22">
        <f>G10+G15</f>
        <v>-1409.3000000000002</v>
      </c>
      <c r="I16">
        <f>209876.36+41223.1-192956.41</f>
        <v>58143.049999999988</v>
      </c>
      <c r="M16" s="18">
        <v>2868.01</v>
      </c>
    </row>
    <row r="17" spans="1:14" ht="15.75" thickBot="1">
      <c r="A17" s="5" t="s">
        <v>14</v>
      </c>
      <c r="B17" s="16">
        <v>29</v>
      </c>
      <c r="C17" s="23">
        <v>27409</v>
      </c>
      <c r="E17" s="2" t="s">
        <v>40</v>
      </c>
      <c r="F17" s="13">
        <v>36</v>
      </c>
      <c r="G17" s="23">
        <v>960</v>
      </c>
      <c r="M17" s="18">
        <v>4496.41</v>
      </c>
    </row>
    <row r="18" spans="1:14">
      <c r="A18" s="5" t="s">
        <v>15</v>
      </c>
      <c r="B18" s="16">
        <v>30</v>
      </c>
      <c r="C18" s="23">
        <v>1846</v>
      </c>
      <c r="E18" s="3" t="s">
        <v>41</v>
      </c>
      <c r="F18" s="14">
        <v>38</v>
      </c>
      <c r="G18" s="34">
        <f>G16-G17</f>
        <v>-2369.3000000000002</v>
      </c>
      <c r="L18" t="s">
        <v>47</v>
      </c>
      <c r="M18" s="13">
        <v>2120.4299999999998</v>
      </c>
    </row>
    <row r="19" spans="1:14" ht="15.75" thickBot="1">
      <c r="A19" s="5" t="s">
        <v>16</v>
      </c>
      <c r="B19" s="18">
        <v>32</v>
      </c>
      <c r="C19" s="23">
        <f>-2239-21462</f>
        <v>-23701</v>
      </c>
      <c r="G19" s="10"/>
      <c r="M19" s="18">
        <v>1168.32</v>
      </c>
    </row>
    <row r="20" spans="1:14" ht="15.75" thickBot="1">
      <c r="A20" s="5" t="s">
        <v>17</v>
      </c>
      <c r="B20" s="16">
        <v>33</v>
      </c>
      <c r="C20" s="33">
        <f>C2-(C15+C17+C18+C19+C21)</f>
        <v>-2369.3000000000175</v>
      </c>
      <c r="E20" s="8">
        <f>C20-G18</f>
        <v>-1.7280399333685637E-11</v>
      </c>
      <c r="M20" s="13">
        <v>3679.5</v>
      </c>
    </row>
    <row r="21" spans="1:14">
      <c r="A21" s="5" t="s">
        <v>18</v>
      </c>
      <c r="B21" s="16">
        <v>34</v>
      </c>
      <c r="C21" s="22">
        <f>C22+C23+C28</f>
        <v>113353.29000000001</v>
      </c>
      <c r="J21">
        <f>7317.1-606.22+574.33</f>
        <v>7285.21</v>
      </c>
      <c r="M21" s="13">
        <v>6115.86</v>
      </c>
    </row>
    <row r="22" spans="1:14">
      <c r="A22" s="5" t="s">
        <v>19</v>
      </c>
      <c r="B22" s="16">
        <v>35</v>
      </c>
      <c r="C22" s="23">
        <v>0</v>
      </c>
      <c r="I22">
        <f>667+221.25</f>
        <v>888.25</v>
      </c>
      <c r="J22">
        <f>(131.58+131.58+376.01+940.06+376.01+1316.09+282.01+282.01+93.99+93.99+23.41+75.16+446.5)+(10.26+10.26+29.31+73.28+29.31+102.6+21.98+21.98+7.32+7.32+1.83+5.86+34.81)-(10.89+10.89+31.13+77.83+31.13+108.96+23.35+23.35+7.78+7.78+1.94+6.22+36.97)</f>
        <v>4546.2999999999993</v>
      </c>
      <c r="M22" s="14">
        <v>3163.66</v>
      </c>
      <c r="N22">
        <f>M20+M21+M22</f>
        <v>12959.02</v>
      </c>
    </row>
    <row r="23" spans="1:14">
      <c r="A23" s="5" t="s">
        <v>20</v>
      </c>
      <c r="B23" s="16">
        <v>38</v>
      </c>
      <c r="C23" s="22">
        <f>C24+C25+C26+C27</f>
        <v>84025.290000000008</v>
      </c>
      <c r="E23" t="s">
        <v>48</v>
      </c>
      <c r="G23" s="29">
        <f>(9*7.83)+8.04+7.71+7.78</f>
        <v>93.999999999999986</v>
      </c>
    </row>
    <row r="24" spans="1:14">
      <c r="A24" s="5" t="s">
        <v>21</v>
      </c>
      <c r="B24" s="16">
        <v>39</v>
      </c>
      <c r="C24" s="23">
        <v>81577</v>
      </c>
      <c r="E24" t="s">
        <v>49</v>
      </c>
      <c r="G24">
        <f>800+250+200+250+250+100+150+600+500+200+300+200+200+500+200+200+200+300+600+300+200+300+300+200+100+150+200+200+400+200+150+200+500+250+250+800+200+300+500+350+100+300+200+450+600+200+300+150+200+200+200+500+400+8100+100+200+300+300+200+200+700+200+200+0</f>
        <v>26350</v>
      </c>
    </row>
    <row r="25" spans="1:14">
      <c r="A25" s="5" t="s">
        <v>22</v>
      </c>
      <c r="B25" s="18">
        <v>40</v>
      </c>
      <c r="C25" s="23">
        <f>606.22+10.89+10.89+35.13+67.83+31.13+108.96+23.35+23.35+7.78+7.78+1.94+6.22+36.97+0</f>
        <v>978.44000000000017</v>
      </c>
      <c r="E25" t="s">
        <v>50</v>
      </c>
      <c r="G25">
        <f>7317.1</f>
        <v>7317.1</v>
      </c>
    </row>
    <row r="26" spans="1:14">
      <c r="A26" s="5" t="s">
        <v>23</v>
      </c>
      <c r="B26" s="18">
        <v>41</v>
      </c>
      <c r="C26" s="23">
        <f>960+67.85</f>
        <v>1027.8499999999999</v>
      </c>
      <c r="E26" s="9" t="s">
        <v>51</v>
      </c>
      <c r="G26">
        <f>G24-G25</f>
        <v>19032.900000000001</v>
      </c>
      <c r="I26" t="str">
        <f>E24</f>
        <v>Výbery z BÚ</v>
      </c>
    </row>
    <row r="27" spans="1:14">
      <c r="A27" s="5" t="s">
        <v>24</v>
      </c>
      <c r="B27" s="18">
        <v>42</v>
      </c>
      <c r="C27" s="23">
        <f>(4*87)+94</f>
        <v>442</v>
      </c>
      <c r="E27" t="s">
        <v>52</v>
      </c>
      <c r="G27">
        <f>2000+1300</f>
        <v>3300</v>
      </c>
    </row>
    <row r="28" spans="1:14">
      <c r="A28" s="7" t="s">
        <v>25</v>
      </c>
      <c r="B28" s="28">
        <v>44</v>
      </c>
      <c r="C28" s="25">
        <v>29328</v>
      </c>
      <c r="E28" t="s">
        <v>51</v>
      </c>
      <c r="G28">
        <f>G26-G27</f>
        <v>15732.900000000001</v>
      </c>
    </row>
    <row r="29" spans="1:14">
      <c r="E29" s="8"/>
    </row>
  </sheetData>
  <pageMargins left="0" right="0" top="0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tabSelected="1" topLeftCell="A6" workbookViewId="0">
      <selection activeCell="H24" sqref="H24"/>
    </sheetView>
  </sheetViews>
  <sheetFormatPr defaultRowHeight="15"/>
  <cols>
    <col min="1" max="1" width="40.7109375" customWidth="1"/>
    <col min="2" max="2" width="4.140625" customWidth="1"/>
    <col min="3" max="3" width="11" customWidth="1"/>
    <col min="4" max="4" width="10.42578125" customWidth="1"/>
    <col min="5" max="5" width="2.140625" customWidth="1"/>
    <col min="6" max="6" width="29.28515625" customWidth="1"/>
    <col min="7" max="7" width="3.5703125" customWidth="1"/>
    <col min="8" max="8" width="12" customWidth="1"/>
    <col min="9" max="9" width="10.140625" customWidth="1"/>
    <col min="10" max="10" width="2.28515625" customWidth="1"/>
    <col min="11" max="11" width="7.85546875" customWidth="1"/>
    <col min="12" max="12" width="10.5703125" customWidth="1"/>
    <col min="13" max="13" width="10" bestFit="1" customWidth="1"/>
    <col min="16" max="16" width="9.28515625" bestFit="1" customWidth="1"/>
  </cols>
  <sheetData>
    <row r="1" spans="1:18" ht="15.75" thickBot="1">
      <c r="A1" s="9" t="s">
        <v>54</v>
      </c>
      <c r="C1">
        <v>2018</v>
      </c>
      <c r="D1">
        <v>2017</v>
      </c>
      <c r="H1">
        <v>2018</v>
      </c>
      <c r="I1">
        <v>2017</v>
      </c>
    </row>
    <row r="2" spans="1:18">
      <c r="A2" s="4" t="s">
        <v>0</v>
      </c>
      <c r="B2" s="15">
        <v>1</v>
      </c>
      <c r="C2" s="21">
        <f>C3+C6</f>
        <v>111463.13999999998</v>
      </c>
      <c r="D2" s="21">
        <f>D3+D6</f>
        <v>123178</v>
      </c>
      <c r="F2" s="1" t="s">
        <v>26</v>
      </c>
      <c r="G2" s="12">
        <v>1</v>
      </c>
      <c r="H2" s="35">
        <f>H3</f>
        <v>446476.38</v>
      </c>
      <c r="I2" s="35">
        <f>I3</f>
        <v>306740</v>
      </c>
      <c r="J2" s="29"/>
      <c r="K2" s="36" t="s">
        <v>56</v>
      </c>
      <c r="L2" s="37">
        <f>H2</f>
        <v>446476.38</v>
      </c>
      <c r="N2">
        <f>(6*666.71)+606.22</f>
        <v>4606.4800000000005</v>
      </c>
    </row>
    <row r="3" spans="1:18">
      <c r="A3" s="2" t="s">
        <v>1</v>
      </c>
      <c r="B3" s="13">
        <v>2</v>
      </c>
      <c r="C3" s="22">
        <f>C4</f>
        <v>4807</v>
      </c>
      <c r="D3" s="22">
        <f>D4</f>
        <v>4807</v>
      </c>
      <c r="F3" s="2" t="s">
        <v>27</v>
      </c>
      <c r="G3" s="13">
        <v>3</v>
      </c>
      <c r="H3" s="38">
        <v>446476.38</v>
      </c>
      <c r="I3" s="38">
        <v>306740</v>
      </c>
      <c r="J3" s="29"/>
      <c r="K3" s="39" t="s">
        <v>57</v>
      </c>
      <c r="L3" s="40">
        <f>H4+H12</f>
        <v>446676.02</v>
      </c>
      <c r="N3">
        <f>4923.18-N2</f>
        <v>316.69999999999982</v>
      </c>
      <c r="P3" t="s">
        <v>45</v>
      </c>
      <c r="Q3">
        <v>308.27</v>
      </c>
    </row>
    <row r="4" spans="1:18">
      <c r="A4" s="2" t="s">
        <v>2</v>
      </c>
      <c r="B4" s="13">
        <v>4</v>
      </c>
      <c r="C4" s="22">
        <f>C5</f>
        <v>4807</v>
      </c>
      <c r="D4" s="22">
        <f>D5</f>
        <v>4807</v>
      </c>
      <c r="F4" s="2" t="s">
        <v>28</v>
      </c>
      <c r="G4" s="13">
        <v>8</v>
      </c>
      <c r="H4" s="41">
        <f>H5+H6+H8+H9</f>
        <v>443601.42000000004</v>
      </c>
      <c r="I4" s="42">
        <f>I5+I6+I8+I9</f>
        <v>305338</v>
      </c>
      <c r="J4" s="29"/>
      <c r="K4" s="39" t="s">
        <v>58</v>
      </c>
      <c r="L4" s="40">
        <f>L2-L3</f>
        <v>-199.64000000001397</v>
      </c>
      <c r="Q4">
        <v>575.42999999999995</v>
      </c>
    </row>
    <row r="5" spans="1:18" ht="15.75" thickBot="1">
      <c r="A5" s="2" t="s">
        <v>3</v>
      </c>
      <c r="B5" s="13">
        <v>6</v>
      </c>
      <c r="C5" s="23">
        <v>4807</v>
      </c>
      <c r="D5" s="23">
        <v>4807</v>
      </c>
      <c r="F5" s="2" t="s">
        <v>29</v>
      </c>
      <c r="G5" s="13">
        <v>10</v>
      </c>
      <c r="H5" s="38">
        <v>811.52</v>
      </c>
      <c r="I5" s="38">
        <v>1958</v>
      </c>
      <c r="J5" s="29"/>
      <c r="K5" s="43" t="s">
        <v>59</v>
      </c>
      <c r="L5" s="44"/>
      <c r="Q5" s="19">
        <v>3873.05</v>
      </c>
    </row>
    <row r="6" spans="1:18">
      <c r="A6" s="2" t="s">
        <v>4</v>
      </c>
      <c r="B6" s="13">
        <v>14</v>
      </c>
      <c r="C6" s="22">
        <f>C7+C8+C11</f>
        <v>106656.13999999998</v>
      </c>
      <c r="D6" s="22">
        <f>D8+D11+D7</f>
        <v>118371</v>
      </c>
      <c r="F6" s="2" t="s">
        <v>30</v>
      </c>
      <c r="G6" s="13">
        <v>11</v>
      </c>
      <c r="H6" s="38">
        <f>427188.42+316.7</f>
        <v>427505.12</v>
      </c>
      <c r="I6" s="38">
        <v>290340</v>
      </c>
      <c r="J6" s="29"/>
      <c r="K6" s="29"/>
      <c r="L6" s="29"/>
      <c r="M6" s="4">
        <f>(12*250)+(12*60)+60+60</f>
        <v>3840</v>
      </c>
      <c r="N6" s="31" t="s">
        <v>53</v>
      </c>
      <c r="O6" s="32"/>
      <c r="Q6" s="19">
        <v>2138.73</v>
      </c>
    </row>
    <row r="7" spans="1:18">
      <c r="A7" s="2" t="s">
        <v>42</v>
      </c>
      <c r="B7" s="16">
        <v>16</v>
      </c>
      <c r="C7" s="24">
        <v>58143</v>
      </c>
      <c r="D7" s="24">
        <v>58143</v>
      </c>
      <c r="F7" s="2"/>
      <c r="G7" s="13"/>
      <c r="H7" s="38"/>
      <c r="I7" s="38"/>
      <c r="J7" s="29"/>
      <c r="K7" s="29"/>
      <c r="L7" s="29"/>
      <c r="M7" s="30"/>
      <c r="Q7" s="19">
        <v>2073.31</v>
      </c>
      <c r="R7">
        <f>SUM(Q5:Q7)</f>
        <v>8085.09</v>
      </c>
    </row>
    <row r="8" spans="1:18">
      <c r="A8" s="2" t="s">
        <v>5</v>
      </c>
      <c r="B8" s="13">
        <v>17</v>
      </c>
      <c r="C8" s="22">
        <f>C9+C10</f>
        <v>45449.709999999992</v>
      </c>
      <c r="D8" s="22">
        <f>D9+D10</f>
        <v>77039</v>
      </c>
      <c r="F8" s="2" t="s">
        <v>31</v>
      </c>
      <c r="G8" s="13">
        <v>12</v>
      </c>
      <c r="H8" s="38">
        <f>10349.37+144.82+1034.92+1448.9+310.46+103.47+25.86+82.76+491.58+103.49</f>
        <v>14095.63</v>
      </c>
      <c r="I8" s="38">
        <v>12804</v>
      </c>
      <c r="J8" s="29"/>
      <c r="K8" s="29"/>
      <c r="L8" s="29"/>
      <c r="M8" t="s">
        <v>60</v>
      </c>
      <c r="O8">
        <f>41579.5+32306.36+22683.66+34072.86+41681.51+46502.25+69191.8+68244.95+45571.68+19665.51+26712.43+49113.59+0</f>
        <v>497326.1</v>
      </c>
      <c r="P8" s="29">
        <f>O8-H3</f>
        <v>50849.719999999972</v>
      </c>
    </row>
    <row r="9" spans="1:18">
      <c r="A9" s="2" t="s">
        <v>6</v>
      </c>
      <c r="B9" s="13">
        <v>18</v>
      </c>
      <c r="C9" s="24">
        <f>37950.84-11.68</f>
        <v>37939.159999999996</v>
      </c>
      <c r="D9" s="24">
        <v>64080</v>
      </c>
      <c r="F9" s="2" t="s">
        <v>32</v>
      </c>
      <c r="G9" s="13">
        <v>13</v>
      </c>
      <c r="H9" s="38">
        <f>975.17+213.98</f>
        <v>1189.1499999999999</v>
      </c>
      <c r="I9" s="38">
        <v>236</v>
      </c>
      <c r="J9" s="29"/>
      <c r="K9" s="29"/>
      <c r="L9" s="29"/>
      <c r="M9" t="s">
        <v>61</v>
      </c>
      <c r="O9">
        <f>41940.52+28995.53+25773.93+24866.84+55474.69+46505.09+67480.61+74646.3+32349.91+35908.36+20120.83+49647.56</f>
        <v>503710.16999999993</v>
      </c>
      <c r="P9" s="29">
        <f>H4+H12-O9</f>
        <v>-57034.149999999907</v>
      </c>
    </row>
    <row r="10" spans="1:18" ht="15.75" thickBot="1">
      <c r="A10" s="2" t="s">
        <v>7</v>
      </c>
      <c r="B10" s="18">
        <v>19</v>
      </c>
      <c r="C10" s="23">
        <f>228.86+7216.2+65.49+0</f>
        <v>7510.5499999999993</v>
      </c>
      <c r="D10" s="23">
        <v>12959</v>
      </c>
      <c r="F10" s="2" t="s">
        <v>33</v>
      </c>
      <c r="G10" s="13">
        <v>18</v>
      </c>
      <c r="H10" s="41">
        <f>H2-H4</f>
        <v>2874.9599999999627</v>
      </c>
      <c r="I10" s="41">
        <f>I2-I4</f>
        <v>1402</v>
      </c>
      <c r="J10" s="29"/>
      <c r="K10" s="29"/>
      <c r="L10" s="29"/>
    </row>
    <row r="11" spans="1:18" ht="15.75" thickBot="1">
      <c r="A11" s="2" t="s">
        <v>8</v>
      </c>
      <c r="B11" s="13">
        <v>21</v>
      </c>
      <c r="C11" s="22">
        <f>C12</f>
        <v>3063.4299999999994</v>
      </c>
      <c r="D11" s="22">
        <f>D12</f>
        <v>-16811</v>
      </c>
      <c r="F11" s="2" t="s">
        <v>34</v>
      </c>
      <c r="G11" s="13">
        <v>19</v>
      </c>
      <c r="H11" s="41">
        <f>H3-(H5+H6)</f>
        <v>18159.739999999991</v>
      </c>
      <c r="I11" s="41">
        <f>I3-(I5+I6)</f>
        <v>14442</v>
      </c>
      <c r="J11" s="29"/>
      <c r="K11" s="29"/>
      <c r="L11" s="29"/>
      <c r="M11" s="11">
        <v>334385</v>
      </c>
      <c r="P11" t="s">
        <v>44</v>
      </c>
      <c r="Q11" s="20">
        <v>1853.13</v>
      </c>
    </row>
    <row r="12" spans="1:18">
      <c r="A12" s="3" t="s">
        <v>9</v>
      </c>
      <c r="B12" s="28">
        <v>22</v>
      </c>
      <c r="C12" s="25">
        <f>-23195.22+500+250+300+500+700+300+500+300+750+300+300+200+4500+150+600+300+150+350+100+150+100+150+200+100+600+100+500+100+150+150+100+150+50+50+200+100+700+30.6+40+200+100+100+400+150+100+100+300+100+200+100+50+100+300+100+100+450+40+60+50+30+50+250+350+200+300+60+30+50+300+100+600+100+60+50+150+150+100+200+150+50+200+400+100+350+150+100+100+350+100+300+200+1500+700+100+50+30+500+50+50+200+120+600+100+700+100+100+300+500+50+50+250+100+100+100+250+100+300+50+150+130+50+500+400+300+100+100+300+200+150+50+20+90+100+400+400+50+100+0-7987.53+661.8-606.22</f>
        <v>3063.4299999999994</v>
      </c>
      <c r="D12" s="25">
        <v>-16811</v>
      </c>
      <c r="F12" s="2" t="s">
        <v>35</v>
      </c>
      <c r="G12" s="13">
        <v>27</v>
      </c>
      <c r="H12" s="41">
        <f>H13+H14</f>
        <v>3074.5999999999995</v>
      </c>
      <c r="I12" s="41">
        <f>I13+I14</f>
        <v>2811</v>
      </c>
      <c r="J12" s="29"/>
      <c r="K12" s="29"/>
      <c r="L12" s="29"/>
      <c r="Q12" s="18">
        <v>1003.88</v>
      </c>
    </row>
    <row r="13" spans="1:18">
      <c r="A13" s="6" t="s">
        <v>10</v>
      </c>
      <c r="B13" s="17">
        <v>24</v>
      </c>
      <c r="C13" s="21">
        <f>C14+C21</f>
        <v>111463.13999999998</v>
      </c>
      <c r="D13" s="21">
        <f>D14+D21</f>
        <v>123178</v>
      </c>
      <c r="F13" s="2" t="s">
        <v>36</v>
      </c>
      <c r="G13" s="13">
        <v>31</v>
      </c>
      <c r="H13" s="38">
        <f>170.47+150.7+162.66+153.72+154.85+146.16+147.04+143.13+134.82+135.32+127.26+127.51</f>
        <v>1753.6399999999999</v>
      </c>
      <c r="I13" s="38">
        <v>2306</v>
      </c>
      <c r="J13" s="29"/>
      <c r="K13" s="29"/>
      <c r="L13" s="29"/>
      <c r="Q13" s="18">
        <v>1303.52</v>
      </c>
    </row>
    <row r="14" spans="1:18">
      <c r="A14" s="5" t="s">
        <v>11</v>
      </c>
      <c r="B14" s="16">
        <v>25</v>
      </c>
      <c r="C14" s="22">
        <f>C15+C17+C18+C19+C20</f>
        <v>9625.359999999986</v>
      </c>
      <c r="D14" s="22">
        <f>D15+D17+D18+D19+D20</f>
        <v>9825</v>
      </c>
      <c r="F14" s="2" t="s">
        <v>37</v>
      </c>
      <c r="G14" s="13">
        <v>33</v>
      </c>
      <c r="H14" s="38">
        <f>52.9+71.9+37.9+91.4+93.9+85.9+73.49+54.23+44.9+37.9+33.9+49.9+418.5+174.24+0</f>
        <v>1320.9599999999998</v>
      </c>
      <c r="I14" s="38">
        <v>505</v>
      </c>
      <c r="J14" s="29"/>
      <c r="K14" s="29"/>
      <c r="L14" s="29"/>
      <c r="N14" t="s">
        <v>55</v>
      </c>
      <c r="P14" t="s">
        <v>46</v>
      </c>
      <c r="Q14" s="13">
        <v>2882</v>
      </c>
    </row>
    <row r="15" spans="1:18">
      <c r="A15" s="5" t="s">
        <v>12</v>
      </c>
      <c r="B15" s="16">
        <v>26</v>
      </c>
      <c r="C15" s="22">
        <f>C16</f>
        <v>5000</v>
      </c>
      <c r="D15" s="22">
        <f>D16</f>
        <v>5000</v>
      </c>
      <c r="F15" s="2" t="s">
        <v>38</v>
      </c>
      <c r="G15" s="13">
        <v>34</v>
      </c>
      <c r="H15" s="41">
        <f>-H12</f>
        <v>-3074.5999999999995</v>
      </c>
      <c r="I15" s="42">
        <f>-I12</f>
        <v>-2811</v>
      </c>
      <c r="J15" s="29"/>
      <c r="K15" s="29"/>
      <c r="L15" s="29"/>
      <c r="Q15" s="18">
        <v>1547.56</v>
      </c>
    </row>
    <row r="16" spans="1:18">
      <c r="A16" s="5" t="s">
        <v>13</v>
      </c>
      <c r="B16" s="16">
        <v>27</v>
      </c>
      <c r="C16" s="23">
        <v>5000</v>
      </c>
      <c r="D16" s="23">
        <v>5000</v>
      </c>
      <c r="F16" s="2" t="s">
        <v>39</v>
      </c>
      <c r="G16" s="13">
        <v>35</v>
      </c>
      <c r="H16" s="41">
        <f>H10+H15</f>
        <v>-199.64000000003671</v>
      </c>
      <c r="I16" s="41">
        <f>I10+I15</f>
        <v>-1409</v>
      </c>
      <c r="J16" s="29"/>
      <c r="K16" s="29"/>
      <c r="L16" s="29"/>
      <c r="M16">
        <f>209876.36+41223.1-192956.41</f>
        <v>58143.049999999988</v>
      </c>
      <c r="Q16" s="18">
        <v>2868.01</v>
      </c>
    </row>
    <row r="17" spans="1:18" ht="15.75" thickBot="1">
      <c r="A17" s="5" t="s">
        <v>14</v>
      </c>
      <c r="B17" s="16">
        <v>29</v>
      </c>
      <c r="C17" s="23">
        <v>29049</v>
      </c>
      <c r="D17" s="23">
        <f>27409+1640</f>
        <v>29049</v>
      </c>
      <c r="F17" s="2" t="s">
        <v>40</v>
      </c>
      <c r="G17" s="13">
        <v>36</v>
      </c>
      <c r="H17" s="38"/>
      <c r="I17" s="38">
        <v>960</v>
      </c>
      <c r="J17" s="29"/>
      <c r="K17" s="29"/>
      <c r="L17" s="29"/>
      <c r="Q17" s="18">
        <v>4496.41</v>
      </c>
    </row>
    <row r="18" spans="1:18" ht="15.75" thickBot="1">
      <c r="A18" s="5" t="s">
        <v>15</v>
      </c>
      <c r="B18" s="16">
        <v>30</v>
      </c>
      <c r="C18" s="23">
        <v>1846</v>
      </c>
      <c r="D18" s="23">
        <v>1846</v>
      </c>
      <c r="F18" s="3" t="s">
        <v>41</v>
      </c>
      <c r="G18" s="3">
        <v>38</v>
      </c>
      <c r="H18" s="45">
        <f>H16-H17</f>
        <v>-199.64000000003671</v>
      </c>
      <c r="I18" s="46">
        <f>I16-I17</f>
        <v>-2369</v>
      </c>
      <c r="J18" s="29"/>
      <c r="K18" s="29"/>
      <c r="L18" s="29"/>
      <c r="P18" t="s">
        <v>47</v>
      </c>
      <c r="Q18" s="13">
        <v>2120.4299999999998</v>
      </c>
    </row>
    <row r="19" spans="1:18" ht="15.75" thickBot="1">
      <c r="A19" s="5" t="s">
        <v>16</v>
      </c>
      <c r="B19" s="18">
        <v>32</v>
      </c>
      <c r="C19" s="23">
        <f>-2239-21462-2369</f>
        <v>-26070</v>
      </c>
      <c r="D19" s="23">
        <f>-2239-21462</f>
        <v>-23701</v>
      </c>
      <c r="I19" s="10"/>
      <c r="Q19" s="18">
        <v>1168.32</v>
      </c>
    </row>
    <row r="20" spans="1:18" ht="15.75" thickBot="1">
      <c r="A20" s="5" t="s">
        <v>17</v>
      </c>
      <c r="B20" s="16">
        <v>33</v>
      </c>
      <c r="C20" s="33">
        <f>C2-(C15+C17+C18+C19+C21)</f>
        <v>-199.64000000001397</v>
      </c>
      <c r="D20" s="33">
        <f>D2-(D15+D17+D18+D19+D21)</f>
        <v>-2369</v>
      </c>
      <c r="F20" s="8">
        <f>D20-I18</f>
        <v>0</v>
      </c>
      <c r="H20">
        <f>199.64-5010.02</f>
        <v>-4810.38</v>
      </c>
      <c r="Q20" s="13">
        <v>3679.5</v>
      </c>
    </row>
    <row r="21" spans="1:18">
      <c r="A21" s="5" t="s">
        <v>18</v>
      </c>
      <c r="B21" s="16">
        <v>34</v>
      </c>
      <c r="C21" s="22">
        <f>C22+C23+C28</f>
        <v>101837.78</v>
      </c>
      <c r="D21" s="22">
        <f>D22+D23+D28</f>
        <v>113353</v>
      </c>
      <c r="F21">
        <f>199.64-187.96</f>
        <v>11.679999999999978</v>
      </c>
      <c r="N21">
        <f>7317.1-606.22+574.33</f>
        <v>7285.21</v>
      </c>
      <c r="Q21" s="13">
        <v>6115.86</v>
      </c>
    </row>
    <row r="22" spans="1:18">
      <c r="A22" s="5" t="s">
        <v>19</v>
      </c>
      <c r="B22" s="16">
        <v>35</v>
      </c>
      <c r="C22" s="23">
        <v>0</v>
      </c>
      <c r="D22" s="23">
        <v>0</v>
      </c>
      <c r="M22">
        <f>667+221.25</f>
        <v>888.25</v>
      </c>
      <c r="N22">
        <f>(131.58+131.58+376.01+940.06+376.01+1316.09+282.01+282.01+93.99+93.99+23.41+75.16+446.5)+(10.26+10.26+29.31+73.28+29.31+102.6+21.98+21.98+7.32+7.32+1.83+5.86+34.81)-(10.89+10.89+31.13+77.83+31.13+108.96+23.35+23.35+7.78+7.78+1.94+6.22+36.97)</f>
        <v>4546.2999999999993</v>
      </c>
      <c r="Q22" s="14">
        <v>3163.66</v>
      </c>
      <c r="R22">
        <f>Q20+Q21+Q22</f>
        <v>12959.02</v>
      </c>
    </row>
    <row r="23" spans="1:18">
      <c r="A23" s="5" t="s">
        <v>20</v>
      </c>
      <c r="B23" s="16">
        <v>38</v>
      </c>
      <c r="C23" s="22">
        <f>C24+C25+C26+C27</f>
        <v>80513.78</v>
      </c>
      <c r="D23" s="22">
        <v>84025</v>
      </c>
      <c r="F23" t="s">
        <v>48</v>
      </c>
      <c r="I23" s="29">
        <f>(9*7.83)+8.04+7.71+7.78</f>
        <v>93.999999999999986</v>
      </c>
    </row>
    <row r="24" spans="1:18">
      <c r="A24" s="5" t="s">
        <v>21</v>
      </c>
      <c r="B24" s="16">
        <v>39</v>
      </c>
      <c r="C24" s="23">
        <f>60091+19560+86.19</f>
        <v>79737.19</v>
      </c>
      <c r="D24" s="23">
        <v>81577</v>
      </c>
      <c r="F24" t="s">
        <v>49</v>
      </c>
      <c r="I24">
        <f>800+250+200+250+250+100+150+600+500+200+300+200+200+500+200+200+200+300+600+300+200+300+300+200+100+150+200+200+400+200+150+200+500+250+250+800+200+300+500+350+100+300+200+450+600+200+300+150+200+200+200+500+400+8100+100+200+300+300+200+200+700+200+200+0</f>
        <v>26350</v>
      </c>
    </row>
    <row r="25" spans="1:18">
      <c r="A25" s="5" t="s">
        <v>22</v>
      </c>
      <c r="B25" s="18">
        <v>40</v>
      </c>
      <c r="C25" s="23">
        <f>661.8+11.99+34.27+34.27+25.7+8.56+0</f>
        <v>776.58999999999992</v>
      </c>
      <c r="D25" s="23">
        <v>978</v>
      </c>
      <c r="F25" t="s">
        <v>50</v>
      </c>
      <c r="I25">
        <f>7317.1</f>
        <v>7317.1</v>
      </c>
    </row>
    <row r="26" spans="1:18">
      <c r="A26" s="5" t="s">
        <v>23</v>
      </c>
      <c r="B26" s="18">
        <v>41</v>
      </c>
      <c r="C26" s="23"/>
      <c r="D26" s="23">
        <v>1028</v>
      </c>
      <c r="F26" s="9" t="s">
        <v>51</v>
      </c>
      <c r="I26">
        <f>I24-I25</f>
        <v>19032.900000000001</v>
      </c>
      <c r="M26" t="str">
        <f>F24</f>
        <v>Výbery z BÚ</v>
      </c>
    </row>
    <row r="27" spans="1:18">
      <c r="A27" s="5" t="s">
        <v>24</v>
      </c>
      <c r="B27" s="18">
        <v>42</v>
      </c>
      <c r="C27" s="23"/>
      <c r="D27" s="23">
        <f>(4*87)+94</f>
        <v>442</v>
      </c>
      <c r="F27" t="s">
        <v>52</v>
      </c>
      <c r="I27">
        <f>2000+1300</f>
        <v>3300</v>
      </c>
    </row>
    <row r="28" spans="1:18">
      <c r="A28" s="7" t="s">
        <v>25</v>
      </c>
      <c r="B28" s="28">
        <v>44</v>
      </c>
      <c r="C28" s="25">
        <v>21324</v>
      </c>
      <c r="D28" s="25">
        <v>29328</v>
      </c>
      <c r="F28" t="s">
        <v>51</v>
      </c>
      <c r="I28">
        <f>I26-I27</f>
        <v>15732.900000000001</v>
      </c>
    </row>
    <row r="29" spans="1:18">
      <c r="F29" s="8"/>
    </row>
    <row r="31" spans="1:18">
      <c r="F31">
        <f>199.64-6.23</f>
        <v>193.41</v>
      </c>
    </row>
  </sheetData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2019-07-01T10:31:02Z</cp:lastPrinted>
  <dcterms:created xsi:type="dcterms:W3CDTF">2017-08-18T16:36:28Z</dcterms:created>
  <dcterms:modified xsi:type="dcterms:W3CDTF">2019-07-01T10:31:42Z</dcterms:modified>
</cp:coreProperties>
</file>