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DS\Poznámky\Přílohy pro FS\"/>
    </mc:Choice>
  </mc:AlternateContent>
  <xr:revisionPtr revIDLastSave="0" documentId="13_ncr:1_{DB9E1DC6-8553-416E-8B72-C38A60CEF22B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41" i="13"/>
  <c r="D39" i="13"/>
  <c r="D38" i="13"/>
  <c r="D37" i="13"/>
  <c r="D34" i="13"/>
  <c r="D33" i="13"/>
  <c r="D31" i="13"/>
  <c r="D30" i="13"/>
  <c r="D23" i="13"/>
  <c r="D22" i="13"/>
  <c r="D29" i="13"/>
  <c r="D28" i="13"/>
  <c r="D26" i="13"/>
  <c r="D25" i="13"/>
  <c r="D36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21D94B2D-3C00-47ED-B3DF-46DB5C5686CC}">
      <text>
        <r>
          <rPr>
            <sz val="9"/>
            <color indexed="81"/>
            <rFont val="Tahoma"/>
            <charset val="1"/>
          </rPr>
          <t>select anl_cat.ANL_CODE,
balance_1 = sum(case when ldg.PERIOD &lt;=2018012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DDF_C_SALFLDG ldg
join DDF_ACNT acnt on acnt.ACNT_CODE = ldg.ACCNT_CODE and acnt.ACNT_TYPE in (0,1,2,3,4)
left join DDF_ACNT_ANL_CAT anl_cat on ldg.ACCNT_CODE = anl_cat.ACNT_CODE and anl_cat.ANL_CAT_ID = '42'
left join DDF_ANL_CODE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<sst xmlns="http://schemas.openxmlformats.org/spreadsheetml/2006/main" count="1111" uniqueCount="813">
  <si>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</si>
  <si>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</si>
  <si>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</si>
  <si>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</si>
  <si>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</si>
  <si>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</si>
  <si>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</si>
  <si>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</si>
  <si>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</si>
  <si>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</si>
  <si>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</si>
  <si>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</si>
  <si>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</si>
  <si>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</si>
  <si>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</si>
  <si>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</si>
  <si>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</si>
  <si>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</si>
  <si>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</si>
  <si>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</si>
  <si>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</si>
  <si>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</si>
  <si>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</si>
  <si>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</si>
  <si>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</si>
  <si>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</si>
  <si>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</si>
  <si>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</si>
  <si>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</si>
  <si>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</si>
  <si>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</si>
  <si>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</si>
  <si>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</si>
  <si>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</si>
  <si>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</si>
  <si>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</si>
  <si>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</si>
  <si>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</si>
  <si>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</si>
  <si>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</si>
  <si>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</si>
  <si>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</si>
  <si>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</si>
  <si>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</si>
  <si>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</si>
  <si>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</si>
  <si>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</si>
  <si>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</si>
  <si>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</si>
  <si>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</si>
  <si>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</si>
  <si>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</si>
  <si>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</si>
  <si>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</si>
  <si>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</si>
  <si>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</si>
  <si>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</si>
  <si>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</si>
  <si>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</si>
  <si>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</si>
  <si>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</si>
  <si>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</si>
  <si>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</si>
  <si>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</si>
  <si>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</si>
  <si>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</si>
  <si>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</si>
  <si>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</si>
  <si>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</si>
  <si>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</si>
  <si>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</si>
  <si>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</si>
  <si>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</si>
  <si>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</si>
  <si>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</si>
  <si>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</si>
  <si>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</si>
  <si>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</si>
  <si>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</si>
  <si>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</si>
  <si>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</si>
  <si>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</si>
  <si>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</si>
  <si>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</si>
  <si>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</si>
  <si>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</si>
  <si>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</si>
  <si>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</si>
  <si>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</si>
  <si>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</si>
  <si>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</si>
  <si>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</si>
  <si>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</si>
  <si>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</si>
  <si>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</si>
  <si>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</si>
  <si>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</si>
  <si>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</si>
  <si>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</si>
  <si>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</si>
  <si>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</si>
  <si>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</si>
  <si>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</si>
  <si>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</si>
  <si>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</si>
  <si>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</si>
  <si>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</si>
  <si>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</si>
  <si>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</si>
  <si>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</si>
  <si>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</si>
  <si>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</si>
  <si>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</si>
  <si>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</si>
  <si>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</si>
  <si>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</si>
  <si>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</si>
  <si>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</si>
  <si>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</si>
  <si>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</si>
  <si>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</si>
  <si>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</si>
  <si>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</si>
  <si>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</si>
  <si>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</si>
  <si>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</si>
  <si>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</si>
  <si>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</si>
  <si>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</si>
  <si>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</si>
  <si>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</si>
  <si>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</si>
  <si>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</si>
  <si>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</si>
  <si>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</si>
  <si>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</si>
  <si>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</si>
  <si>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</si>
  <si>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</si>
  <si>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</si>
  <si>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</si>
  <si>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</si>
  <si>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</si>
  <si>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</si>
  <si>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</si>
  <si>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</si>
  <si>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</si>
  <si>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</si>
  <si>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</si>
  <si>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</si>
  <si>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</si>
  <si>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</si>
  <si>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</si>
  <si>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</si>
  <si>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</si>
  <si>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</si>
  <si>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</si>
  <si>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</si>
  <si>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</si>
  <si>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</si>
  <si>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</si>
  <si>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</si>
  <si>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</si>
  <si>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</si>
  <si>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</si>
  <si>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</si>
  <si>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</si>
  <si>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</si>
  <si>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</si>
  <si>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</si>
  <si>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</si>
  <si>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</si>
  <si>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</si>
  <si>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</si>
  <si>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</si>
  <si>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</si>
  <si>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</si>
  <si>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</si>
  <si>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</si>
  <si>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</si>
  <si>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</si>
  <si>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</si>
  <si>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</si>
  <si>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</si>
  <si>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</si>
  <si>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</si>
  <si>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</si>
  <si>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</si>
  <si>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</si>
  <si>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</si>
  <si>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</si>
  <si>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</si>
  <si>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</si>
  <si>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</si>
  <si>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</si>
  <si>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</si>
  <si>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</si>
  <si>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</si>
  <si>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</si>
  <si>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</si>
  <si>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</si>
  <si>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</si>
  <si>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</si>
  <si>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</si>
  <si>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</si>
  <si>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</si>
  <si>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</si>
  <si>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</si>
  <si>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</si>
  <si>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</si>
  <si>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</si>
  <si>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</si>
  <si>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</si>
  <si>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</si>
  <si>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</si>
  <si>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</si>
  <si>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</si>
  <si>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</si>
  <si>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</si>
  <si>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</si>
  <si>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</si>
  <si>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</si>
  <si>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</si>
  <si>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</si>
  <si>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</si>
  <si>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</si>
  <si>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</si>
  <si>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</si>
  <si>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</si>
  <si>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</si>
  <si>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</si>
  <si>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</si>
  <si>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</si>
  <si>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</si>
  <si>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</si>
  <si>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</si>
  <si>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</si>
  <si>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</si>
  <si>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</si>
  <si>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</si>
  <si>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</si>
  <si>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</si>
  <si>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</si>
  <si>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</si>
  <si>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</si>
  <si>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</si>
  <si>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</si>
  <si>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</si>
  <si>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</si>
  <si>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</si>
  <si>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</si>
  <si>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</si>
  <si>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</si>
  <si>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</si>
  <si>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</si>
  <si>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</si>
  <si>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</si>
  <si>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</si>
  <si>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</si>
  <si>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</si>
  <si>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</si>
  <si>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</si>
  <si>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</si>
  <si>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</si>
  <si>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</si>
  <si>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</si>
  <si>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</si>
  <si>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</si>
  <si>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</si>
  <si>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</si>
  <si>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</si>
  <si>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</si>
  <si>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</si>
  <si>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</si>
  <si>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</si>
  <si>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</si>
  <si>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</si>
  <si>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</si>
  <si>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</si>
  <si>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</si>
  <si>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</si>
  <si>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</si>
  <si>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</si>
  <si>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</si>
  <si>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</si>
  <si>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</si>
  <si>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</si>
  <si>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</si>
  <si>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</si>
  <si>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</si>
  <si>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</si>
  <si>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</si>
  <si>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</si>
  <si>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</si>
  <si>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</si>
  <si>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</si>
  <si>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</si>
  <si>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</si>
  <si>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</si>
  <si>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</si>
  <si>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</si>
  <si>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</si>
  <si>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</si>
  <si>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</si>
  <si>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</si>
  <si>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</si>
  <si>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</si>
  <si>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</si>
  <si>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</si>
  <si>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</si>
  <si>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</si>
  <si>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</si>
  <si>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</si>
  <si>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</si>
  <si>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</si>
  <si>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</si>
  <si>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</si>
  <si>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</si>
  <si>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</si>
  <si>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</si>
  <si>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</si>
  <si>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</si>
  <si>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</si>
  <si>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</si>
  <si>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</si>
  <si>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</si>
  <si>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</si>
  <si>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</si>
  <si>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</si>
  <si>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</si>
  <si>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</si>
  <si>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</si>
  <si>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</si>
  <si>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</si>
  <si>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</si>
  <si>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</si>
  <si>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</si>
  <si>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</si>
  <si>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</si>
  <si>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</si>
  <si>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</si>
  <si>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</si>
  <si>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</si>
  <si>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</si>
  <si>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</si>
  <si>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</si>
  <si>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</si>
  <si>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</si>
  <si>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</si>
  <si>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</si>
  <si>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</si>
  <si>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</si>
  <si>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</si>
  <si>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</si>
  <si>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</si>
  <si>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</si>
  <si>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</si>
  <si>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</si>
  <si>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</si>
  <si>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</si>
  <si>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</si>
  <si>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</si>
  <si>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</si>
  <si>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</si>
  <si>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</si>
  <si>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</si>
  <si>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</si>
  <si>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</si>
  <si>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</si>
  <si>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</si>
  <si>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</si>
  <si>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</si>
  <si>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</si>
  <si>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</si>
  <si>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</si>
  <si>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</si>
  <si>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</si>
  <si>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</si>
  <si>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</si>
  <si>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</si>
  <si>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</si>
  <si>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</si>
  <si>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</si>
  <si>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</si>
  <si>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</si>
  <si>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</si>
  <si>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</si>
  <si>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</si>
  <si>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</si>
  <si>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</si>
  <si>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</si>
  <si>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</si>
  <si>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</si>
  <si>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</si>
  <si>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</si>
  <si>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</si>
  <si>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</si>
  <si>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</si>
  <si>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</si>
  <si>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</si>
  <si>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</si>
  <si>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</si>
  <si>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</si>
  <si>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</si>
  <si>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</si>
  <si>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</si>
  <si>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</si>
  <si>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</si>
  <si>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</si>
  <si>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</si>
  <si>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</si>
  <si>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</si>
  <si>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</si>
  <si>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</si>
  <si>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</si>
  <si>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</si>
  <si>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</si>
  <si>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</si>
  <si>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</si>
  <si>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</si>
  <si>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</si>
  <si>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</si>
  <si>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</si>
  <si>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</si>
  <si>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</si>
  <si>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</si>
  <si>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</si>
  <si>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</si>
  <si>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</si>
  <si>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</si>
  <si>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</si>
  <si>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</si>
  <si>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</si>
  <si>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</si>
  <si>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</si>
  <si>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</si>
  <si>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</si>
  <si>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</si>
  <si>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</si>
  <si>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</si>
  <si>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</si>
  <si>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</si>
  <si>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</si>
  <si>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</si>
  <si>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</si>
  <si>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</si>
  <si>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</si>
  <si>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</si>
  <si>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</si>
  <si>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</si>
  <si>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</si>
  <si>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</si>
  <si>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</si>
  <si>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</si>
  <si>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</si>
  <si>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</si>
  <si>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</si>
  <si>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</si>
  <si>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</si>
  <si>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</si>
  <si>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</si>
  <si>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212002</t>
  </si>
  <si>
    <t>Hodnoty na ceste - termínový vklad</t>
  </si>
  <si>
    <t>241011</t>
  </si>
  <si>
    <t>Pohľadávky z predaja CP - EUR</t>
  </si>
  <si>
    <t>241021</t>
  </si>
  <si>
    <t>Pohľadávky z výnosov z CP - EUR</t>
  </si>
  <si>
    <t>242011</t>
  </si>
  <si>
    <t>Záväzky z nákupu CP - EUR</t>
  </si>
  <si>
    <t>251004</t>
  </si>
  <si>
    <t>Nespárované platby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</si>
  <si>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</si>
  <si>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</si>
  <si>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</si>
  <si>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</si>
  <si>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</si>
  <si>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</si>
  <si>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255004</t>
  </si>
  <si>
    <t>Nespracované debetné obraty</t>
  </si>
  <si>
    <t>255005</t>
  </si>
  <si>
    <t>Iné ostatné pohľadávky</t>
  </si>
  <si>
    <t>256001</t>
  </si>
  <si>
    <t>256005</t>
  </si>
  <si>
    <t>Záväzky z vratiek príspevkov</t>
  </si>
  <si>
    <t>256006</t>
  </si>
  <si>
    <t>Záväzky - ostatné</t>
  </si>
  <si>
    <t>344011</t>
  </si>
  <si>
    <t>Štátne dlhopisy - OC</t>
  </si>
  <si>
    <t>344012</t>
  </si>
  <si>
    <t>Štátne dlhopisy - diskont/prémia</t>
  </si>
  <si>
    <t>344013</t>
  </si>
  <si>
    <t>Štátne dlhopisy - AÚV</t>
  </si>
  <si>
    <t>344014</t>
  </si>
  <si>
    <t>Štátne dlhopisy - precenenie</t>
  </si>
  <si>
    <t>344021</t>
  </si>
  <si>
    <t>Bankové, korporátne dlhopisy - OC</t>
  </si>
  <si>
    <t>344022</t>
  </si>
  <si>
    <t>Bankové, korporátne dlhopisy - diskont/prémia</t>
  </si>
  <si>
    <t>344023</t>
  </si>
  <si>
    <t>Bankové, korporátne dlhopisy - AÚV</t>
  </si>
  <si>
    <t>344024</t>
  </si>
  <si>
    <t>Bankové, korporátne dlhopisy - precenenie</t>
  </si>
  <si>
    <t>344031</t>
  </si>
  <si>
    <t>Hypotékarné záložné listy - OC</t>
  </si>
  <si>
    <t>344032</t>
  </si>
  <si>
    <t>Hypotékarné záložné listy - diskont/prémia</t>
  </si>
  <si>
    <t>344033</t>
  </si>
  <si>
    <t>Hypotékarné záložné listy - AÚV</t>
  </si>
  <si>
    <t>344034</t>
  </si>
  <si>
    <t>Hypotékarné záložné listy - precenenie</t>
  </si>
  <si>
    <t>511001</t>
  </si>
  <si>
    <t>Dôchodkové jednotky v dôchodkovom fonde</t>
  </si>
  <si>
    <t>523001</t>
  </si>
  <si>
    <t>Účet ziskov a strát</t>
  </si>
  <si>
    <t>611012</t>
  </si>
  <si>
    <t>Úrokové výnosy zo štátnych dlhopisov</t>
  </si>
  <si>
    <t>611013</t>
  </si>
  <si>
    <t>Úrokové výnosy z bankových, korporátnych dlhopisov</t>
  </si>
  <si>
    <t>611014</t>
  </si>
  <si>
    <t>Úrokové výnosy z HZL</t>
  </si>
  <si>
    <t>611021</t>
  </si>
  <si>
    <t>Úrokové výnosy z bežných účtov</t>
  </si>
  <si>
    <t>621022</t>
  </si>
  <si>
    <t>Zisk z precenenia štátnych dlhopisov</t>
  </si>
  <si>
    <t>621023</t>
  </si>
  <si>
    <t>Zisk z precenenia bankových, korporátnych dlhopiso</t>
  </si>
  <si>
    <t>621024</t>
  </si>
  <si>
    <t>Zisk z precenenia HZL</t>
  </si>
  <si>
    <t>721014</t>
  </si>
  <si>
    <t>Strata z predaja HZL</t>
  </si>
  <si>
    <t>721022</t>
  </si>
  <si>
    <t>Strata z precenenia štátnych dlhopisov</t>
  </si>
  <si>
    <t>721023</t>
  </si>
  <si>
    <t>Strata z precenenia bankových, korporátnych dlhopi</t>
  </si>
  <si>
    <t>721024</t>
  </si>
  <si>
    <t>Strata z precenenia HZL</t>
  </si>
  <si>
    <t>731001</t>
  </si>
  <si>
    <t>Náklady na transakcie s CP platené depozitárovi</t>
  </si>
  <si>
    <t>743001</t>
  </si>
  <si>
    <t>Poplatky depozitárovi za činnosť depozitára</t>
  </si>
  <si>
    <t>744001</t>
  </si>
  <si>
    <t>Bankové poplatky</t>
  </si>
  <si>
    <t>744004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</si>
  <si>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</si>
  <si>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</si>
  <si>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</si>
  <si>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</si>
  <si>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</si>
  <si>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</si>
  <si>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</si>
  <si>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</si>
  <si>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</si>
  <si>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</si>
  <si>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</si>
  <si>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</si>
  <si>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</si>
  <si>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</si>
  <si>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</si>
  <si>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</si>
  <si>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</si>
  <si>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</si>
  <si>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</si>
  <si>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</si>
  <si>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</si>
  <si>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</si>
  <si>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</si>
  <si>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</si>
  <si>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</si>
  <si>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</si>
  <si>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</si>
  <si>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</si>
  <si>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</si>
  <si>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</si>
  <si>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</si>
  <si>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</si>
  <si>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</si>
  <si>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</si>
  <si>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</si>
  <si>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</si>
  <si>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</si>
  <si>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</si>
  <si>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</si>
  <si>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</si>
  <si>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</si>
  <si>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</si>
  <si>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</si>
  <si>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</si>
  <si>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</si>
  <si>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</si>
  <si>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</si>
  <si>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</si>
  <si>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</si>
  <si>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</si>
  <si>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</si>
  <si>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</si>
  <si>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</si>
  <si>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</si>
  <si>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</si>
  <si>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</si>
  <si>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</si>
  <si>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</si>
  <si>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</si>
  <si>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</si>
  <si>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</si>
  <si>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</si>
  <si>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</si>
  <si>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</si>
  <si>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</si>
  <si>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</si>
  <si>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</si>
  <si>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</si>
  <si>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</si>
  <si>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</si>
  <si>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</si>
  <si>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</si>
  <si>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</si>
  <si>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</si>
  <si>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</si>
  <si>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</si>
  <si>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</si>
  <si>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</si>
  <si>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</si>
  <si>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</si>
  <si>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</si>
  <si>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</si>
  <si>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</si>
  <si>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</si>
  <si>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</si>
  <si>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</si>
  <si>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</si>
  <si>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</si>
  <si>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</si>
  <si>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</si>
  <si>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</si>
  <si>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</si>
  <si>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</si>
  <si>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</si>
  <si>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</si>
  <si>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</si>
  <si>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</si>
  <si>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</si>
  <si>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</si>
  <si>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</si>
  <si>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</si>
  <si>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</si>
  <si>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</si>
  <si>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</si>
  <si>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</si>
  <si>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</si>
  <si>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</si>
  <si>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</si>
  <si>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</si>
  <si>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</si>
  <si>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</si>
  <si>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</si>
  <si>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</si>
  <si>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</si>
  <si>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</si>
  <si>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</si>
  <si>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</si>
  <si>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</si>
  <si>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</si>
  <si>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</si>
  <si>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</si>
  <si>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</si>
  <si>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</si>
  <si>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</si>
  <si>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</si>
  <si>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</si>
  <si>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</si>
  <si>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</si>
  <si>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</si>
  <si>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</si>
  <si>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</si>
  <si>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</si>
  <si>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</si>
  <si>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</si>
  <si>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</si>
  <si>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</si>
  <si>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</si>
  <si>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</si>
  <si>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</si>
  <si>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</si>
  <si>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</si>
  <si>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</si>
  <si>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</si>
  <si>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</si>
  <si>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</si>
  <si>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</si>
  <si>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</si>
  <si>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</si>
  <si>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</si>
  <si>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</si>
  <si>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</si>
  <si>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</si>
  <si>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</si>
  <si>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</si>
  <si>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</si>
  <si>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</si>
  <si>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</si>
  <si>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</si>
  <si>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</si>
  <si>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</si>
  <si>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</si>
  <si>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</si>
  <si>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</si>
  <si>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</si>
  <si>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</si>
  <si>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</si>
  <si>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</si>
  <si>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</si>
  <si>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</si>
  <si>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</si>
  <si>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</si>
  <si>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</si>
  <si>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</si>
  <si>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</si>
  <si>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</si>
  <si>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</si>
  <si>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</si>
  <si>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</si>
  <si>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</si>
  <si>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</si>
  <si>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</si>
  <si>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</si>
  <si>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</si>
  <si>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</si>
  <si>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</si>
  <si>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</si>
  <si>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</si>
  <si>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</si>
  <si>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</si>
  <si>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</si>
  <si>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</si>
  <si>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</si>
  <si>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</si>
  <si>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</si>
  <si>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</si>
  <si>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</si>
  <si>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</si>
  <si>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Dlhopisy oceňované reálnou hodnotou s kupónmi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</si>
  <si>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</si>
  <si>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</si>
  <si>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</si>
  <si>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</si>
  <si>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</si>
  <si>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</si>
  <si>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</si>
  <si>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</si>
  <si>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</si>
  <si>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</si>
  <si>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</si>
  <si>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</si>
  <si>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</si>
  <si>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</si>
  <si>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</si>
  <si>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</si>
  <si>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</si>
  <si>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</si>
  <si>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</si>
  <si>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</si>
  <si>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</si>
  <si>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</si>
  <si>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</si>
  <si>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</si>
  <si>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</si>
  <si>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</si>
  <si>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</si>
  <si>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</si>
  <si>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</si>
  <si>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</si>
  <si>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</si>
  <si>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</si>
  <si>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522001</t>
  </si>
  <si>
    <t>Konečný účet súvahový</t>
  </si>
  <si>
    <t>251001</t>
  </si>
  <si>
    <t>Záväzky voči sporiteľom - výplaty dávok</t>
  </si>
  <si>
    <t>251002</t>
  </si>
  <si>
    <t>Záväzky voči sporiteľom - výplaty opätovných dávok</t>
  </si>
  <si>
    <t>251006</t>
  </si>
  <si>
    <t>Storno príspevky</t>
  </si>
  <si>
    <t>256004</t>
  </si>
  <si>
    <t>Záväzky voči DÚ - daň z dávok</t>
  </si>
  <si>
    <t>744002</t>
  </si>
  <si>
    <t>Poštovné - VAKUP</t>
  </si>
  <si>
    <t>112015</t>
  </si>
  <si>
    <t>VUB - termínové vklady</t>
  </si>
  <si>
    <t>6110396</t>
  </si>
  <si>
    <t>Úrokové výnosy z termínových vkladov - VUB</t>
  </si>
  <si>
    <t>D</t>
  </si>
  <si>
    <t>Indexový globálny dôchodkový fond</t>
  </si>
  <si>
    <t>097900BHMW0000108486</t>
  </si>
  <si>
    <t>097900BHMW0000108583</t>
  </si>
  <si>
    <t>097900BJD40000191837</t>
  </si>
  <si>
    <t>112001</t>
  </si>
  <si>
    <t>ČSOB - termínové vklady</t>
  </si>
  <si>
    <t>112005</t>
  </si>
  <si>
    <t>SLSP - termínové vklady</t>
  </si>
  <si>
    <t>112016</t>
  </si>
  <si>
    <t>Tatrabanka - termínové vklady</t>
  </si>
  <si>
    <t>111016EUR</t>
  </si>
  <si>
    <t>Účet 1423282016/1111</t>
  </si>
  <si>
    <t>242021</t>
  </si>
  <si>
    <t>Ostatné záväzky z CP - SKK</t>
  </si>
  <si>
    <t>611031</t>
  </si>
  <si>
    <t>Úrokové výnosy z termínových vkladov - ČSOB</t>
  </si>
  <si>
    <t>611035</t>
  </si>
  <si>
    <t>Úrokové výnosy z termínových vkladov - SLSP</t>
  </si>
  <si>
    <t>6110397</t>
  </si>
  <si>
    <t>Úrokové výnosy z termínových vkladov - Tatrabanka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</si>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</sst>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6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152</v>
      </c>
      <c r="B1" t="s">
        <v>153</v>
      </c>
      <c r="C1" s="1" t="s">
        <v>13</v>
      </c>
      <c r="D1" t="s">
        <v>377</v>
      </c>
      <c r="E1" s="1" t="s">
        <v>378</v>
      </c>
    </row>
    <row r="2" spans="1:5" ht="409.5">
      <c r="A2" t="s">
        <v>441</v>
      </c>
      <c r="B2" t="s">
        <v>153</v>
      </c>
      <c r="C2" s="1" t="s">
        <v>12</v>
      </c>
      <c r="D2" t="s">
        <v>11</v>
      </c>
      <c r="E2" s="1" t="s">
        <v>10</v>
      </c>
    </row>
    <row r="3" spans="1:5" ht="409.5">
      <c r="A3" t="s">
        <v>0</v>
      </c>
      <c r="B3" t="s">
        <v>1</v>
      </c>
      <c r="C3" s="1" t="s">
        <v>2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748</v>
      </c>
      <c r="R4" t="s">
        <v>545</v>
      </c>
      <c r="U4" t="s">
        <v>549</v>
      </c>
      <c r="X4" t="s">
        <v>769</v>
      </c>
    </row>
    <row r="5" spans="2:24">
      <c r="C5" t="s">
        <v>442</v>
      </c>
      <c r="D5" t="s">
        <v>460</v>
      </c>
      <c r="E5" t="s">
        <v>755</v>
      </c>
      <c r="J5" t="s">
        <v>756</v>
      </c>
      <c r="N5" t="s">
        <v>756</v>
      </c>
      <c r="R5" t="s">
        <v>601</v>
      </c>
      <c r="U5">
        <v>2021892961</v>
      </c>
      <c r="X5">
        <v>35903821</v>
      </c>
    </row>
    <row r="6" spans="2:24">
      <c r="C6" t="s">
        <v>589</v>
      </c>
      <c r="D6" t="s">
        <v>460</v>
      </c>
      <c r="E6" t="s">
        <v>757</v>
      </c>
      <c r="J6" t="s">
        <v>756</v>
      </c>
      <c r="N6" t="s">
        <v>756</v>
      </c>
      <c r="R6" t="s">
        <v>770</v>
      </c>
      <c r="U6">
        <v>2021892961</v>
      </c>
      <c r="X6">
        <v>35903821</v>
      </c>
    </row>
    <row r="7" spans="2:24">
      <c r="C7" t="s">
        <v>746</v>
      </c>
      <c r="D7" t="s">
        <v>460</v>
      </c>
      <c r="E7" t="s">
        <v>758</v>
      </c>
      <c r="J7" t="s">
        <v>756</v>
      </c>
      <c r="N7" t="s">
        <v>756</v>
      </c>
      <c r="R7" t="s">
        <v>791</v>
      </c>
      <c r="U7">
        <v>2021892961</v>
      </c>
      <c r="X7">
        <v>35903821</v>
      </c>
    </row>
    <row r="8" spans="2:24">
      <c r="B8" t="s">
        <v>747</v>
      </c>
      <c r="C8" t="s">
        <v>589</v>
      </c>
      <c r="D8" t="s">
        <v>745</v>
      </c>
      <c r="E8" t="s">
        <v>751</v>
      </c>
      <c r="J8" t="s">
        <v>752</v>
      </c>
      <c r="N8" t="s">
        <v>759</v>
      </c>
      <c r="R8" t="s">
        <v>771</v>
      </c>
      <c r="U8">
        <v>2022137887</v>
      </c>
      <c r="X8">
        <v>35977540</v>
      </c>
    </row>
    <row r="9" spans="2:24">
      <c r="C9" t="s">
        <v>442</v>
      </c>
      <c r="D9" t="s">
        <v>745</v>
      </c>
      <c r="E9" t="s">
        <v>753</v>
      </c>
      <c r="J9" t="s">
        <v>754</v>
      </c>
      <c r="N9" t="s">
        <v>759</v>
      </c>
      <c r="R9" t="s">
        <v>772</v>
      </c>
      <c r="U9">
        <v>2022137887</v>
      </c>
      <c r="X9">
        <v>35977540</v>
      </c>
    </row>
    <row r="10" spans="2:24">
      <c r="C10" t="s">
        <v>746</v>
      </c>
      <c r="D10" t="s">
        <v>745</v>
      </c>
      <c r="E10" t="s">
        <v>749</v>
      </c>
      <c r="J10" t="s">
        <v>750</v>
      </c>
      <c r="N10" t="s">
        <v>759</v>
      </c>
      <c r="R10" t="s">
        <v>792</v>
      </c>
      <c r="U10">
        <v>2022137887</v>
      </c>
      <c r="X10">
        <v>35977540</v>
      </c>
    </row>
    <row r="11" spans="2:24">
      <c r="C11" t="s">
        <v>789</v>
      </c>
      <c r="D11" t="s">
        <v>745</v>
      </c>
      <c r="E11" t="s">
        <v>790</v>
      </c>
      <c r="J11" t="s">
        <v>750</v>
      </c>
      <c r="N11" t="s">
        <v>759</v>
      </c>
      <c r="R11" t="s">
        <v>793</v>
      </c>
      <c r="U11">
        <v>2022137887</v>
      </c>
      <c r="X11">
        <v>35977540</v>
      </c>
    </row>
    <row r="14" spans="2:24">
      <c r="C14" t="s">
        <v>760</v>
      </c>
    </row>
    <row r="16" spans="2:24">
      <c r="C16" t="s">
        <v>761</v>
      </c>
      <c r="G16" t="str">
        <f>IF((bu_code="DDF"),$N$8,Index!$N$5)</f>
        <v>AXA d.d.s., a.s.</v>
      </c>
    </row>
    <row r="18" spans="3:7">
      <c r="C18" t="s">
        <v>762</v>
      </c>
      <c r="E18" t="s">
        <v>763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Výplatný doplnkový dôchodkový fond</v>
      </c>
    </row>
    <row r="21" spans="3:7">
      <c r="E21" t="s">
        <v>764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d.d.s., a.s., výplatný d.d.f.</v>
      </c>
    </row>
    <row r="25" spans="3:7">
      <c r="C25" t="s">
        <v>545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097900BHMW0000108583</v>
      </c>
    </row>
    <row r="28" spans="3:7">
      <c r="C28" t="s">
        <v>549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2022137887</v>
      </c>
    </row>
    <row r="31" spans="3:7">
      <c r="C31" t="s">
        <v>769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35977540</v>
      </c>
    </row>
    <row r="35" spans="3:8">
      <c r="C35" t="s">
        <v>765</v>
      </c>
      <c r="G35" t="s">
        <v>767</v>
      </c>
      <c r="H35" t="s">
        <v>553</v>
      </c>
    </row>
    <row r="36" spans="3:8">
      <c r="D36" t="s">
        <v>557</v>
      </c>
      <c r="G36" s="147" t="s">
        <v>768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766</v>
      </c>
    </row>
    <row r="40" spans="3:8">
      <c r="G40" s="147" t="s">
        <v>768</v>
      </c>
      <c r="H40" t="str">
        <f>+LEFT(period_prior,4)</f>
        <v>2018</v>
      </c>
    </row>
    <row r="41" spans="3:8">
      <c r="G41" s="148" t="str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161</v>
      </c>
      <c r="B1" s="6" t="s">
        <v>162</v>
      </c>
      <c r="C1" s="6" t="s">
        <v>163</v>
      </c>
      <c r="E1" s="6" t="s">
        <v>161</v>
      </c>
      <c r="F1" s="6" t="s">
        <v>162</v>
      </c>
      <c r="G1" s="6" t="s">
        <v>163</v>
      </c>
      <c r="I1" s="6" t="s">
        <v>161</v>
      </c>
      <c r="J1" s="6" t="s">
        <v>162</v>
      </c>
      <c r="K1" s="6" t="s">
        <v>163</v>
      </c>
    </row>
    <row r="2" spans="1:11" ht="12.75" customHeight="1">
      <c r="A2" s="9">
        <v>1</v>
      </c>
      <c r="B2" s="8" t="s">
        <v>35</v>
      </c>
      <c r="C2" s="8" t="s">
        <v>312</v>
      </c>
      <c r="E2" s="9">
        <v>1</v>
      </c>
      <c r="F2" s="8" t="s">
        <v>332</v>
      </c>
      <c r="G2" s="8" t="s">
        <v>412</v>
      </c>
      <c r="I2" s="7">
        <v>1</v>
      </c>
      <c r="J2" s="7" t="s">
        <v>357</v>
      </c>
    </row>
    <row r="3" spans="1:11" ht="12.75" customHeight="1">
      <c r="A3" s="9">
        <v>2</v>
      </c>
      <c r="B3" s="8" t="s">
        <v>37</v>
      </c>
      <c r="C3" s="8" t="s">
        <v>164</v>
      </c>
      <c r="E3" s="9">
        <v>2</v>
      </c>
      <c r="F3" s="8" t="s">
        <v>112</v>
      </c>
      <c r="G3" s="8" t="s">
        <v>260</v>
      </c>
      <c r="I3" s="7">
        <v>2</v>
      </c>
      <c r="J3" s="7" t="s">
        <v>358</v>
      </c>
    </row>
    <row r="4" spans="1:11" ht="12.75" customHeight="1">
      <c r="A4" s="9">
        <v>3</v>
      </c>
      <c r="B4" s="8" t="s">
        <v>39</v>
      </c>
      <c r="C4" s="8" t="s">
        <v>165</v>
      </c>
      <c r="E4" s="9">
        <v>3</v>
      </c>
      <c r="F4" s="8" t="s">
        <v>113</v>
      </c>
      <c r="G4" s="8" t="s">
        <v>261</v>
      </c>
      <c r="I4" s="7">
        <v>3</v>
      </c>
      <c r="J4" s="7" t="s">
        <v>359</v>
      </c>
    </row>
    <row r="5" spans="1:11" ht="12.75" customHeight="1">
      <c r="A5" s="9">
        <v>4</v>
      </c>
      <c r="B5" s="8" t="s">
        <v>387</v>
      </c>
      <c r="C5" s="8" t="s">
        <v>313</v>
      </c>
      <c r="E5" s="9">
        <v>4</v>
      </c>
      <c r="F5" s="8" t="s">
        <v>114</v>
      </c>
      <c r="G5" s="8" t="s">
        <v>262</v>
      </c>
      <c r="I5" s="7">
        <v>4</v>
      </c>
      <c r="J5" s="7" t="s">
        <v>360</v>
      </c>
    </row>
    <row r="6" spans="1:11" ht="12.75" customHeight="1">
      <c r="A6" s="9">
        <v>5</v>
      </c>
      <c r="B6" s="8" t="s">
        <v>166</v>
      </c>
      <c r="C6" s="8" t="s">
        <v>167</v>
      </c>
      <c r="E6" s="9">
        <v>5</v>
      </c>
      <c r="F6" s="8" t="s">
        <v>333</v>
      </c>
      <c r="G6" s="8" t="s">
        <v>413</v>
      </c>
      <c r="I6" s="7">
        <v>5</v>
      </c>
      <c r="J6" s="7" t="s">
        <v>361</v>
      </c>
    </row>
    <row r="7" spans="1:11" ht="12.75" customHeight="1">
      <c r="A7" s="9">
        <v>6</v>
      </c>
      <c r="B7" s="8" t="s">
        <v>168</v>
      </c>
      <c r="C7" s="8" t="s">
        <v>169</v>
      </c>
      <c r="E7" s="9">
        <v>6</v>
      </c>
      <c r="F7" s="8" t="s">
        <v>115</v>
      </c>
      <c r="G7" s="8" t="s">
        <v>263</v>
      </c>
      <c r="I7" s="7">
        <v>6</v>
      </c>
      <c r="J7" s="7" t="s">
        <v>362</v>
      </c>
    </row>
    <row r="8" spans="1:11" ht="12.75" customHeight="1">
      <c r="A8" s="9">
        <v>7</v>
      </c>
      <c r="B8" s="8" t="s">
        <v>41</v>
      </c>
      <c r="C8" s="8" t="s">
        <v>314</v>
      </c>
      <c r="E8" s="9">
        <v>7</v>
      </c>
      <c r="F8" s="8" t="s">
        <v>264</v>
      </c>
      <c r="G8" s="8" t="s">
        <v>265</v>
      </c>
      <c r="I8" s="7">
        <v>7</v>
      </c>
      <c r="J8" s="7" t="s">
        <v>363</v>
      </c>
    </row>
    <row r="9" spans="1:11" ht="12.75" customHeight="1">
      <c r="A9" s="9">
        <v>8</v>
      </c>
      <c r="B9" s="8" t="s">
        <v>42</v>
      </c>
      <c r="C9" s="8" t="s">
        <v>170</v>
      </c>
      <c r="E9" s="9">
        <v>8</v>
      </c>
      <c r="F9" s="8" t="s">
        <v>116</v>
      </c>
      <c r="G9" s="8" t="s">
        <v>266</v>
      </c>
      <c r="I9" s="7">
        <v>8</v>
      </c>
      <c r="J9" s="7" t="s">
        <v>354</v>
      </c>
    </row>
    <row r="10" spans="1:11" ht="12.75" customHeight="1">
      <c r="A10" s="9">
        <v>9</v>
      </c>
      <c r="B10" s="8" t="s">
        <v>171</v>
      </c>
      <c r="C10" s="8" t="s">
        <v>172</v>
      </c>
      <c r="E10" s="9">
        <v>9</v>
      </c>
      <c r="F10" s="8" t="s">
        <v>334</v>
      </c>
      <c r="G10" s="8" t="s">
        <v>414</v>
      </c>
      <c r="I10" s="7">
        <v>9</v>
      </c>
      <c r="J10" s="7" t="s">
        <v>355</v>
      </c>
    </row>
    <row r="11" spans="1:11" ht="12.75" customHeight="1">
      <c r="A11" s="9">
        <v>10</v>
      </c>
      <c r="B11" s="8" t="s">
        <v>173</v>
      </c>
      <c r="C11" s="8" t="s">
        <v>174</v>
      </c>
      <c r="E11" s="9">
        <v>10</v>
      </c>
      <c r="F11" s="8" t="s">
        <v>117</v>
      </c>
      <c r="G11" s="8" t="s">
        <v>267</v>
      </c>
      <c r="I11" s="7">
        <v>10</v>
      </c>
      <c r="J11" s="7" t="s">
        <v>364</v>
      </c>
    </row>
    <row r="12" spans="1:11" ht="12.75" customHeight="1">
      <c r="A12" s="9">
        <v>11</v>
      </c>
      <c r="B12" s="8" t="s">
        <v>43</v>
      </c>
      <c r="C12" s="8" t="s">
        <v>175</v>
      </c>
      <c r="E12" s="9">
        <v>11</v>
      </c>
      <c r="F12" s="8" t="s">
        <v>118</v>
      </c>
      <c r="G12" s="8" t="s">
        <v>268</v>
      </c>
      <c r="I12" s="7">
        <v>11</v>
      </c>
      <c r="J12" s="7" t="s">
        <v>365</v>
      </c>
    </row>
    <row r="13" spans="1:11" ht="12.75" customHeight="1">
      <c r="A13" s="9">
        <v>12</v>
      </c>
      <c r="B13" s="8" t="s">
        <v>176</v>
      </c>
      <c r="C13" s="8" t="s">
        <v>177</v>
      </c>
      <c r="E13" s="9">
        <v>12</v>
      </c>
      <c r="F13" s="8" t="s">
        <v>119</v>
      </c>
      <c r="G13" s="8" t="s">
        <v>269</v>
      </c>
      <c r="I13" s="7">
        <v>12</v>
      </c>
      <c r="J13" s="7" t="s">
        <v>366</v>
      </c>
    </row>
    <row r="14" spans="1:11" ht="12.75" customHeight="1">
      <c r="A14" s="9">
        <v>13</v>
      </c>
      <c r="B14" s="8" t="s">
        <v>388</v>
      </c>
      <c r="C14" s="8" t="s">
        <v>315</v>
      </c>
      <c r="E14" s="9">
        <v>13</v>
      </c>
      <c r="F14" s="8" t="s">
        <v>335</v>
      </c>
      <c r="G14" s="8" t="s">
        <v>415</v>
      </c>
      <c r="I14" s="7">
        <v>13</v>
      </c>
      <c r="J14" s="7" t="s">
        <v>367</v>
      </c>
    </row>
    <row r="15" spans="1:11" ht="12.75" customHeight="1">
      <c r="A15" s="9">
        <v>14</v>
      </c>
      <c r="B15" s="8" t="s">
        <v>42</v>
      </c>
      <c r="C15" s="8" t="s">
        <v>170</v>
      </c>
      <c r="E15" s="9">
        <v>14</v>
      </c>
      <c r="F15" s="8" t="s">
        <v>336</v>
      </c>
      <c r="G15" s="8" t="s">
        <v>416</v>
      </c>
      <c r="I15" s="7">
        <v>14</v>
      </c>
      <c r="J15" s="7" t="s">
        <v>368</v>
      </c>
    </row>
    <row r="16" spans="1:11" ht="12.75" customHeight="1">
      <c r="A16" s="9">
        <v>15</v>
      </c>
      <c r="B16" s="8" t="s">
        <v>43</v>
      </c>
      <c r="C16" s="8" t="s">
        <v>175</v>
      </c>
      <c r="E16" s="9">
        <v>15</v>
      </c>
      <c r="F16" s="8" t="s">
        <v>120</v>
      </c>
      <c r="G16" s="8" t="s">
        <v>270</v>
      </c>
      <c r="I16" s="7">
        <v>15</v>
      </c>
      <c r="J16" s="7" t="s">
        <v>369</v>
      </c>
    </row>
    <row r="17" spans="1:10" ht="12.75" customHeight="1">
      <c r="A17" s="9">
        <v>16</v>
      </c>
      <c r="B17" s="8" t="s">
        <v>44</v>
      </c>
      <c r="C17" s="8" t="s">
        <v>316</v>
      </c>
      <c r="E17" s="9">
        <v>16</v>
      </c>
      <c r="F17" s="8" t="s">
        <v>121</v>
      </c>
      <c r="G17" s="8" t="s">
        <v>271</v>
      </c>
      <c r="I17" s="7">
        <v>16</v>
      </c>
      <c r="J17" s="7" t="s">
        <v>370</v>
      </c>
    </row>
    <row r="18" spans="1:10" ht="12.75" customHeight="1">
      <c r="A18" s="9">
        <v>17</v>
      </c>
      <c r="B18" s="8" t="s">
        <v>40</v>
      </c>
      <c r="C18" s="8" t="s">
        <v>178</v>
      </c>
      <c r="E18" s="9">
        <v>17</v>
      </c>
      <c r="F18" s="8" t="s">
        <v>122</v>
      </c>
      <c r="G18" s="8" t="s">
        <v>272</v>
      </c>
      <c r="I18" s="7">
        <v>17</v>
      </c>
      <c r="J18" s="7" t="s">
        <v>371</v>
      </c>
    </row>
    <row r="19" spans="1:10" ht="12.75" customHeight="1">
      <c r="A19" s="9">
        <v>18</v>
      </c>
      <c r="B19" s="8" t="s">
        <v>46</v>
      </c>
      <c r="C19" s="8" t="s">
        <v>180</v>
      </c>
      <c r="E19" s="9">
        <v>18</v>
      </c>
      <c r="F19" s="8" t="s">
        <v>123</v>
      </c>
      <c r="G19" s="8" t="s">
        <v>273</v>
      </c>
      <c r="I19" s="7">
        <v>18</v>
      </c>
      <c r="J19" s="7" t="s">
        <v>372</v>
      </c>
    </row>
    <row r="20" spans="1:10" ht="12.75" customHeight="1">
      <c r="A20" s="9">
        <v>19</v>
      </c>
      <c r="B20" s="8" t="s">
        <v>379</v>
      </c>
      <c r="C20" s="8" t="s">
        <v>380</v>
      </c>
      <c r="E20" s="9">
        <v>19</v>
      </c>
      <c r="F20" s="8" t="s">
        <v>383</v>
      </c>
      <c r="G20" s="8" t="s">
        <v>417</v>
      </c>
      <c r="I20" s="7">
        <v>19</v>
      </c>
      <c r="J20" s="7" t="s">
        <v>373</v>
      </c>
    </row>
    <row r="21" spans="1:10" ht="12.75" customHeight="1">
      <c r="A21" s="9">
        <v>20</v>
      </c>
      <c r="B21" s="8" t="s">
        <v>45</v>
      </c>
      <c r="C21" s="8" t="s">
        <v>179</v>
      </c>
      <c r="E21" s="9">
        <v>20</v>
      </c>
      <c r="F21" s="8" t="s">
        <v>124</v>
      </c>
      <c r="G21" s="8" t="s">
        <v>274</v>
      </c>
      <c r="I21" s="7">
        <v>20</v>
      </c>
      <c r="J21" s="7" t="s">
        <v>374</v>
      </c>
    </row>
    <row r="22" spans="1:10" ht="12.75" customHeight="1">
      <c r="A22" s="9">
        <v>21</v>
      </c>
      <c r="B22" s="8" t="s">
        <v>46</v>
      </c>
      <c r="C22" s="8" t="s">
        <v>180</v>
      </c>
      <c r="E22" s="9">
        <v>21</v>
      </c>
      <c r="F22" s="8" t="s">
        <v>275</v>
      </c>
      <c r="G22" s="8" t="s">
        <v>276</v>
      </c>
      <c r="I22" s="7">
        <v>21</v>
      </c>
      <c r="J22" s="7" t="s">
        <v>375</v>
      </c>
    </row>
    <row r="23" spans="1:10" ht="12.75" customHeight="1">
      <c r="A23" s="9">
        <v>22</v>
      </c>
      <c r="B23" s="8" t="s">
        <v>379</v>
      </c>
      <c r="C23" s="8" t="s">
        <v>380</v>
      </c>
      <c r="E23" s="9">
        <v>22</v>
      </c>
      <c r="F23" s="8" t="s">
        <v>125</v>
      </c>
      <c r="G23" s="8" t="s">
        <v>277</v>
      </c>
      <c r="I23" s="7">
        <v>22</v>
      </c>
      <c r="J23" s="7" t="s">
        <v>376</v>
      </c>
    </row>
    <row r="24" spans="1:10" ht="12.75" customHeight="1">
      <c r="A24" s="9">
        <v>23</v>
      </c>
      <c r="B24" s="8" t="s">
        <v>389</v>
      </c>
      <c r="C24" s="8" t="s">
        <v>317</v>
      </c>
      <c r="E24" s="9">
        <v>23</v>
      </c>
      <c r="F24" s="8" t="s">
        <v>278</v>
      </c>
      <c r="G24" s="8" t="s">
        <v>279</v>
      </c>
      <c r="I24" s="7">
        <v>23</v>
      </c>
      <c r="J24" s="7" t="s">
        <v>356</v>
      </c>
    </row>
    <row r="25" spans="1:10" ht="12.75" customHeight="1">
      <c r="A25" s="9">
        <v>24</v>
      </c>
      <c r="B25" s="8" t="s">
        <v>47</v>
      </c>
      <c r="C25" s="8" t="s">
        <v>181</v>
      </c>
      <c r="E25" s="9">
        <v>24</v>
      </c>
      <c r="F25" s="8" t="s">
        <v>331</v>
      </c>
      <c r="G25" s="8" t="s">
        <v>418</v>
      </c>
      <c r="I25" s="7">
        <v>99</v>
      </c>
      <c r="J25" s="7" t="s">
        <v>3</v>
      </c>
    </row>
    <row r="26" spans="1:10" ht="12.75" customHeight="1">
      <c r="A26" s="9">
        <v>25</v>
      </c>
      <c r="B26" s="8" t="s">
        <v>48</v>
      </c>
      <c r="C26" s="8" t="s">
        <v>182</v>
      </c>
      <c r="E26" s="9">
        <v>25</v>
      </c>
      <c r="F26" s="8" t="s">
        <v>280</v>
      </c>
      <c r="G26" s="8" t="s">
        <v>281</v>
      </c>
    </row>
    <row r="27" spans="1:10" ht="12.75" customHeight="1">
      <c r="A27" s="9">
        <v>26</v>
      </c>
      <c r="B27" s="8" t="s">
        <v>49</v>
      </c>
      <c r="C27" s="8" t="s">
        <v>318</v>
      </c>
      <c r="E27" s="9">
        <v>26</v>
      </c>
      <c r="F27" s="8" t="s">
        <v>337</v>
      </c>
      <c r="G27" s="8" t="s">
        <v>419</v>
      </c>
    </row>
    <row r="28" spans="1:10" ht="12.75" customHeight="1">
      <c r="A28" s="9">
        <v>27</v>
      </c>
      <c r="B28" s="8" t="s">
        <v>50</v>
      </c>
      <c r="C28" s="8" t="s">
        <v>183</v>
      </c>
      <c r="E28" s="9">
        <v>27</v>
      </c>
      <c r="F28" s="8" t="s">
        <v>282</v>
      </c>
      <c r="G28" s="8" t="s">
        <v>283</v>
      </c>
    </row>
    <row r="29" spans="1:10" ht="12.75" customHeight="1">
      <c r="A29" s="9">
        <v>28</v>
      </c>
      <c r="B29" s="8" t="s">
        <v>51</v>
      </c>
      <c r="C29" s="8" t="s">
        <v>184</v>
      </c>
      <c r="E29" s="9">
        <v>28</v>
      </c>
      <c r="F29" s="8" t="s">
        <v>338</v>
      </c>
      <c r="G29" s="8" t="s">
        <v>420</v>
      </c>
    </row>
    <row r="30" spans="1:10" ht="12.75" customHeight="1">
      <c r="A30" s="9">
        <v>29</v>
      </c>
      <c r="B30" s="8" t="s">
        <v>52</v>
      </c>
      <c r="C30" s="8" t="s">
        <v>319</v>
      </c>
      <c r="E30" s="9">
        <v>29</v>
      </c>
      <c r="F30" s="8" t="s">
        <v>126</v>
      </c>
      <c r="G30" s="8" t="s">
        <v>284</v>
      </c>
    </row>
    <row r="31" spans="1:10" ht="12.75" customHeight="1">
      <c r="A31" s="9">
        <v>30</v>
      </c>
      <c r="B31" s="8" t="s">
        <v>50</v>
      </c>
      <c r="C31" s="8" t="s">
        <v>183</v>
      </c>
      <c r="E31" s="9">
        <v>30</v>
      </c>
      <c r="F31" s="8" t="s">
        <v>127</v>
      </c>
      <c r="G31" s="8" t="s">
        <v>285</v>
      </c>
    </row>
    <row r="32" spans="1:10" ht="12.75" customHeight="1">
      <c r="A32" s="9">
        <v>31</v>
      </c>
      <c r="B32" s="8" t="s">
        <v>51</v>
      </c>
      <c r="C32" s="8" t="s">
        <v>184</v>
      </c>
      <c r="E32" s="9">
        <v>31</v>
      </c>
      <c r="F32" s="8" t="s">
        <v>128</v>
      </c>
      <c r="G32" s="8" t="s">
        <v>286</v>
      </c>
    </row>
    <row r="33" spans="1:7" ht="12.75" customHeight="1">
      <c r="A33" s="9">
        <v>32</v>
      </c>
      <c r="B33" s="8" t="s">
        <v>390</v>
      </c>
      <c r="C33" s="8" t="s">
        <v>320</v>
      </c>
      <c r="E33" s="9">
        <v>32</v>
      </c>
      <c r="F33" s="8" t="s">
        <v>129</v>
      </c>
      <c r="G33" s="8" t="s">
        <v>287</v>
      </c>
    </row>
    <row r="34" spans="1:7" ht="12.75" customHeight="1">
      <c r="A34" s="9">
        <v>33</v>
      </c>
      <c r="B34" s="8" t="s">
        <v>185</v>
      </c>
      <c r="C34" s="8" t="s">
        <v>186</v>
      </c>
      <c r="E34" s="9">
        <v>33</v>
      </c>
      <c r="F34" s="8" t="s">
        <v>130</v>
      </c>
      <c r="G34" s="8" t="s">
        <v>288</v>
      </c>
    </row>
    <row r="35" spans="1:7" ht="12.75" customHeight="1">
      <c r="A35" s="9">
        <v>34</v>
      </c>
      <c r="B35" s="8" t="s">
        <v>53</v>
      </c>
      <c r="C35" s="8" t="s">
        <v>187</v>
      </c>
      <c r="E35" s="9">
        <v>34</v>
      </c>
      <c r="F35" s="8" t="s">
        <v>131</v>
      </c>
      <c r="G35" s="8" t="s">
        <v>289</v>
      </c>
    </row>
    <row r="36" spans="1:7" ht="12.75" customHeight="1">
      <c r="A36" s="9">
        <v>35</v>
      </c>
      <c r="B36" s="8" t="s">
        <v>55</v>
      </c>
      <c r="C36" s="8" t="s">
        <v>188</v>
      </c>
      <c r="E36" s="9">
        <v>35</v>
      </c>
      <c r="F36" s="8" t="s">
        <v>132</v>
      </c>
      <c r="G36" s="8" t="s">
        <v>290</v>
      </c>
    </row>
    <row r="37" spans="1:7" ht="12.75" customHeight="1">
      <c r="A37" s="9">
        <v>36</v>
      </c>
      <c r="B37" s="8" t="s">
        <v>57</v>
      </c>
      <c r="C37" s="8" t="s">
        <v>189</v>
      </c>
      <c r="E37" s="9">
        <v>36</v>
      </c>
      <c r="F37" s="8" t="s">
        <v>339</v>
      </c>
      <c r="G37" s="8" t="s">
        <v>421</v>
      </c>
    </row>
    <row r="38" spans="1:7" ht="12.75" customHeight="1">
      <c r="A38" s="9">
        <v>37</v>
      </c>
      <c r="B38" s="8" t="s">
        <v>391</v>
      </c>
      <c r="C38" s="8" t="s">
        <v>321</v>
      </c>
      <c r="E38" s="9">
        <v>37</v>
      </c>
      <c r="F38" s="8" t="s">
        <v>133</v>
      </c>
      <c r="G38" s="8" t="s">
        <v>291</v>
      </c>
    </row>
    <row r="39" spans="1:7" ht="12.75" customHeight="1">
      <c r="A39" s="9">
        <v>38</v>
      </c>
      <c r="B39" s="8" t="s">
        <v>58</v>
      </c>
      <c r="C39" s="8" t="s">
        <v>190</v>
      </c>
      <c r="E39" s="9">
        <v>38</v>
      </c>
      <c r="F39" s="8" t="s">
        <v>134</v>
      </c>
      <c r="G39" s="8" t="s">
        <v>292</v>
      </c>
    </row>
    <row r="40" spans="1:7" ht="12.75" customHeight="1">
      <c r="A40" s="9">
        <v>39</v>
      </c>
      <c r="B40" s="8" t="s">
        <v>59</v>
      </c>
      <c r="C40" s="8" t="s">
        <v>191</v>
      </c>
      <c r="E40" s="9">
        <v>39</v>
      </c>
      <c r="F40" s="8" t="s">
        <v>135</v>
      </c>
      <c r="G40" s="8" t="s">
        <v>293</v>
      </c>
    </row>
    <row r="41" spans="1:7" ht="12.75" customHeight="1">
      <c r="A41" s="9">
        <v>40</v>
      </c>
      <c r="B41" s="8" t="s">
        <v>192</v>
      </c>
      <c r="C41" s="8" t="s">
        <v>193</v>
      </c>
      <c r="E41" s="9">
        <v>40</v>
      </c>
      <c r="F41" s="8" t="s">
        <v>136</v>
      </c>
      <c r="G41" s="8" t="s">
        <v>294</v>
      </c>
    </row>
    <row r="42" spans="1:7" ht="12.75" customHeight="1">
      <c r="A42" s="9">
        <v>41</v>
      </c>
      <c r="B42" s="8" t="s">
        <v>194</v>
      </c>
      <c r="C42" s="8" t="s">
        <v>195</v>
      </c>
      <c r="E42" s="9">
        <v>41</v>
      </c>
      <c r="F42" s="8" t="s">
        <v>396</v>
      </c>
      <c r="G42" s="8" t="s">
        <v>422</v>
      </c>
    </row>
    <row r="43" spans="1:7" ht="12.75" customHeight="1">
      <c r="A43" s="9">
        <v>42</v>
      </c>
      <c r="B43" s="8" t="s">
        <v>60</v>
      </c>
      <c r="C43" s="8" t="s">
        <v>196</v>
      </c>
      <c r="E43" s="9">
        <v>42</v>
      </c>
      <c r="F43" s="8" t="s">
        <v>133</v>
      </c>
      <c r="G43" s="8" t="s">
        <v>291</v>
      </c>
    </row>
    <row r="44" spans="1:7" ht="12.75" customHeight="1">
      <c r="A44" s="9">
        <v>43</v>
      </c>
      <c r="B44" s="8" t="s">
        <v>197</v>
      </c>
      <c r="C44" s="8" t="s">
        <v>198</v>
      </c>
      <c r="E44" s="9">
        <v>43</v>
      </c>
      <c r="F44" s="8" t="s">
        <v>137</v>
      </c>
      <c r="G44" s="8" t="s">
        <v>295</v>
      </c>
    </row>
    <row r="45" spans="1:7" ht="12.75" customHeight="1">
      <c r="A45" s="9">
        <v>44</v>
      </c>
      <c r="B45" s="8" t="s">
        <v>199</v>
      </c>
      <c r="C45" s="8" t="s">
        <v>200</v>
      </c>
      <c r="E45" s="9">
        <v>44</v>
      </c>
      <c r="F45" s="8" t="s">
        <v>138</v>
      </c>
      <c r="G45" s="8" t="s">
        <v>296</v>
      </c>
    </row>
    <row r="46" spans="1:7" ht="12.75" customHeight="1">
      <c r="A46" s="9">
        <v>45</v>
      </c>
      <c r="B46" s="8" t="s">
        <v>61</v>
      </c>
      <c r="C46" s="8" t="s">
        <v>322</v>
      </c>
      <c r="E46" s="9">
        <v>45</v>
      </c>
      <c r="F46" s="8" t="s">
        <v>139</v>
      </c>
      <c r="G46" s="8" t="s">
        <v>297</v>
      </c>
    </row>
    <row r="47" spans="1:7" ht="12.75" customHeight="1">
      <c r="A47" s="9">
        <v>46</v>
      </c>
      <c r="B47" s="8" t="s">
        <v>62</v>
      </c>
      <c r="C47" s="8" t="s">
        <v>201</v>
      </c>
      <c r="E47" s="9">
        <v>46</v>
      </c>
      <c r="F47" s="8" t="s">
        <v>140</v>
      </c>
      <c r="G47" s="8" t="s">
        <v>298</v>
      </c>
    </row>
    <row r="48" spans="1:7" ht="12.75" customHeight="1">
      <c r="A48" s="9">
        <v>47</v>
      </c>
      <c r="B48" s="8" t="s">
        <v>202</v>
      </c>
      <c r="C48" s="8" t="s">
        <v>203</v>
      </c>
      <c r="E48" s="9">
        <v>47</v>
      </c>
      <c r="F48" s="8" t="s">
        <v>299</v>
      </c>
      <c r="G48" s="8" t="s">
        <v>300</v>
      </c>
    </row>
    <row r="49" spans="1:7" ht="12.75" customHeight="1">
      <c r="A49" s="9">
        <v>48</v>
      </c>
      <c r="B49" s="8" t="s">
        <v>63</v>
      </c>
      <c r="C49" s="8" t="s">
        <v>204</v>
      </c>
      <c r="E49" s="9">
        <v>48</v>
      </c>
      <c r="F49" s="8" t="s">
        <v>340</v>
      </c>
      <c r="G49" s="8" t="s">
        <v>423</v>
      </c>
    </row>
    <row r="50" spans="1:7" ht="12.75" customHeight="1">
      <c r="A50" s="9">
        <v>49</v>
      </c>
      <c r="B50" s="8" t="s">
        <v>64</v>
      </c>
      <c r="C50" s="8" t="s">
        <v>205</v>
      </c>
      <c r="E50" s="9">
        <v>49</v>
      </c>
      <c r="F50" s="8" t="s">
        <v>141</v>
      </c>
      <c r="G50" s="8" t="s">
        <v>301</v>
      </c>
    </row>
    <row r="51" spans="1:7" ht="12.75" customHeight="1">
      <c r="A51" s="9">
        <v>50</v>
      </c>
      <c r="B51" s="8" t="s">
        <v>65</v>
      </c>
      <c r="C51" s="8" t="s">
        <v>206</v>
      </c>
      <c r="E51" s="9">
        <v>50</v>
      </c>
      <c r="F51" s="8" t="s">
        <v>142</v>
      </c>
      <c r="G51" s="8" t="s">
        <v>302</v>
      </c>
    </row>
    <row r="52" spans="1:7" ht="12.75" customHeight="1">
      <c r="A52" s="9">
        <v>51</v>
      </c>
      <c r="B52" s="8" t="s">
        <v>456</v>
      </c>
      <c r="C52" s="8" t="s">
        <v>457</v>
      </c>
      <c r="E52" s="9">
        <v>51</v>
      </c>
      <c r="F52" s="8" t="s">
        <v>143</v>
      </c>
      <c r="G52" s="8" t="s">
        <v>303</v>
      </c>
    </row>
    <row r="53" spans="1:7" ht="12.75" customHeight="1">
      <c r="A53" s="9">
        <v>52</v>
      </c>
      <c r="B53" s="8" t="s">
        <v>66</v>
      </c>
      <c r="C53" s="8" t="s">
        <v>207</v>
      </c>
      <c r="E53" s="9">
        <v>52</v>
      </c>
      <c r="F53" s="8" t="s">
        <v>341</v>
      </c>
      <c r="G53" s="8" t="s">
        <v>424</v>
      </c>
    </row>
    <row r="54" spans="1:7" ht="12.75" customHeight="1">
      <c r="A54" s="9">
        <v>53</v>
      </c>
      <c r="B54" s="8" t="s">
        <v>67</v>
      </c>
      <c r="C54" s="8" t="s">
        <v>208</v>
      </c>
      <c r="E54" s="9">
        <v>53</v>
      </c>
      <c r="F54" s="8" t="s">
        <v>304</v>
      </c>
      <c r="G54" s="8" t="s">
        <v>305</v>
      </c>
    </row>
    <row r="55" spans="1:7" ht="12.75" customHeight="1">
      <c r="A55" s="9">
        <v>54</v>
      </c>
      <c r="B55" s="8" t="s">
        <v>381</v>
      </c>
      <c r="C55" s="8" t="s">
        <v>323</v>
      </c>
      <c r="E55" s="9">
        <v>54</v>
      </c>
      <c r="F55" s="8" t="s">
        <v>144</v>
      </c>
      <c r="G55" s="8" t="s">
        <v>306</v>
      </c>
    </row>
    <row r="56" spans="1:7" ht="12.75" customHeight="1">
      <c r="A56" s="9">
        <v>55</v>
      </c>
      <c r="B56" s="8" t="s">
        <v>68</v>
      </c>
      <c r="C56" s="8" t="s">
        <v>324</v>
      </c>
      <c r="E56" s="9">
        <v>55</v>
      </c>
      <c r="F56" s="8" t="s">
        <v>145</v>
      </c>
      <c r="G56" s="8" t="s">
        <v>307</v>
      </c>
    </row>
    <row r="57" spans="1:7" ht="12.75" customHeight="1">
      <c r="A57" s="9">
        <v>56</v>
      </c>
      <c r="B57" s="8" t="s">
        <v>69</v>
      </c>
      <c r="C57" s="8" t="s">
        <v>209</v>
      </c>
      <c r="E57" s="9">
        <v>56</v>
      </c>
      <c r="F57" s="8" t="s">
        <v>146</v>
      </c>
      <c r="G57" s="8" t="s">
        <v>308</v>
      </c>
    </row>
    <row r="58" spans="1:7" ht="12.75" customHeight="1">
      <c r="A58" s="9">
        <v>57</v>
      </c>
      <c r="B58" s="8" t="s">
        <v>445</v>
      </c>
      <c r="C58" s="8" t="s">
        <v>447</v>
      </c>
      <c r="E58" s="9">
        <v>57</v>
      </c>
      <c r="F58" s="8" t="s">
        <v>342</v>
      </c>
      <c r="G58" s="8" t="s">
        <v>425</v>
      </c>
    </row>
    <row r="59" spans="1:7" ht="12.75" customHeight="1">
      <c r="A59" s="9">
        <v>58</v>
      </c>
      <c r="B59" s="8" t="s">
        <v>446</v>
      </c>
      <c r="C59" s="8" t="s">
        <v>448</v>
      </c>
      <c r="E59" s="9">
        <v>58</v>
      </c>
      <c r="F59" s="8" t="s">
        <v>343</v>
      </c>
      <c r="G59" s="8" t="s">
        <v>426</v>
      </c>
    </row>
    <row r="60" spans="1:7" ht="12.75" customHeight="1">
      <c r="A60" s="9">
        <v>59</v>
      </c>
      <c r="B60" s="8" t="s">
        <v>70</v>
      </c>
      <c r="C60" s="8" t="s">
        <v>210</v>
      </c>
      <c r="E60" s="9">
        <v>59</v>
      </c>
      <c r="F60" s="8" t="s">
        <v>309</v>
      </c>
      <c r="G60" s="8" t="s">
        <v>310</v>
      </c>
    </row>
    <row r="61" spans="1:7" ht="12.75" customHeight="1">
      <c r="A61" s="9">
        <v>60</v>
      </c>
      <c r="B61" s="8" t="s">
        <v>211</v>
      </c>
      <c r="C61" s="8" t="s">
        <v>212</v>
      </c>
      <c r="E61" s="9">
        <v>60</v>
      </c>
      <c r="F61" s="8" t="s">
        <v>147</v>
      </c>
      <c r="G61" s="8" t="s">
        <v>311</v>
      </c>
    </row>
    <row r="62" spans="1:7" ht="12.75" customHeight="1">
      <c r="A62" s="9">
        <v>61</v>
      </c>
      <c r="B62" s="8" t="s">
        <v>392</v>
      </c>
      <c r="C62" s="8" t="s">
        <v>397</v>
      </c>
      <c r="E62" s="9">
        <v>61</v>
      </c>
      <c r="F62" s="8" t="s">
        <v>384</v>
      </c>
      <c r="G62" s="8" t="s">
        <v>427</v>
      </c>
    </row>
    <row r="63" spans="1:7" ht="12.75" customHeight="1">
      <c r="A63" s="9">
        <v>62</v>
      </c>
      <c r="B63" s="8" t="s">
        <v>42</v>
      </c>
      <c r="C63" s="8" t="s">
        <v>170</v>
      </c>
      <c r="E63" s="9">
        <v>62</v>
      </c>
      <c r="F63" s="8" t="s">
        <v>385</v>
      </c>
      <c r="G63" s="8" t="s">
        <v>428</v>
      </c>
    </row>
    <row r="64" spans="1:7" ht="12.75" customHeight="1">
      <c r="A64" s="9">
        <v>63</v>
      </c>
      <c r="B64" s="8" t="s">
        <v>71</v>
      </c>
      <c r="C64" s="8" t="s">
        <v>213</v>
      </c>
      <c r="E64" s="9">
        <v>63</v>
      </c>
      <c r="F64" s="8" t="s">
        <v>344</v>
      </c>
      <c r="G64" s="8" t="s">
        <v>429</v>
      </c>
    </row>
    <row r="65" spans="1:7" ht="12.75" customHeight="1">
      <c r="A65" s="9">
        <v>64</v>
      </c>
      <c r="B65" s="8" t="s">
        <v>72</v>
      </c>
      <c r="C65" s="8" t="s">
        <v>398</v>
      </c>
      <c r="E65" s="9">
        <v>64</v>
      </c>
      <c r="F65" s="8" t="s">
        <v>345</v>
      </c>
      <c r="G65" s="8" t="s">
        <v>430</v>
      </c>
    </row>
    <row r="66" spans="1:7" ht="12.75" customHeight="1">
      <c r="A66" s="9">
        <v>65</v>
      </c>
      <c r="B66" s="8" t="s">
        <v>42</v>
      </c>
      <c r="C66" s="8" t="s">
        <v>170</v>
      </c>
      <c r="E66" s="9">
        <v>65</v>
      </c>
      <c r="F66" s="8" t="s">
        <v>346</v>
      </c>
      <c r="G66" s="8" t="s">
        <v>431</v>
      </c>
    </row>
    <row r="67" spans="1:7" ht="12.75" customHeight="1">
      <c r="A67" s="9">
        <v>66</v>
      </c>
      <c r="B67" s="8" t="s">
        <v>71</v>
      </c>
      <c r="C67" s="8" t="s">
        <v>213</v>
      </c>
      <c r="E67" s="9">
        <v>66</v>
      </c>
      <c r="F67" s="8" t="s">
        <v>347</v>
      </c>
      <c r="G67" s="8" t="s">
        <v>432</v>
      </c>
    </row>
    <row r="68" spans="1:7" ht="12.75" customHeight="1">
      <c r="A68" s="9">
        <v>67</v>
      </c>
      <c r="B68" s="8" t="s">
        <v>73</v>
      </c>
      <c r="C68" s="8" t="s">
        <v>399</v>
      </c>
      <c r="E68" s="9">
        <v>67</v>
      </c>
      <c r="F68" s="8" t="s">
        <v>348</v>
      </c>
      <c r="G68" s="8" t="s">
        <v>433</v>
      </c>
    </row>
    <row r="69" spans="1:7" ht="12.75" customHeight="1">
      <c r="A69" s="9">
        <v>68</v>
      </c>
      <c r="B69" s="8" t="s">
        <v>74</v>
      </c>
      <c r="C69" s="8" t="s">
        <v>214</v>
      </c>
      <c r="E69" s="9">
        <v>68</v>
      </c>
      <c r="F69" s="8" t="s">
        <v>349</v>
      </c>
      <c r="G69" s="8" t="s">
        <v>434</v>
      </c>
    </row>
    <row r="70" spans="1:7" ht="12.75" customHeight="1">
      <c r="A70" s="9">
        <v>69</v>
      </c>
      <c r="B70" s="8" t="s">
        <v>75</v>
      </c>
      <c r="C70" s="8" t="s">
        <v>215</v>
      </c>
      <c r="E70" s="9">
        <v>69</v>
      </c>
      <c r="F70" s="8" t="s">
        <v>350</v>
      </c>
      <c r="G70" s="8" t="s">
        <v>435</v>
      </c>
    </row>
    <row r="71" spans="1:7" ht="12.75" customHeight="1">
      <c r="A71" s="9">
        <v>70</v>
      </c>
      <c r="B71" s="8" t="s">
        <v>76</v>
      </c>
      <c r="C71" s="8" t="s">
        <v>400</v>
      </c>
      <c r="E71" s="9"/>
      <c r="F71" s="8"/>
      <c r="G71" s="8"/>
    </row>
    <row r="72" spans="1:7" ht="12.75" customHeight="1">
      <c r="A72" s="9">
        <v>71</v>
      </c>
      <c r="B72" s="8" t="s">
        <v>77</v>
      </c>
      <c r="C72" s="8" t="s">
        <v>216</v>
      </c>
      <c r="E72" s="9"/>
      <c r="F72" s="8"/>
      <c r="G72" s="8"/>
    </row>
    <row r="73" spans="1:7" ht="12.75" customHeight="1">
      <c r="A73" s="9">
        <v>72</v>
      </c>
      <c r="B73" s="8" t="s">
        <v>78</v>
      </c>
      <c r="C73" s="8" t="s">
        <v>217</v>
      </c>
      <c r="E73" s="9"/>
      <c r="F73" s="8"/>
      <c r="G73" s="8"/>
    </row>
    <row r="74" spans="1:7" ht="12.75" customHeight="1">
      <c r="A74" s="9">
        <v>73</v>
      </c>
      <c r="B74" s="8" t="s">
        <v>218</v>
      </c>
      <c r="C74" s="8" t="s">
        <v>219</v>
      </c>
      <c r="E74" s="9"/>
      <c r="F74" s="8"/>
      <c r="G74" s="8"/>
    </row>
    <row r="75" spans="1:7" ht="12.75" customHeight="1">
      <c r="A75" s="9">
        <v>74</v>
      </c>
      <c r="B75" s="8" t="s">
        <v>79</v>
      </c>
      <c r="C75" s="8" t="s">
        <v>220</v>
      </c>
      <c r="E75" s="9"/>
      <c r="F75" s="8"/>
      <c r="G75" s="8"/>
    </row>
    <row r="76" spans="1:7" ht="12.75" customHeight="1">
      <c r="A76" s="9">
        <v>75</v>
      </c>
      <c r="B76" s="8" t="s">
        <v>80</v>
      </c>
      <c r="C76" s="8" t="s">
        <v>221</v>
      </c>
      <c r="E76" s="9"/>
      <c r="F76" s="8"/>
      <c r="G76" s="8"/>
    </row>
    <row r="77" spans="1:7" ht="12.75" customHeight="1">
      <c r="A77" s="9">
        <v>76</v>
      </c>
      <c r="B77" s="8" t="s">
        <v>81</v>
      </c>
      <c r="C77" s="8" t="s">
        <v>222</v>
      </c>
      <c r="E77" s="9"/>
      <c r="F77" s="8"/>
      <c r="G77" s="8"/>
    </row>
    <row r="78" spans="1:7" ht="12.75" customHeight="1">
      <c r="A78" s="9">
        <v>77</v>
      </c>
      <c r="B78" s="8" t="s">
        <v>458</v>
      </c>
      <c r="C78" s="8" t="s">
        <v>459</v>
      </c>
      <c r="E78" s="9"/>
      <c r="F78" s="8"/>
      <c r="G78" s="8"/>
    </row>
    <row r="79" spans="1:7" ht="12.75" customHeight="1">
      <c r="A79" s="9">
        <v>78</v>
      </c>
      <c r="B79" s="8" t="s">
        <v>82</v>
      </c>
      <c r="C79" s="8" t="s">
        <v>223</v>
      </c>
      <c r="E79" s="9"/>
      <c r="F79" s="8"/>
      <c r="G79" s="8"/>
    </row>
    <row r="80" spans="1:7" ht="12.75" customHeight="1">
      <c r="A80" s="9">
        <v>79</v>
      </c>
      <c r="B80" s="8" t="s">
        <v>83</v>
      </c>
      <c r="C80" s="8" t="s">
        <v>224</v>
      </c>
      <c r="E80" s="9"/>
      <c r="F80" s="8"/>
      <c r="G80" s="8"/>
    </row>
    <row r="81" spans="1:7" ht="12.75" customHeight="1">
      <c r="A81" s="9">
        <v>80</v>
      </c>
      <c r="B81" s="8" t="s">
        <v>225</v>
      </c>
      <c r="C81" s="8" t="s">
        <v>226</v>
      </c>
      <c r="E81" s="9"/>
      <c r="F81" s="8"/>
      <c r="G81" s="8"/>
    </row>
    <row r="82" spans="1:7" ht="12.75" customHeight="1">
      <c r="A82" s="9">
        <v>81</v>
      </c>
      <c r="B82" s="8" t="s">
        <v>84</v>
      </c>
      <c r="C82" s="8" t="s">
        <v>227</v>
      </c>
      <c r="E82" s="9"/>
      <c r="F82" s="8"/>
      <c r="G82" s="8"/>
    </row>
    <row r="83" spans="1:7" ht="12.75" customHeight="1">
      <c r="A83" s="9">
        <v>82</v>
      </c>
      <c r="B83" s="8" t="s">
        <v>85</v>
      </c>
      <c r="C83" s="8" t="s">
        <v>228</v>
      </c>
      <c r="E83" s="9"/>
      <c r="F83" s="8"/>
      <c r="G83" s="8"/>
    </row>
    <row r="84" spans="1:7" ht="12.75" customHeight="1">
      <c r="A84" s="9">
        <v>83</v>
      </c>
      <c r="B84" s="8" t="s">
        <v>86</v>
      </c>
      <c r="C84" s="8" t="s">
        <v>229</v>
      </c>
      <c r="E84" s="9"/>
      <c r="F84" s="8"/>
      <c r="G84" s="8"/>
    </row>
    <row r="85" spans="1:7" ht="12.75" customHeight="1">
      <c r="A85" s="9">
        <v>84</v>
      </c>
      <c r="B85" s="8" t="s">
        <v>230</v>
      </c>
      <c r="C85" s="8" t="s">
        <v>231</v>
      </c>
      <c r="E85" s="9"/>
      <c r="F85" s="8"/>
      <c r="G85" s="8"/>
    </row>
    <row r="86" spans="1:7" ht="12.75" customHeight="1">
      <c r="A86" s="9">
        <v>85</v>
      </c>
      <c r="B86" s="8" t="s">
        <v>87</v>
      </c>
      <c r="C86" s="8" t="s">
        <v>401</v>
      </c>
      <c r="E86" s="9"/>
      <c r="F86" s="8"/>
      <c r="G86" s="8"/>
    </row>
    <row r="87" spans="1:7" ht="12.75" customHeight="1">
      <c r="A87" s="9">
        <v>86</v>
      </c>
      <c r="B87" s="8" t="s">
        <v>88</v>
      </c>
      <c r="C87" s="8" t="s">
        <v>232</v>
      </c>
      <c r="E87" s="9"/>
      <c r="F87" s="8"/>
      <c r="G87" s="8"/>
    </row>
    <row r="88" spans="1:7" ht="12.75" customHeight="1">
      <c r="A88" s="9">
        <v>87</v>
      </c>
      <c r="B88" s="8" t="s">
        <v>89</v>
      </c>
      <c r="C88" s="8" t="s">
        <v>233</v>
      </c>
      <c r="E88" s="9"/>
      <c r="F88" s="8"/>
      <c r="G88" s="8"/>
    </row>
    <row r="89" spans="1:7" ht="12.75" customHeight="1">
      <c r="A89" s="9">
        <v>88</v>
      </c>
      <c r="B89" s="8" t="s">
        <v>90</v>
      </c>
      <c r="C89" s="8" t="s">
        <v>402</v>
      </c>
      <c r="E89" s="9"/>
      <c r="F89" s="8"/>
      <c r="G89" s="8"/>
    </row>
    <row r="90" spans="1:7" ht="12.75" customHeight="1">
      <c r="A90" s="9">
        <v>89</v>
      </c>
      <c r="B90" s="8" t="s">
        <v>234</v>
      </c>
      <c r="C90" s="8" t="s">
        <v>235</v>
      </c>
      <c r="E90" s="9"/>
      <c r="F90" s="8"/>
      <c r="G90" s="8"/>
    </row>
    <row r="91" spans="1:7" ht="12.75" customHeight="1">
      <c r="A91" s="9">
        <v>90</v>
      </c>
      <c r="B91" s="8" t="s">
        <v>236</v>
      </c>
      <c r="C91" s="8" t="s">
        <v>237</v>
      </c>
      <c r="E91" s="9"/>
      <c r="F91" s="8"/>
      <c r="G91" s="8"/>
    </row>
    <row r="92" spans="1:7" ht="12.75" customHeight="1">
      <c r="A92" s="9">
        <v>91</v>
      </c>
      <c r="B92" s="8" t="s">
        <v>91</v>
      </c>
      <c r="C92" s="8" t="s">
        <v>238</v>
      </c>
      <c r="E92" s="9"/>
      <c r="F92" s="8"/>
      <c r="G92" s="8"/>
    </row>
    <row r="93" spans="1:7" ht="12.75" customHeight="1">
      <c r="A93" s="9">
        <v>92</v>
      </c>
      <c r="B93" s="8" t="s">
        <v>382</v>
      </c>
      <c r="C93" s="8" t="s">
        <v>239</v>
      </c>
      <c r="E93" s="9"/>
      <c r="F93" s="8"/>
      <c r="G93" s="8"/>
    </row>
    <row r="94" spans="1:7" ht="12.75" customHeight="1">
      <c r="A94" s="9">
        <v>93</v>
      </c>
      <c r="B94" s="8" t="s">
        <v>92</v>
      </c>
      <c r="C94" s="8" t="s">
        <v>403</v>
      </c>
      <c r="E94" s="9"/>
      <c r="F94" s="8"/>
      <c r="G94" s="8"/>
    </row>
    <row r="95" spans="1:7" ht="12.75" customHeight="1">
      <c r="A95" s="9">
        <v>94</v>
      </c>
      <c r="B95" s="8" t="s">
        <v>93</v>
      </c>
      <c r="C95" s="8" t="s">
        <v>404</v>
      </c>
      <c r="E95" s="9"/>
      <c r="F95" s="8"/>
      <c r="G95" s="8"/>
    </row>
    <row r="96" spans="1:7" ht="12.75" customHeight="1">
      <c r="A96" s="9">
        <v>95</v>
      </c>
      <c r="B96" s="8" t="s">
        <v>94</v>
      </c>
      <c r="C96" s="8" t="s">
        <v>240</v>
      </c>
      <c r="E96" s="9"/>
      <c r="F96" s="8"/>
      <c r="G96" s="8"/>
    </row>
    <row r="97" spans="1:7" ht="12.75" customHeight="1">
      <c r="A97" s="9">
        <v>96</v>
      </c>
      <c r="B97" s="8" t="s">
        <v>95</v>
      </c>
      <c r="C97" s="8" t="s">
        <v>241</v>
      </c>
      <c r="E97" s="9"/>
      <c r="F97" s="8"/>
      <c r="G97" s="8"/>
    </row>
    <row r="98" spans="1:7" ht="12.75" customHeight="1">
      <c r="A98" s="9">
        <v>97</v>
      </c>
      <c r="B98" s="8" t="s">
        <v>393</v>
      </c>
      <c r="C98" s="8" t="s">
        <v>405</v>
      </c>
      <c r="E98" s="9"/>
      <c r="F98" s="8"/>
      <c r="G98" s="8"/>
    </row>
    <row r="99" spans="1:7" ht="12.75" customHeight="1">
      <c r="A99" s="9">
        <v>98</v>
      </c>
      <c r="B99" s="8" t="s">
        <v>394</v>
      </c>
      <c r="C99" s="8" t="s">
        <v>406</v>
      </c>
      <c r="E99" s="9"/>
      <c r="F99" s="8"/>
      <c r="G99" s="8"/>
    </row>
    <row r="100" spans="1:7" ht="12.75" customHeight="1">
      <c r="A100" s="9">
        <v>99</v>
      </c>
      <c r="B100" s="8" t="s">
        <v>96</v>
      </c>
      <c r="C100" s="8" t="s">
        <v>242</v>
      </c>
      <c r="E100" s="9"/>
      <c r="F100" s="8"/>
      <c r="G100" s="8"/>
    </row>
    <row r="101" spans="1:7" ht="12.75" customHeight="1">
      <c r="A101" s="9">
        <v>100</v>
      </c>
      <c r="B101" s="8" t="s">
        <v>97</v>
      </c>
      <c r="C101" s="8" t="s">
        <v>243</v>
      </c>
      <c r="E101" s="9"/>
      <c r="F101" s="8"/>
      <c r="G101" s="8"/>
    </row>
    <row r="102" spans="1:7" ht="12.75" customHeight="1">
      <c r="A102" s="9">
        <v>101</v>
      </c>
      <c r="B102" s="8" t="s">
        <v>98</v>
      </c>
      <c r="C102" s="8" t="s">
        <v>244</v>
      </c>
      <c r="E102" s="9"/>
      <c r="F102" s="8"/>
      <c r="G102" s="8"/>
    </row>
    <row r="103" spans="1:7" ht="12.75" customHeight="1">
      <c r="A103" s="9">
        <v>102</v>
      </c>
      <c r="B103" s="8" t="s">
        <v>245</v>
      </c>
      <c r="C103" s="8" t="s">
        <v>246</v>
      </c>
      <c r="E103" s="9"/>
      <c r="F103" s="8"/>
      <c r="G103" s="8"/>
    </row>
    <row r="104" spans="1:7" ht="12.75" customHeight="1">
      <c r="A104" s="9">
        <v>103</v>
      </c>
      <c r="B104" s="8" t="s">
        <v>99</v>
      </c>
      <c r="C104" s="8" t="s">
        <v>407</v>
      </c>
      <c r="E104" s="9"/>
      <c r="F104" s="8"/>
      <c r="G104" s="8"/>
    </row>
    <row r="105" spans="1:7" ht="12.75" customHeight="1">
      <c r="A105" s="9">
        <v>104</v>
      </c>
      <c r="B105" s="8" t="s">
        <v>100</v>
      </c>
      <c r="C105" s="8" t="s">
        <v>408</v>
      </c>
      <c r="E105" s="9"/>
      <c r="F105" s="8"/>
      <c r="G105" s="8"/>
    </row>
    <row r="106" spans="1:7" ht="12.75" customHeight="1">
      <c r="A106" s="9">
        <v>105</v>
      </c>
      <c r="B106" s="8" t="s">
        <v>101</v>
      </c>
      <c r="C106" s="8" t="s">
        <v>247</v>
      </c>
      <c r="E106" s="9"/>
      <c r="F106" s="8"/>
      <c r="G106" s="8"/>
    </row>
    <row r="107" spans="1:7" ht="12.75" customHeight="1">
      <c r="A107" s="9">
        <v>106</v>
      </c>
      <c r="B107" s="8" t="s">
        <v>102</v>
      </c>
      <c r="C107" s="8" t="s">
        <v>248</v>
      </c>
      <c r="E107" s="9"/>
      <c r="F107" s="8"/>
      <c r="G107" s="8"/>
    </row>
    <row r="108" spans="1:7" ht="12.75" customHeight="1">
      <c r="A108" s="9">
        <v>107</v>
      </c>
      <c r="B108" s="8" t="s">
        <v>103</v>
      </c>
      <c r="C108" s="8" t="s">
        <v>409</v>
      </c>
      <c r="E108" s="9"/>
      <c r="F108" s="8"/>
      <c r="G108" s="8"/>
    </row>
    <row r="109" spans="1:7" ht="12.75" customHeight="1">
      <c r="A109" s="9">
        <v>108</v>
      </c>
      <c r="B109" s="8" t="s">
        <v>104</v>
      </c>
      <c r="C109" s="8" t="s">
        <v>249</v>
      </c>
      <c r="E109" s="9"/>
      <c r="F109" s="8"/>
      <c r="G109" s="8"/>
    </row>
    <row r="110" spans="1:7" ht="12.75" customHeight="1">
      <c r="A110" s="9">
        <v>109</v>
      </c>
      <c r="B110" s="8" t="s">
        <v>105</v>
      </c>
      <c r="C110" s="8" t="s">
        <v>250</v>
      </c>
      <c r="E110" s="9"/>
      <c r="F110" s="8"/>
      <c r="G110" s="8"/>
    </row>
    <row r="111" spans="1:7" ht="12.75" customHeight="1">
      <c r="A111" s="9">
        <v>110</v>
      </c>
      <c r="B111" s="8" t="s">
        <v>106</v>
      </c>
      <c r="C111" s="8" t="s">
        <v>251</v>
      </c>
      <c r="E111" s="9"/>
      <c r="F111" s="8"/>
      <c r="G111" s="8"/>
    </row>
    <row r="112" spans="1:7" ht="12.75" customHeight="1">
      <c r="A112" s="9">
        <v>111</v>
      </c>
      <c r="B112" s="8" t="s">
        <v>107</v>
      </c>
      <c r="C112" s="8" t="s">
        <v>252</v>
      </c>
      <c r="E112" s="9"/>
      <c r="F112" s="8"/>
      <c r="G112" s="8"/>
    </row>
    <row r="113" spans="1:7" ht="12.75" customHeight="1">
      <c r="A113" s="9">
        <v>112</v>
      </c>
      <c r="B113" s="8" t="s">
        <v>108</v>
      </c>
      <c r="C113" s="8" t="s">
        <v>253</v>
      </c>
      <c r="E113" s="9"/>
      <c r="F113" s="8"/>
      <c r="G113" s="8"/>
    </row>
    <row r="114" spans="1:7" ht="12.75" customHeight="1">
      <c r="A114" s="9">
        <v>113</v>
      </c>
      <c r="B114" s="8" t="s">
        <v>451</v>
      </c>
      <c r="C114" s="8" t="s">
        <v>452</v>
      </c>
      <c r="E114" s="9"/>
      <c r="F114" s="8"/>
      <c r="G114" s="8"/>
    </row>
    <row r="115" spans="1:7" ht="12.75" customHeight="1">
      <c r="A115" s="9">
        <v>114</v>
      </c>
      <c r="B115" s="8" t="s">
        <v>109</v>
      </c>
      <c r="C115" s="8" t="s">
        <v>410</v>
      </c>
      <c r="E115" s="9"/>
      <c r="F115" s="8"/>
      <c r="G115" s="8"/>
    </row>
    <row r="116" spans="1:7" ht="12.75" customHeight="1">
      <c r="A116" s="9">
        <v>115</v>
      </c>
      <c r="B116" s="8" t="s">
        <v>254</v>
      </c>
      <c r="C116" s="8" t="s">
        <v>255</v>
      </c>
      <c r="E116" s="9"/>
      <c r="F116" s="8"/>
      <c r="G116" s="8"/>
    </row>
    <row r="117" spans="1:7" ht="12.75" customHeight="1">
      <c r="A117" s="9">
        <v>116</v>
      </c>
      <c r="B117" s="8" t="s">
        <v>110</v>
      </c>
      <c r="C117" s="8" t="s">
        <v>256</v>
      </c>
      <c r="E117" s="9"/>
      <c r="F117" s="8"/>
      <c r="G117" s="8"/>
    </row>
    <row r="118" spans="1:7" ht="12.75" customHeight="1">
      <c r="A118" s="9">
        <v>117</v>
      </c>
      <c r="B118" s="8" t="s">
        <v>111</v>
      </c>
      <c r="C118" s="8" t="s">
        <v>257</v>
      </c>
      <c r="E118" s="9"/>
      <c r="F118" s="8"/>
      <c r="G118" s="8"/>
    </row>
    <row r="119" spans="1:7" ht="12.75" customHeight="1">
      <c r="A119" s="9">
        <v>118</v>
      </c>
      <c r="B119" s="8" t="s">
        <v>395</v>
      </c>
      <c r="C119" s="8" t="s">
        <v>411</v>
      </c>
      <c r="E119" s="9"/>
      <c r="F119" s="8"/>
      <c r="G119" s="8"/>
    </row>
    <row r="120" spans="1:7" ht="12.75" customHeight="1">
      <c r="A120" s="9">
        <v>119</v>
      </c>
      <c r="B120" s="8" t="s">
        <v>258</v>
      </c>
      <c r="C120" s="8" t="s">
        <v>259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topLeftCell="A9" zoomScaleNormal="100" workbookViewId="0">
      <selection activeCell="A49" sqref="A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543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544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8" t="str">
        <f>CONCATENATE("k ",Aktiva!D17)</f>
        <v>k 31.12.2019</v>
      </c>
      <c r="R7" s="168"/>
      <c r="S7" s="168"/>
      <c r="T7" s="168"/>
      <c r="U7" s="168"/>
      <c r="V7" s="168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545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0</v>
      </c>
      <c r="B9" s="66" t="str">
        <f>MID(Index!$G$26,hlavicka!B62,1)</f>
        <v>9</v>
      </c>
      <c r="C9" s="66" t="str">
        <f>MID(Index!$G$26,hlavicka!C62,1)</f>
        <v>7</v>
      </c>
      <c r="D9" s="66" t="str">
        <f>MID(Index!$G$26,hlavicka!D62,1)</f>
        <v>9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B</v>
      </c>
      <c r="H9" s="66" t="str">
        <f>MID(Index!$G$26,hlavicka!H62,1)</f>
        <v>H</v>
      </c>
      <c r="I9" s="66" t="str">
        <f>MID(Index!$G$26,hlavicka!I62,1)</f>
        <v>M</v>
      </c>
      <c r="J9" s="66" t="str">
        <f>MID(Index!$G$26,hlavicka!J62,1)</f>
        <v>W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1</v>
      </c>
      <c r="P9" s="66" t="str">
        <f>MID(Index!$G$26,hlavicka!P62,1)</f>
        <v>0</v>
      </c>
      <c r="Q9" s="66" t="str">
        <f>MID(Index!$G$26,hlavicka!Q62,1)</f>
        <v>8</v>
      </c>
      <c r="R9" s="66" t="str">
        <f>MID(Index!$G$26,hlavicka!R62,1)</f>
        <v>5</v>
      </c>
      <c r="S9" s="66" t="str">
        <f>MID(Index!$G$26,hlavicka!S62,1)</f>
        <v>8</v>
      </c>
      <c r="T9" s="66" t="str">
        <f>MID(Index!$G$26,hlavicka!T62,1)</f>
        <v>3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549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550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69" t="s">
        <v>551</v>
      </c>
      <c r="AB11" s="169"/>
      <c r="AC11" s="169"/>
      <c r="AD11" s="169"/>
      <c r="AE11" s="169"/>
      <c r="AF11" s="169"/>
      <c r="AG11" s="169"/>
      <c r="AH11" s="169"/>
      <c r="AI11" s="169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2</v>
      </c>
      <c r="E12" s="66" t="str">
        <f>MID(Index!$G$29,hlavicka!E62,1)</f>
        <v>1</v>
      </c>
      <c r="F12" s="66" t="str">
        <f>MID(Index!$G$29,hlavicka!F62,1)</f>
        <v>3</v>
      </c>
      <c r="G12" s="66" t="str">
        <f>MID(Index!$G$29,hlavicka!G62,1)</f>
        <v>7</v>
      </c>
      <c r="H12" s="66" t="str">
        <f>MID(Index!$G$29,hlavicka!H62,1)</f>
        <v>8</v>
      </c>
      <c r="I12" s="66" t="str">
        <f>MID(Index!$G$29,hlavicka!I62,1)</f>
        <v>8</v>
      </c>
      <c r="J12" s="66" t="str">
        <f>MID(Index!$G$29,hlavicka!J62,1)</f>
        <v>7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552</v>
      </c>
      <c r="AD12" s="43"/>
      <c r="AE12" s="43"/>
      <c r="AF12" s="43" t="s">
        <v>553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554</v>
      </c>
      <c r="M13" s="37"/>
      <c r="N13" s="37" t="s">
        <v>555</v>
      </c>
      <c r="O13" s="37"/>
      <c r="P13" s="37"/>
      <c r="Q13" s="37"/>
      <c r="R13" s="37"/>
      <c r="S13" s="55"/>
      <c r="T13" s="37"/>
      <c r="U13" s="37" t="s">
        <v>556</v>
      </c>
      <c r="V13" s="37"/>
      <c r="W13" s="37"/>
      <c r="X13" s="37"/>
      <c r="Y13" s="37"/>
      <c r="Z13" s="37"/>
      <c r="AA13" s="56" t="s">
        <v>557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558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559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560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561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7</v>
      </c>
      <c r="E16" s="66" t="str">
        <f>MID(Index!$G$32,hlavicka!E62,1)</f>
        <v>7</v>
      </c>
      <c r="F16" s="66" t="str">
        <f>MID(Index!$G$32,hlavicka!F62,1)</f>
        <v>5</v>
      </c>
      <c r="G16" s="66" t="str">
        <f>MID(Index!$G$32,hlavicka!G62,1)</f>
        <v>4</v>
      </c>
      <c r="H16" s="66" t="str">
        <f>MID(Index!$G$32,hlavicka!H62,1)</f>
        <v>0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69" t="s">
        <v>562</v>
      </c>
      <c r="AB17" s="169"/>
      <c r="AC17" s="169"/>
      <c r="AD17" s="169"/>
      <c r="AE17" s="169"/>
      <c r="AF17" s="169"/>
      <c r="AG17" s="169"/>
      <c r="AH17" s="169"/>
      <c r="AI17" s="169"/>
      <c r="AJ17" s="37"/>
      <c r="AK17" s="54"/>
      <c r="AL17" s="54"/>
    </row>
    <row r="18" spans="1:38">
      <c r="A18" s="43" t="s">
        <v>563</v>
      </c>
      <c r="B18" s="37"/>
      <c r="C18" s="43" t="s">
        <v>564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69" t="s">
        <v>565</v>
      </c>
      <c r="AB18" s="169"/>
      <c r="AC18" s="169"/>
      <c r="AD18" s="169"/>
      <c r="AE18" s="169"/>
      <c r="AF18" s="169"/>
      <c r="AG18" s="169"/>
      <c r="AH18" s="169"/>
      <c r="AI18" s="169"/>
      <c r="AJ18" s="37"/>
      <c r="AK18" s="54"/>
      <c r="AL18" s="54"/>
    </row>
    <row r="19" spans="1:38">
      <c r="A19" s="48">
        <v>6</v>
      </c>
      <c r="B19" s="48">
        <v>5</v>
      </c>
      <c r="C19" s="37" t="s">
        <v>566</v>
      </c>
      <c r="D19" s="48">
        <v>3</v>
      </c>
      <c r="E19" s="48">
        <v>0</v>
      </c>
      <c r="F19" s="37" t="s">
        <v>566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69" t="s">
        <v>567</v>
      </c>
      <c r="AB19" s="169"/>
      <c r="AC19" s="169"/>
      <c r="AD19" s="169"/>
      <c r="AE19" s="169"/>
      <c r="AF19" s="169"/>
      <c r="AG19" s="169"/>
      <c r="AH19" s="169"/>
      <c r="AI19" s="169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552</v>
      </c>
      <c r="AD20" s="43"/>
      <c r="AE20" s="43"/>
      <c r="AF20" s="43" t="s">
        <v>553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557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559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568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569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570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d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0" t="s">
        <v>571</v>
      </c>
      <c r="B30" s="170"/>
      <c r="C30" s="170"/>
      <c r="D30" s="170"/>
      <c r="E30" s="170"/>
      <c r="F30" s="170"/>
      <c r="G30" s="170"/>
      <c r="H30" s="170"/>
      <c r="I30" s="170"/>
      <c r="J30" s="170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V</v>
      </c>
      <c r="B31" s="66" t="str">
        <f>MID(Index!$G$19,hlavicka!B62,1)</f>
        <v>ý</v>
      </c>
      <c r="C31" s="66" t="str">
        <f>MID(Index!$G$19,hlavicka!C62,1)</f>
        <v>p</v>
      </c>
      <c r="D31" s="66" t="str">
        <f>MID(Index!$G$19,hlavicka!D62,1)</f>
        <v>l</v>
      </c>
      <c r="E31" s="66" t="str">
        <f>MID(Index!$G$19,hlavicka!E62,1)</f>
        <v>a</v>
      </c>
      <c r="F31" s="66" t="str">
        <f>MID(Index!$G$19,hlavicka!F62,1)</f>
        <v>t</v>
      </c>
      <c r="G31" s="66" t="str">
        <f>MID(Index!$G$19,hlavicka!G62,1)</f>
        <v>n</v>
      </c>
      <c r="H31" s="66" t="str">
        <f>MID(Index!$G$19,hlavicka!H62,1)</f>
        <v>ý</v>
      </c>
      <c r="I31" s="66" t="str">
        <f>MID(Index!$G$19,hlavicka!I62,1)</f>
        <v xml:space="preserve"> </v>
      </c>
      <c r="J31" s="66" t="str">
        <f>MID(Index!$G$19,hlavicka!J62,1)</f>
        <v>d</v>
      </c>
      <c r="K31" s="66" t="str">
        <f>MID(Index!$G$19,hlavicka!K62,1)</f>
        <v>o</v>
      </c>
      <c r="L31" s="66" t="str">
        <f>MID(Index!$G$19,hlavicka!L62,1)</f>
        <v>p</v>
      </c>
      <c r="M31" s="66" t="str">
        <f>MID(Index!$G$19,hlavicka!M62,1)</f>
        <v>l</v>
      </c>
      <c r="N31" s="66" t="str">
        <f>MID(Index!$G$19,hlavicka!N62,1)</f>
        <v>n</v>
      </c>
      <c r="O31" s="66" t="str">
        <f>MID(Index!$G$19,hlavicka!O62,1)</f>
        <v>k</v>
      </c>
      <c r="P31" s="66" t="str">
        <f>MID(Index!$G$19,hlavicka!P62,1)</f>
        <v>o</v>
      </c>
      <c r="Q31" s="66" t="str">
        <f>MID(Index!$G$19,hlavicka!Q62,1)</f>
        <v>v</v>
      </c>
      <c r="R31" s="66" t="str">
        <f>MID(Index!$G$19,hlavicka!R62,1)</f>
        <v>ý</v>
      </c>
      <c r="S31" s="66" t="str">
        <f>MID(Index!$G$19,hlavicka!S62,1)</f>
        <v xml:space="preserve"> </v>
      </c>
      <c r="T31" s="66" t="str">
        <f>MID(Index!$G$19,hlavicka!T62,1)</f>
        <v>d</v>
      </c>
      <c r="U31" s="66" t="str">
        <f>MID(Index!$G$19,hlavicka!U62,1)</f>
        <v>ô</v>
      </c>
      <c r="V31" s="66" t="str">
        <f>MID(Index!$G$19,hlavicka!V62,1)</f>
        <v>c</v>
      </c>
      <c r="W31" s="66" t="str">
        <f>MID(Index!$G$19,hlavicka!W62,1)</f>
        <v>h</v>
      </c>
      <c r="X31" s="66" t="str">
        <f>MID(Index!$G$19,hlavicka!X62,1)</f>
        <v>o</v>
      </c>
      <c r="Y31" s="66" t="str">
        <f>MID(Index!$G$19,hlavicka!Y62,1)</f>
        <v>d</v>
      </c>
      <c r="Z31" s="66" t="str">
        <f>MID(Index!$G$19,hlavicka!Z62,1)</f>
        <v>k</v>
      </c>
      <c r="AA31" s="66" t="str">
        <f>MID(Index!$G$19,hlavicka!AA62,1)</f>
        <v>o</v>
      </c>
      <c r="AB31" s="66" t="str">
        <f>MID(Index!$G$19,hlavicka!AB62,1)</f>
        <v>v</v>
      </c>
      <c r="AC31" s="66" t="str">
        <f>MID(Index!$G$19,hlavicka!AC62,1)</f>
        <v>ý</v>
      </c>
      <c r="AD31" s="66" t="str">
        <f>MID(Index!$G$19,hlavicka!AD62,1)</f>
        <v xml:space="preserve"> </v>
      </c>
      <c r="AE31" s="66" t="str">
        <f>MID(Index!$G$19,hlavicka!AE62,1)</f>
        <v>f</v>
      </c>
      <c r="AF31" s="66" t="str">
        <f>MID(Index!$G$19,hlavicka!AF62,1)</f>
        <v>o</v>
      </c>
      <c r="AG31" s="66" t="str">
        <f>MID(Index!$G$19,hlavicka!AG62,1)</f>
        <v>n</v>
      </c>
      <c r="AH31" s="66" t="str">
        <f>MID(Index!$G$19,hlavicka!AH62,1)</f>
        <v>d</v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d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MID(Index!$G$22,hlavicka!J62,1)</f>
        <v>.</v>
      </c>
      <c r="K32" s="69" t="str">
        <f>MID(Index!$G$22,hlavicka!K62,1)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>,</v>
      </c>
      <c r="R32" s="69" t="str">
        <f>MID(Index!$G$22,hlavicka!R62,1)</f>
        <v xml:space="preserve"> </v>
      </c>
      <c r="S32" s="69" t="str">
        <f>MID(Index!$G$22,hlavicka!S62,1)</f>
        <v>v</v>
      </c>
      <c r="T32" s="69" t="str">
        <f>MID(Index!$G$22,hlavicka!T62,1)</f>
        <v>ý</v>
      </c>
      <c r="U32" s="69" t="str">
        <f>MID(Index!$G$22,hlavicka!U62,1)</f>
        <v>p</v>
      </c>
      <c r="V32" s="69" t="str">
        <f>MID(Index!$G$22,hlavicka!V62,1)</f>
        <v>l</v>
      </c>
      <c r="W32" s="69" t="str">
        <f>MID(Index!$G$22,hlavicka!W62,1)</f>
        <v>a</v>
      </c>
      <c r="X32" s="69" t="str">
        <f>MID(Index!$G$22,hlavicka!X62,1)</f>
        <v>t</v>
      </c>
      <c r="Y32" s="69" t="str">
        <f>MID(Index!$G$22,hlavicka!Y62,1)</f>
        <v>n</v>
      </c>
      <c r="Z32" s="69" t="str">
        <f>MID(Index!$G$22,hlavicka!Z62,1)</f>
        <v>ý</v>
      </c>
      <c r="AA32" s="69" t="str">
        <f>MID(Index!$G$22,hlavicka!AA62,1)</f>
        <v xml:space="preserve"> </v>
      </c>
      <c r="AB32" s="69" t="str">
        <f>MID(Index!$G$22,hlavicka!AB62,1)</f>
        <v>d</v>
      </c>
      <c r="AC32" s="69" t="str">
        <f>MID(Index!$G$22,hlavicka!AC62,1)</f>
        <v>.</v>
      </c>
      <c r="AD32" s="69" t="str">
        <f>MID(Index!$G$22,hlavicka!AD62,1)</f>
        <v>d</v>
      </c>
      <c r="AE32" s="69" t="str">
        <f>MID(Index!$G$22,hlavicka!AE62,1)</f>
        <v>.</v>
      </c>
      <c r="AF32" s="69" t="str">
        <f>MID(Index!$G$22,hlavicka!AF62,1)</f>
        <v>f</v>
      </c>
      <c r="AG32" s="69" t="str">
        <f>MID(Index!$G$22,hlavicka!AG62,1)</f>
        <v>.</v>
      </c>
      <c r="AH32" s="69" t="str">
        <f>MID(Index!$G$22,hlavicka!AH62,1)</f>
        <v/>
      </c>
      <c r="AI32" s="69" t="str">
        <f>MID(Index!$G$22,hlavicka!AI62,1)</f>
        <v/>
      </c>
      <c r="AJ32" s="69" t="str">
        <f>MID(Index!$G$22,hlavicka!AJ62,1)</f>
        <v/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580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581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582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583</v>
      </c>
      <c r="B36" s="48" t="s">
        <v>574</v>
      </c>
      <c r="C36" s="48" t="s">
        <v>584</v>
      </c>
      <c r="D36" s="48" t="s">
        <v>585</v>
      </c>
      <c r="E36" s="48" t="s">
        <v>578</v>
      </c>
      <c r="F36" s="48" t="s">
        <v>586</v>
      </c>
      <c r="G36" s="48" t="s">
        <v>572</v>
      </c>
      <c r="H36" s="48" t="s">
        <v>577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548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587</v>
      </c>
      <c r="B38" s="37"/>
      <c r="C38" s="37"/>
      <c r="D38" s="37"/>
      <c r="E38" s="37"/>
      <c r="F38" s="37"/>
      <c r="G38" s="37" t="s">
        <v>588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589</v>
      </c>
      <c r="H39" s="48" t="s">
        <v>578</v>
      </c>
      <c r="I39" s="48" t="s">
        <v>577</v>
      </c>
      <c r="J39" s="48" t="s">
        <v>579</v>
      </c>
      <c r="K39" s="48" t="s">
        <v>573</v>
      </c>
      <c r="L39" s="48" t="s">
        <v>586</v>
      </c>
      <c r="M39" s="48" t="s">
        <v>584</v>
      </c>
      <c r="N39" s="48" t="s">
        <v>577</v>
      </c>
      <c r="O39" s="48" t="s">
        <v>575</v>
      </c>
      <c r="P39" s="48" t="s">
        <v>577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590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591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546</v>
      </c>
      <c r="B42" s="48" t="s">
        <v>547</v>
      </c>
      <c r="C42" s="48"/>
      <c r="D42" s="71"/>
      <c r="E42" s="72" t="s">
        <v>592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592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593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594</v>
      </c>
      <c r="B45" s="48" t="s">
        <v>576</v>
      </c>
      <c r="C45" s="48" t="s">
        <v>595</v>
      </c>
      <c r="D45" s="48" t="s">
        <v>574</v>
      </c>
      <c r="E45" s="48" t="s">
        <v>596</v>
      </c>
      <c r="F45" s="48" t="s">
        <v>577</v>
      </c>
      <c r="G45" s="48" t="s">
        <v>554</v>
      </c>
      <c r="H45" s="48" t="s">
        <v>577</v>
      </c>
      <c r="I45" s="48" t="s">
        <v>566</v>
      </c>
      <c r="J45" s="48" t="s">
        <v>586</v>
      </c>
      <c r="K45" s="48" t="s">
        <v>572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597</v>
      </c>
      <c r="B47" s="58"/>
      <c r="C47" s="58"/>
      <c r="D47" s="58"/>
      <c r="E47" s="58"/>
      <c r="F47" s="58"/>
      <c r="G47" s="58"/>
      <c r="H47" s="74"/>
      <c r="I47" s="155" t="s">
        <v>598</v>
      </c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7"/>
      <c r="AK47" s="54"/>
      <c r="AL47" s="54"/>
    </row>
    <row r="48" spans="1:38">
      <c r="A48" s="166">
        <v>43914</v>
      </c>
      <c r="B48" s="167"/>
      <c r="C48" s="167"/>
      <c r="D48" s="167"/>
      <c r="E48" s="167"/>
      <c r="F48" s="167"/>
      <c r="G48" s="167"/>
      <c r="H48" s="75"/>
      <c r="I48" s="158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60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8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60"/>
      <c r="AK49" s="54"/>
      <c r="AL49" s="54"/>
    </row>
    <row r="50" spans="1:38">
      <c r="A50" s="73" t="s">
        <v>599</v>
      </c>
      <c r="B50" s="58"/>
      <c r="C50" s="58"/>
      <c r="D50" s="58"/>
      <c r="E50" s="58"/>
      <c r="F50" s="58"/>
      <c r="G50" s="58"/>
      <c r="H50" s="74"/>
      <c r="I50" s="158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60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8"/>
      <c r="J51" s="164" t="s">
        <v>810</v>
      </c>
      <c r="K51" s="164"/>
      <c r="L51" s="164"/>
      <c r="M51" s="164"/>
      <c r="N51" s="164"/>
      <c r="O51" s="164"/>
      <c r="P51" s="164"/>
      <c r="Q51" s="159"/>
      <c r="R51" s="159"/>
      <c r="S51" s="159"/>
      <c r="T51" s="159"/>
      <c r="U51" s="159"/>
      <c r="V51" s="159"/>
      <c r="W51" s="159"/>
      <c r="X51" s="159"/>
      <c r="Y51" s="164" t="s">
        <v>811</v>
      </c>
      <c r="Z51" s="164"/>
      <c r="AA51" s="164"/>
      <c r="AB51" s="164"/>
      <c r="AC51" s="164"/>
      <c r="AD51" s="164"/>
      <c r="AE51" s="164"/>
      <c r="AF51" s="159"/>
      <c r="AG51" s="159"/>
      <c r="AH51" s="159"/>
      <c r="AI51" s="159"/>
      <c r="AJ51" s="160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1"/>
      <c r="J52" s="165" t="s">
        <v>812</v>
      </c>
      <c r="K52" s="165"/>
      <c r="L52" s="165"/>
      <c r="M52" s="165"/>
      <c r="N52" s="165"/>
      <c r="O52" s="165"/>
      <c r="P52" s="165"/>
      <c r="Q52" s="162"/>
      <c r="R52" s="162"/>
      <c r="S52" s="162"/>
      <c r="T52" s="162"/>
      <c r="U52" s="162"/>
      <c r="V52" s="162"/>
      <c r="W52" s="162"/>
      <c r="X52" s="162"/>
      <c r="Y52" s="165" t="s">
        <v>812</v>
      </c>
      <c r="Z52" s="165"/>
      <c r="AA52" s="165"/>
      <c r="AB52" s="165"/>
      <c r="AC52" s="165"/>
      <c r="AD52" s="165"/>
      <c r="AE52" s="165"/>
      <c r="AF52" s="162"/>
      <c r="AG52" s="162"/>
      <c r="AH52" s="162"/>
      <c r="AI52" s="162"/>
      <c r="AJ52" s="163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6">
        <v>1</v>
      </c>
      <c r="B62" s="146">
        <f>1+A62</f>
        <v>2</v>
      </c>
      <c r="C62" s="146">
        <f t="shared" ref="C62:AJ62" si="0">1+B62</f>
        <v>3</v>
      </c>
      <c r="D62" s="146">
        <f t="shared" si="0"/>
        <v>4</v>
      </c>
      <c r="E62" s="146">
        <f t="shared" si="0"/>
        <v>5</v>
      </c>
      <c r="F62" s="146">
        <f t="shared" si="0"/>
        <v>6</v>
      </c>
      <c r="G62" s="146">
        <f t="shared" si="0"/>
        <v>7</v>
      </c>
      <c r="H62" s="146">
        <f t="shared" si="0"/>
        <v>8</v>
      </c>
      <c r="I62" s="146">
        <f t="shared" si="0"/>
        <v>9</v>
      </c>
      <c r="J62" s="146">
        <f t="shared" si="0"/>
        <v>10</v>
      </c>
      <c r="K62" s="146">
        <f t="shared" si="0"/>
        <v>11</v>
      </c>
      <c r="L62" s="146">
        <f t="shared" si="0"/>
        <v>12</v>
      </c>
      <c r="M62" s="146">
        <f t="shared" si="0"/>
        <v>13</v>
      </c>
      <c r="N62" s="146">
        <f t="shared" si="0"/>
        <v>14</v>
      </c>
      <c r="O62" s="146">
        <f t="shared" si="0"/>
        <v>15</v>
      </c>
      <c r="P62" s="146">
        <f t="shared" si="0"/>
        <v>16</v>
      </c>
      <c r="Q62" s="146">
        <f t="shared" si="0"/>
        <v>17</v>
      </c>
      <c r="R62" s="146">
        <f t="shared" si="0"/>
        <v>18</v>
      </c>
      <c r="S62" s="146">
        <f t="shared" si="0"/>
        <v>19</v>
      </c>
      <c r="T62" s="146">
        <f t="shared" si="0"/>
        <v>20</v>
      </c>
      <c r="U62" s="146">
        <f t="shared" si="0"/>
        <v>21</v>
      </c>
      <c r="V62" s="146">
        <f t="shared" si="0"/>
        <v>22</v>
      </c>
      <c r="W62" s="146">
        <f t="shared" si="0"/>
        <v>23</v>
      </c>
      <c r="X62" s="146">
        <f t="shared" si="0"/>
        <v>24</v>
      </c>
      <c r="Y62" s="146">
        <f t="shared" si="0"/>
        <v>25</v>
      </c>
      <c r="Z62" s="146">
        <f t="shared" si="0"/>
        <v>26</v>
      </c>
      <c r="AA62" s="146">
        <f t="shared" si="0"/>
        <v>27</v>
      </c>
      <c r="AB62" s="146">
        <f t="shared" si="0"/>
        <v>28</v>
      </c>
      <c r="AC62" s="146">
        <f t="shared" si="0"/>
        <v>29</v>
      </c>
      <c r="AD62" s="146">
        <f t="shared" si="0"/>
        <v>30</v>
      </c>
      <c r="AE62" s="146">
        <f t="shared" si="0"/>
        <v>31</v>
      </c>
      <c r="AF62" s="146">
        <f t="shared" si="0"/>
        <v>32</v>
      </c>
      <c r="AG62" s="146">
        <f t="shared" si="0"/>
        <v>33</v>
      </c>
      <c r="AH62" s="146">
        <f t="shared" si="0"/>
        <v>34</v>
      </c>
      <c r="AI62" s="146">
        <f t="shared" si="0"/>
        <v>35</v>
      </c>
      <c r="AJ62" s="146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Y51:AE51"/>
    <mergeCell ref="J52:P52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workbookViewId="0">
      <selection activeCell="D27" sqref="D27"/>
    </sheetView>
  </sheetViews>
  <sheetFormatPr defaultRowHeight="12.75"/>
  <cols>
    <col min="3" max="3" width="49.710937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545</v>
      </c>
      <c r="C6" s="85"/>
      <c r="D6" s="86" t="s">
        <v>600</v>
      </c>
      <c r="E6" s="85"/>
      <c r="F6" s="123"/>
    </row>
    <row r="7" spans="2:7">
      <c r="B7" s="149" t="str">
        <f>IF((Index!G26=0),"",Index!G26)</f>
        <v>097900BHMW0000108583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571</v>
      </c>
      <c r="C9" s="85"/>
      <c r="D9" s="85"/>
      <c r="E9" s="85"/>
      <c r="F9" s="123"/>
      <c r="G9" s="85"/>
    </row>
    <row r="10" spans="2:7">
      <c r="B10" s="91" t="str">
        <f>+CONCATENATE(Index!G19," ",Index!G22)</f>
        <v>Výplatný doplnkový dôchodkový fond AXA d.d.s., a.s., výplatný d.d.f.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1" t="s">
        <v>602</v>
      </c>
      <c r="C13" s="172"/>
      <c r="D13" s="172"/>
      <c r="E13" s="109"/>
      <c r="F13" s="109"/>
      <c r="G13" s="109"/>
    </row>
    <row r="14" spans="2:7">
      <c r="B14" s="173" t="str">
        <f>CONCATENATE("k ",D17)</f>
        <v>k 31.12.2019</v>
      </c>
      <c r="C14" s="174"/>
      <c r="D14" s="174"/>
      <c r="E14" s="110"/>
      <c r="F14" s="110"/>
      <c r="G14" s="110"/>
    </row>
    <row r="15" spans="2:7">
      <c r="B15" s="173" t="s">
        <v>603</v>
      </c>
      <c r="C15" s="174"/>
      <c r="D15" s="174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604</v>
      </c>
      <c r="C17" s="93" t="s">
        <v>605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577</v>
      </c>
      <c r="C18" s="96" t="s">
        <v>606</v>
      </c>
      <c r="D18" s="96">
        <v>1</v>
      </c>
      <c r="E18" s="97"/>
      <c r="F18" s="121"/>
      <c r="G18" s="87"/>
    </row>
    <row r="19" spans="2:7">
      <c r="B19" s="99" t="s">
        <v>554</v>
      </c>
      <c r="C19" s="96" t="s">
        <v>607</v>
      </c>
      <c r="D19" s="96"/>
      <c r="E19" s="97"/>
      <c r="F19" s="121"/>
      <c r="G19" s="87"/>
    </row>
    <row r="20" spans="2:7">
      <c r="B20" s="96" t="s">
        <v>608</v>
      </c>
      <c r="C20" s="100" t="s">
        <v>609</v>
      </c>
      <c r="D20" s="101">
        <f>D21+D24+D27+D32+D35+D40+D43+D44</f>
        <v>6244236.7400000002</v>
      </c>
      <c r="E20" s="102"/>
      <c r="F20" s="121"/>
      <c r="G20" s="87"/>
    </row>
    <row r="21" spans="2:7">
      <c r="B21" s="96" t="s">
        <v>610</v>
      </c>
      <c r="C21" s="103" t="s">
        <v>611</v>
      </c>
      <c r="D21" s="138">
        <f>+D22+D23</f>
        <v>0</v>
      </c>
      <c r="E21" s="104"/>
      <c r="F21" s="121"/>
      <c r="G21" s="87"/>
    </row>
    <row r="22" spans="2:7">
      <c r="B22" s="99" t="s">
        <v>36</v>
      </c>
      <c r="C22" s="103" t="s">
        <v>612</v>
      </c>
      <c r="D22" s="134">
        <f>SUMIF(datasheet!$A$25:$A$50000,Aktiva!$F22,datasheet!$C$25:$C$50000)</f>
        <v>0</v>
      </c>
      <c r="E22" s="104"/>
      <c r="F22" s="121" t="s">
        <v>613</v>
      </c>
      <c r="G22" s="87"/>
    </row>
    <row r="23" spans="2:7">
      <c r="B23" s="99" t="s">
        <v>38</v>
      </c>
      <c r="C23" s="103" t="s">
        <v>614</v>
      </c>
      <c r="D23" s="134">
        <f>SUMIF(datasheet!$A$25:$A$50000,Aktiva!$F23,datasheet!$C$25:$C$50000)</f>
        <v>0</v>
      </c>
      <c r="E23" s="104"/>
      <c r="F23" s="121" t="s">
        <v>351</v>
      </c>
      <c r="G23" s="87"/>
    </row>
    <row r="24" spans="2:7">
      <c r="B24" s="96" t="s">
        <v>615</v>
      </c>
      <c r="C24" s="103" t="s">
        <v>616</v>
      </c>
      <c r="D24" s="105">
        <f>+D25+D26</f>
        <v>2223218.9200000004</v>
      </c>
      <c r="E24" s="104"/>
      <c r="F24" s="121"/>
      <c r="G24" s="87"/>
    </row>
    <row r="25" spans="2:7">
      <c r="B25" s="99" t="s">
        <v>36</v>
      </c>
      <c r="C25" s="103" t="s">
        <v>612</v>
      </c>
      <c r="D25" s="134">
        <f>SUMIF(datasheet!$A$25:$A$50000,Aktiva!$F25,datasheet!$C$25:$C$50000)</f>
        <v>0</v>
      </c>
      <c r="E25" s="104"/>
      <c r="F25" s="121" t="s">
        <v>386</v>
      </c>
      <c r="G25" s="87"/>
    </row>
    <row r="26" spans="2:7">
      <c r="B26" s="99" t="s">
        <v>38</v>
      </c>
      <c r="C26" s="103" t="s">
        <v>614</v>
      </c>
      <c r="D26" s="134">
        <f>SUMIF(datasheet!$A$25:$A$50000,Aktiva!$F26,datasheet!$C$25:$C$50000)</f>
        <v>2223218.9200000004</v>
      </c>
      <c r="E26" s="104"/>
      <c r="F26" s="121" t="s">
        <v>30</v>
      </c>
      <c r="G26" s="87"/>
    </row>
    <row r="27" spans="2:7">
      <c r="B27" s="96" t="s">
        <v>617</v>
      </c>
      <c r="C27" s="103" t="s">
        <v>618</v>
      </c>
      <c r="D27" s="105">
        <f>+D28+D29+D30+D31</f>
        <v>0</v>
      </c>
      <c r="E27" s="104"/>
      <c r="F27" s="121"/>
      <c r="G27" s="87"/>
    </row>
    <row r="28" spans="2:7">
      <c r="B28" s="99" t="s">
        <v>36</v>
      </c>
      <c r="C28" s="103" t="s">
        <v>619</v>
      </c>
      <c r="D28" s="134">
        <f>SUMIF(datasheet!$A$25:$A$50000,Aktiva!$F28,datasheet!$C$25:$C$50000)</f>
        <v>0</v>
      </c>
      <c r="E28" s="104"/>
      <c r="F28" s="121" t="s">
        <v>9</v>
      </c>
      <c r="G28" s="87"/>
    </row>
    <row r="29" spans="2:7">
      <c r="B29" s="99" t="s">
        <v>38</v>
      </c>
      <c r="C29" s="103" t="s">
        <v>620</v>
      </c>
      <c r="D29" s="134">
        <f>SUMIF(datasheet!$A$25:$A$50000,Aktiva!$F29,datasheet!$C$25:$C$50000)</f>
        <v>0</v>
      </c>
      <c r="E29" s="104"/>
      <c r="F29" s="121" t="s">
        <v>150</v>
      </c>
      <c r="G29" s="87"/>
    </row>
    <row r="30" spans="2:7" ht="24">
      <c r="B30" s="106" t="s">
        <v>54</v>
      </c>
      <c r="C30" s="107" t="s">
        <v>621</v>
      </c>
      <c r="D30" s="134">
        <f>SUMIF(datasheet!$A$25:$A$50000,Aktiva!$F30,datasheet!$C$25:$C$50000)</f>
        <v>0</v>
      </c>
      <c r="E30" s="108"/>
      <c r="F30" s="121" t="s">
        <v>32</v>
      </c>
      <c r="G30" s="87"/>
    </row>
    <row r="31" spans="2:7" ht="24">
      <c r="B31" s="106" t="s">
        <v>56</v>
      </c>
      <c r="C31" s="107" t="s">
        <v>622</v>
      </c>
      <c r="D31" s="134">
        <f>SUMIF(datasheet!$A$25:$A$50000,Aktiva!$F31,datasheet!$C$25:$C$50000)</f>
        <v>0</v>
      </c>
      <c r="E31" s="108"/>
      <c r="F31" s="121" t="s">
        <v>623</v>
      </c>
      <c r="G31" s="87"/>
    </row>
    <row r="32" spans="2:7">
      <c r="B32" s="96" t="s">
        <v>624</v>
      </c>
      <c r="C32" s="103" t="s">
        <v>625</v>
      </c>
      <c r="D32" s="103"/>
      <c r="E32" s="104"/>
      <c r="F32" s="121"/>
      <c r="G32" s="87"/>
    </row>
    <row r="33" spans="2:7">
      <c r="B33" s="99" t="s">
        <v>36</v>
      </c>
      <c r="C33" s="103" t="s">
        <v>626</v>
      </c>
      <c r="D33" s="134">
        <f>SUMIF(datasheet!$A$25:$A$50000,Aktiva!$F33,datasheet!$C$25:$C$50000)</f>
        <v>0</v>
      </c>
      <c r="E33" s="104"/>
      <c r="F33" s="121" t="s">
        <v>148</v>
      </c>
      <c r="G33" s="87"/>
    </row>
    <row r="34" spans="2:7">
      <c r="B34" s="99" t="s">
        <v>38</v>
      </c>
      <c r="C34" s="103" t="s">
        <v>627</v>
      </c>
      <c r="D34" s="134">
        <f>SUMIF(datasheet!$A$25:$A$50000,Aktiva!$F34,datasheet!$C$25:$C$50000)</f>
        <v>0</v>
      </c>
      <c r="E34" s="104"/>
      <c r="F34" s="121" t="s">
        <v>14</v>
      </c>
      <c r="G34" s="87"/>
    </row>
    <row r="35" spans="2:7">
      <c r="B35" s="96" t="s">
        <v>628</v>
      </c>
      <c r="C35" s="103" t="s">
        <v>629</v>
      </c>
      <c r="D35" s="105">
        <f>SUM(D36:D39)</f>
        <v>4021017.82</v>
      </c>
      <c r="E35" s="104"/>
      <c r="F35" s="121"/>
      <c r="G35" s="87"/>
    </row>
    <row r="36" spans="2:7">
      <c r="B36" s="99" t="s">
        <v>36</v>
      </c>
      <c r="C36" s="103" t="s">
        <v>630</v>
      </c>
      <c r="D36" s="134">
        <f>SUMIF(datasheet!$A$25:$A$50000,Aktiva!$F36,datasheet!$C$25:$C$50000)</f>
        <v>4020174.06</v>
      </c>
      <c r="E36" s="104"/>
      <c r="F36" s="121" t="s">
        <v>23</v>
      </c>
      <c r="G36" s="87"/>
    </row>
    <row r="37" spans="2:7" ht="24">
      <c r="B37" s="106" t="s">
        <v>38</v>
      </c>
      <c r="C37" s="107" t="s">
        <v>631</v>
      </c>
      <c r="D37" s="134">
        <f>SUMIF(datasheet!$A$25:$A$50000,Aktiva!$F37,datasheet!$C$25:$C$50000)</f>
        <v>0</v>
      </c>
      <c r="E37" s="108"/>
      <c r="F37" s="121" t="s">
        <v>632</v>
      </c>
      <c r="G37" s="87"/>
    </row>
    <row r="38" spans="2:7">
      <c r="B38" s="99" t="s">
        <v>54</v>
      </c>
      <c r="C38" s="103" t="s">
        <v>633</v>
      </c>
      <c r="D38" s="134">
        <f>SUMIF(datasheet!$A$25:$A$50000,Aktiva!$F38,datasheet!$C$25:$C$50000)</f>
        <v>843.76</v>
      </c>
      <c r="E38" s="104"/>
      <c r="F38" s="121" t="s">
        <v>634</v>
      </c>
      <c r="G38" s="87"/>
    </row>
    <row r="39" spans="2:7">
      <c r="B39" s="99" t="s">
        <v>56</v>
      </c>
      <c r="C39" s="103" t="s">
        <v>635</v>
      </c>
      <c r="D39" s="134">
        <f>SUMIF(datasheet!$A$25:$A$50000,Aktiva!$F39,datasheet!$C$25:$C$50000)</f>
        <v>0</v>
      </c>
      <c r="E39" s="104"/>
      <c r="F39" s="121" t="s">
        <v>636</v>
      </c>
      <c r="G39" s="87"/>
    </row>
    <row r="40" spans="2:7">
      <c r="B40" s="96" t="s">
        <v>637</v>
      </c>
      <c r="C40" s="103" t="s">
        <v>638</v>
      </c>
      <c r="D40" s="138">
        <f>+D41+D42</f>
        <v>0</v>
      </c>
      <c r="E40" s="104"/>
      <c r="F40" s="121"/>
      <c r="G40" s="87"/>
    </row>
    <row r="41" spans="2:7">
      <c r="B41" s="99" t="s">
        <v>36</v>
      </c>
      <c r="C41" s="103" t="s">
        <v>639</v>
      </c>
      <c r="D41" s="134">
        <f>SUMIF(datasheet!$A$25:$A$50000,Aktiva!$F41,datasheet!$C$25:$C$50000)</f>
        <v>0</v>
      </c>
      <c r="E41" s="104"/>
      <c r="F41" s="121" t="s">
        <v>640</v>
      </c>
      <c r="G41" s="87"/>
    </row>
    <row r="42" spans="2:7" ht="24">
      <c r="B42" s="106" t="s">
        <v>38</v>
      </c>
      <c r="C42" s="107" t="s">
        <v>641</v>
      </c>
      <c r="D42" s="134">
        <f>SUMIF(datasheet!$A$25:$A$50000,Aktiva!$F42,datasheet!$C$25:$C$50000)</f>
        <v>0</v>
      </c>
      <c r="E42" s="108"/>
      <c r="F42" s="121" t="s">
        <v>642</v>
      </c>
      <c r="G42" s="87"/>
    </row>
    <row r="43" spans="2:7">
      <c r="B43" s="96" t="s">
        <v>643</v>
      </c>
      <c r="C43" s="103" t="s">
        <v>644</v>
      </c>
      <c r="D43" s="134">
        <f>SUMIF(datasheet!$A$25:$A$50000,Aktiva!$F43,datasheet!$C$25:$C$50000)</f>
        <v>0</v>
      </c>
      <c r="E43" s="104"/>
      <c r="F43" s="121" t="s">
        <v>645</v>
      </c>
      <c r="G43" s="87"/>
    </row>
    <row r="44" spans="2:7">
      <c r="B44" s="96" t="s">
        <v>646</v>
      </c>
      <c r="C44" s="103" t="s">
        <v>647</v>
      </c>
      <c r="D44" s="134">
        <f>SUMIF(datasheet!$A$25:$A$50000,Aktiva!$F44,datasheet!$C$25:$C$50000)</f>
        <v>0</v>
      </c>
      <c r="E44" s="104"/>
      <c r="F44" s="121" t="s">
        <v>24</v>
      </c>
      <c r="G44" s="87"/>
    </row>
    <row r="45" spans="2:7">
      <c r="B45" s="96" t="s">
        <v>648</v>
      </c>
      <c r="C45" s="100" t="s">
        <v>649</v>
      </c>
      <c r="D45" s="101">
        <f>D46+D47</f>
        <v>1562839.86</v>
      </c>
      <c r="E45" s="102"/>
      <c r="F45" s="121"/>
      <c r="G45" s="87"/>
    </row>
    <row r="46" spans="2:7">
      <c r="B46" s="96" t="s">
        <v>650</v>
      </c>
      <c r="C46" s="103" t="s">
        <v>651</v>
      </c>
      <c r="D46" s="134">
        <f>SUMIF(datasheet!$A$25:$A$50000,Aktiva!$F46,datasheet!$C$25:$C$50000)</f>
        <v>1562839.86</v>
      </c>
      <c r="E46" s="104"/>
      <c r="F46" s="121" t="s">
        <v>15</v>
      </c>
      <c r="G46" s="87"/>
    </row>
    <row r="47" spans="2:7">
      <c r="B47" s="96" t="s">
        <v>652</v>
      </c>
      <c r="C47" s="103" t="s">
        <v>653</v>
      </c>
      <c r="D47" s="134">
        <f>SUMIF(datasheet!$A$25:$A$50000,Aktiva!$F47,datasheet!$C$25:$C$50000)</f>
        <v>0</v>
      </c>
      <c r="E47" s="104"/>
      <c r="F47" s="121" t="s">
        <v>149</v>
      </c>
      <c r="G47" s="87"/>
    </row>
    <row r="48" spans="2:7">
      <c r="B48" s="100"/>
      <c r="C48" s="96" t="s">
        <v>654</v>
      </c>
      <c r="D48" s="101">
        <f>D20+D45</f>
        <v>7807076.6000000006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39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E33" sqref="E33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545</v>
      </c>
      <c r="C6" s="85"/>
      <c r="D6" s="85"/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0" t="str">
        <f>Aktiva!B7</f>
        <v>097900BHMW0000108583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571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Výplatný doplnkový dôchodkový fond AXA d.d.s., a.s., výplatný d.d.f.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1" t="s">
        <v>602</v>
      </c>
      <c r="C12" s="172"/>
      <c r="D12" s="172"/>
      <c r="I12" s="87"/>
    </row>
    <row r="13" spans="2:16">
      <c r="B13" s="173" t="str">
        <f>+Aktiva!B14</f>
        <v>k 31.12.2019</v>
      </c>
      <c r="C13" s="174"/>
      <c r="D13" s="174"/>
      <c r="I13" s="87"/>
    </row>
    <row r="14" spans="2:16">
      <c r="B14" s="173" t="s">
        <v>603</v>
      </c>
      <c r="C14" s="174"/>
      <c r="D14" s="174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604</v>
      </c>
      <c r="C17" s="114" t="s">
        <v>605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577</v>
      </c>
      <c r="C18" s="116" t="s">
        <v>606</v>
      </c>
      <c r="D18" s="96">
        <v>1</v>
      </c>
      <c r="I18" s="87"/>
    </row>
    <row r="19" spans="2:16">
      <c r="B19" s="117" t="s">
        <v>554</v>
      </c>
      <c r="C19" s="118" t="s">
        <v>655</v>
      </c>
      <c r="D19" s="140"/>
      <c r="I19" s="87"/>
    </row>
    <row r="20" spans="2:16">
      <c r="B20" s="118" t="s">
        <v>608</v>
      </c>
      <c r="C20" s="119" t="s">
        <v>656</v>
      </c>
      <c r="D20" s="141">
        <f>SUM(D21:D27)</f>
        <v>7680.18</v>
      </c>
      <c r="I20" s="87"/>
      <c r="P20" s="98"/>
    </row>
    <row r="21" spans="2:16">
      <c r="B21" s="118" t="s">
        <v>610</v>
      </c>
      <c r="C21" s="120" t="s">
        <v>657</v>
      </c>
      <c r="D21" s="142">
        <f>-SUMIF(datasheet!$A$25:$A$50000,Pasiva!$F21,datasheet!$C$25:$C$50000)</f>
        <v>0</v>
      </c>
      <c r="F21" s="121" t="s">
        <v>658</v>
      </c>
      <c r="I21" s="87"/>
    </row>
    <row r="22" spans="2:16">
      <c r="B22" s="118" t="s">
        <v>615</v>
      </c>
      <c r="C22" s="120" t="s">
        <v>659</v>
      </c>
      <c r="D22" s="142">
        <f>-SUMIF(datasheet!$A$25:$A$50000,Pasiva!$F22,datasheet!$C$25:$C$50000)</f>
        <v>450.22</v>
      </c>
      <c r="F22" s="121" t="s">
        <v>455</v>
      </c>
      <c r="I22" s="87"/>
    </row>
    <row r="23" spans="2:16">
      <c r="B23" s="118" t="s">
        <v>617</v>
      </c>
      <c r="C23" s="120" t="s">
        <v>660</v>
      </c>
      <c r="D23" s="142">
        <f>-SUMIF(datasheet!$A$25:$A$50000,Pasiva!$F23,datasheet!$C$25:$C$50000)</f>
        <v>0</v>
      </c>
      <c r="F23" s="121" t="s">
        <v>661</v>
      </c>
      <c r="I23" s="87"/>
    </row>
    <row r="24" spans="2:16">
      <c r="B24" s="118" t="s">
        <v>624</v>
      </c>
      <c r="C24" s="120" t="s">
        <v>644</v>
      </c>
      <c r="D24" s="142">
        <f>-SUMIF(datasheet!$A$25:$A$50000,Pasiva!$F24,datasheet!$C$25:$C$50000)</f>
        <v>0</v>
      </c>
      <c r="F24" s="121" t="s">
        <v>662</v>
      </c>
      <c r="I24" s="87"/>
    </row>
    <row r="25" spans="2:16">
      <c r="B25" s="118" t="s">
        <v>628</v>
      </c>
      <c r="C25" s="120" t="s">
        <v>663</v>
      </c>
      <c r="D25" s="142">
        <f>-SUMIF(datasheet!$A$25:$A$50000,Pasiva!$F25,datasheet!$C$25:$C$50000)</f>
        <v>0</v>
      </c>
      <c r="F25" s="121" t="s">
        <v>664</v>
      </c>
      <c r="I25" s="87"/>
    </row>
    <row r="26" spans="2:16">
      <c r="B26" s="118" t="s">
        <v>637</v>
      </c>
      <c r="C26" s="120" t="s">
        <v>665</v>
      </c>
      <c r="D26" s="142">
        <f>-SUMIF(datasheet!$A$25:$A$50000,Pasiva!$F26,datasheet!$C$25:$C$50000)</f>
        <v>0</v>
      </c>
      <c r="F26" s="121" t="s">
        <v>666</v>
      </c>
      <c r="I26" s="87"/>
    </row>
    <row r="27" spans="2:16">
      <c r="B27" s="118" t="s">
        <v>643</v>
      </c>
      <c r="C27" s="120" t="s">
        <v>667</v>
      </c>
      <c r="D27" s="142">
        <f>-SUMIF(datasheet!$A$25:$A$50000,Pasiva!$F27,datasheet!$C$25:$C$50000)</f>
        <v>7229.96</v>
      </c>
      <c r="F27" s="121" t="s">
        <v>668</v>
      </c>
      <c r="I27" s="87"/>
    </row>
    <row r="28" spans="2:16">
      <c r="B28" s="118" t="s">
        <v>648</v>
      </c>
      <c r="C28" s="119" t="s">
        <v>669</v>
      </c>
      <c r="D28" s="141">
        <f>+D29</f>
        <v>7799396.4299999997</v>
      </c>
      <c r="F28" s="121"/>
      <c r="I28" s="87"/>
    </row>
    <row r="29" spans="2:16">
      <c r="B29" s="118" t="s">
        <v>670</v>
      </c>
      <c r="C29" s="120" t="s">
        <v>671</v>
      </c>
      <c r="D29" s="142">
        <f>-SUMIF(datasheet!$A$25:$A$50000,Pasiva!$F29,datasheet!$C$25:$C$50000)+D30</f>
        <v>7799396.4299999997</v>
      </c>
      <c r="F29" s="121" t="s">
        <v>672</v>
      </c>
      <c r="I29" s="87"/>
    </row>
    <row r="30" spans="2:16">
      <c r="B30" s="117" t="s">
        <v>36</v>
      </c>
      <c r="C30" s="120" t="s">
        <v>673</v>
      </c>
      <c r="D30" s="142">
        <f>+Vysledovka!D46</f>
        <v>35604.919999999991</v>
      </c>
      <c r="F30" s="121" t="s">
        <v>31</v>
      </c>
      <c r="I30" s="87"/>
    </row>
    <row r="31" spans="2:16">
      <c r="B31" s="119"/>
      <c r="C31" s="118" t="s">
        <v>674</v>
      </c>
      <c r="D31" s="141">
        <f>D20+D28</f>
        <v>7807076.6099999994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opLeftCell="A10" workbookViewId="0">
      <selection activeCell="G17" sqref="G17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545</v>
      </c>
      <c r="C6" s="113"/>
      <c r="D6" s="113"/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1" t="str">
        <f>Aktiva!B7</f>
        <v>097900BHMW0000108583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4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5" t="s">
        <v>571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4" t="str">
        <f>Aktiva!B10</f>
        <v>Výplatný doplnkový dôchodkový fond AXA d.d.s., a.s., výplatný d.d.f.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4"/>
    </row>
    <row r="12" spans="2:16">
      <c r="B12" s="112"/>
    </row>
    <row r="13" spans="2:16" ht="15.75">
      <c r="B13" s="175" t="s">
        <v>675</v>
      </c>
      <c r="C13" s="172"/>
      <c r="D13" s="172"/>
      <c r="E13" s="137"/>
      <c r="F13" s="137"/>
      <c r="G13" s="137"/>
    </row>
    <row r="14" spans="2:16" ht="15.75">
      <c r="B14" s="175" t="s">
        <v>603</v>
      </c>
      <c r="C14" s="172"/>
      <c r="D14" s="172"/>
      <c r="E14" s="128"/>
      <c r="F14" s="128"/>
      <c r="G14" s="128"/>
    </row>
    <row r="15" spans="2:16" ht="15.75">
      <c r="B15" s="175" t="str">
        <f>CONCATENATE("za ",(MONTH(datasheet!C6))," mesiacov roku ",LEFT(datasheet!C3,4))</f>
        <v>za 12 mesiacov roku 2019</v>
      </c>
      <c r="C15" s="172"/>
      <c r="D15" s="172"/>
      <c r="E15" s="128"/>
      <c r="F15" s="128"/>
      <c r="G15" s="128"/>
    </row>
    <row r="16" spans="2:16">
      <c r="B16" s="112"/>
      <c r="E16" s="126"/>
      <c r="F16" s="113"/>
    </row>
    <row r="17" spans="2:16">
      <c r="B17" s="114" t="s">
        <v>604</v>
      </c>
      <c r="C17" s="114" t="s">
        <v>605</v>
      </c>
      <c r="D17" s="127" t="str">
        <f>LEFT(period_current,4)</f>
        <v>2019</v>
      </c>
      <c r="E17" s="126"/>
      <c r="F17" s="113"/>
      <c r="O17" s="115"/>
      <c r="P17" s="115"/>
    </row>
    <row r="18" spans="2:16">
      <c r="B18" s="118" t="s">
        <v>577</v>
      </c>
      <c r="C18" s="118" t="s">
        <v>606</v>
      </c>
      <c r="D18" s="118">
        <v>1</v>
      </c>
      <c r="E18" s="126"/>
      <c r="F18" s="113"/>
      <c r="O18" s="128"/>
      <c r="P18" s="128"/>
    </row>
    <row r="19" spans="2:16">
      <c r="B19" s="117" t="s">
        <v>610</v>
      </c>
      <c r="C19" s="129" t="s">
        <v>676</v>
      </c>
      <c r="D19" s="143">
        <f>+D20</f>
        <v>24886.85</v>
      </c>
      <c r="E19" s="126"/>
      <c r="F19" s="113"/>
      <c r="P19" s="128"/>
    </row>
    <row r="20" spans="2:16">
      <c r="B20" s="117" t="s">
        <v>677</v>
      </c>
      <c r="C20" s="129" t="s">
        <v>678</v>
      </c>
      <c r="D20" s="144">
        <f>-SUMIF(datasheet!$A$25:$A$50000,Vysledovka!$F20,datasheet!$C$25:$C$50000)</f>
        <v>24886.85</v>
      </c>
      <c r="E20" s="126"/>
      <c r="F20" s="121" t="s">
        <v>20</v>
      </c>
      <c r="P20" s="128"/>
    </row>
    <row r="21" spans="2:16">
      <c r="B21" s="117" t="s">
        <v>679</v>
      </c>
      <c r="C21" s="129" t="s">
        <v>680</v>
      </c>
      <c r="D21" s="144">
        <f>-SUMIF(datasheet!$A$25:$A$50000,Vysledovka!$F21,datasheet!$C$25:$C$50000)</f>
        <v>0</v>
      </c>
      <c r="E21" s="126"/>
      <c r="F21" s="121" t="s">
        <v>450</v>
      </c>
      <c r="P21" s="128"/>
    </row>
    <row r="22" spans="2:16" ht="24">
      <c r="B22" s="130" t="s">
        <v>681</v>
      </c>
      <c r="C22" s="131" t="s">
        <v>682</v>
      </c>
      <c r="D22" s="144">
        <f>-SUMIF(datasheet!$A$25:$A$50000,Vysledovka!$F22,datasheet!$C$25:$C$50000)</f>
        <v>0</v>
      </c>
      <c r="E22" s="126"/>
      <c r="F22" s="121" t="s">
        <v>16</v>
      </c>
      <c r="P22" s="128"/>
    </row>
    <row r="23" spans="2:16">
      <c r="B23" s="117" t="s">
        <v>615</v>
      </c>
      <c r="C23" s="129" t="s">
        <v>683</v>
      </c>
      <c r="D23" s="144">
        <f>-SUMIF(datasheet!$A$25:$A$50000,Vysledovka!$F23,datasheet!$C$25:$C$50000)</f>
        <v>0</v>
      </c>
      <c r="E23" s="126"/>
      <c r="F23" s="121" t="s">
        <v>21</v>
      </c>
      <c r="P23" s="128"/>
    </row>
    <row r="24" spans="2:16">
      <c r="B24" s="117" t="s">
        <v>617</v>
      </c>
      <c r="C24" s="129" t="s">
        <v>684</v>
      </c>
      <c r="D24" s="143">
        <f>+D25+D26</f>
        <v>0</v>
      </c>
      <c r="E24" s="126"/>
      <c r="F24" s="121"/>
      <c r="P24" s="128"/>
    </row>
    <row r="25" spans="2:16">
      <c r="B25" s="117" t="s">
        <v>685</v>
      </c>
      <c r="C25" s="129" t="s">
        <v>686</v>
      </c>
      <c r="D25" s="144">
        <f>-SUMIF(datasheet!$A$25:$A$50000,Vysledovka!$F25,datasheet!$C$25:$C$50000)</f>
        <v>0</v>
      </c>
      <c r="E25" s="126"/>
      <c r="F25" s="121" t="s">
        <v>17</v>
      </c>
      <c r="P25" s="128"/>
    </row>
    <row r="26" spans="2:16">
      <c r="B26" s="117" t="s">
        <v>687</v>
      </c>
      <c r="C26" s="129" t="s">
        <v>680</v>
      </c>
      <c r="D26" s="144">
        <f>-SUMIF(datasheet!$A$25:$A$50000,Vysledovka!$F26,datasheet!$C$25:$C$50000)</f>
        <v>0</v>
      </c>
      <c r="E26" s="126"/>
      <c r="F26" s="121" t="s">
        <v>18</v>
      </c>
      <c r="P26" s="128"/>
    </row>
    <row r="27" spans="2:16">
      <c r="B27" s="117" t="s">
        <v>688</v>
      </c>
      <c r="C27" s="129" t="s">
        <v>689</v>
      </c>
      <c r="D27" s="144">
        <f>-SUMIF(datasheet!$A$25:$A$50000,Vysledovka!$F27,datasheet!$C$25:$C$50000)</f>
        <v>16042.100000000002</v>
      </c>
      <c r="E27" s="126"/>
      <c r="F27" s="121" t="s">
        <v>22</v>
      </c>
      <c r="P27" s="128"/>
    </row>
    <row r="28" spans="2:16">
      <c r="B28" s="117" t="s">
        <v>690</v>
      </c>
      <c r="C28" s="129" t="s">
        <v>691</v>
      </c>
      <c r="D28" s="144">
        <f>-SUMIF(datasheet!$A$25:$A$50000,Vysledovka!$F28,datasheet!$C$25:$C$50000)</f>
        <v>0</v>
      </c>
      <c r="E28" s="126"/>
      <c r="F28" s="121" t="s">
        <v>19</v>
      </c>
      <c r="P28" s="128"/>
    </row>
    <row r="29" spans="2:16">
      <c r="B29" s="117" t="s">
        <v>692</v>
      </c>
      <c r="C29" s="129" t="s">
        <v>693</v>
      </c>
      <c r="D29" s="144">
        <f>-SUMIF(datasheet!$A$25:$A$50000,Vysledovka!$F29,datasheet!$C$25:$C$50000)</f>
        <v>0</v>
      </c>
      <c r="E29" s="126"/>
      <c r="F29" s="121" t="s">
        <v>4</v>
      </c>
      <c r="P29" s="128"/>
    </row>
    <row r="30" spans="2:16">
      <c r="B30" s="117" t="s">
        <v>694</v>
      </c>
      <c r="C30" s="129" t="s">
        <v>695</v>
      </c>
      <c r="D30" s="144">
        <f>-SUMIF(datasheet!$A$25:$A$50000,Vysledovka!$F30,datasheet!$C$25:$C$50000)</f>
        <v>0</v>
      </c>
      <c r="E30" s="126"/>
      <c r="F30" s="121" t="s">
        <v>696</v>
      </c>
      <c r="P30" s="128"/>
    </row>
    <row r="31" spans="2:16">
      <c r="B31" s="117" t="s">
        <v>697</v>
      </c>
      <c r="C31" s="129" t="s">
        <v>698</v>
      </c>
      <c r="D31" s="144">
        <f>-SUMIF(datasheet!$A$25:$A$50000,Vysledovka!$F31,datasheet!$C$25:$C$50000)</f>
        <v>0</v>
      </c>
      <c r="E31" s="126"/>
      <c r="F31" s="121" t="s">
        <v>29</v>
      </c>
      <c r="P31" s="128"/>
    </row>
    <row r="32" spans="2:16">
      <c r="B32" s="118" t="s">
        <v>608</v>
      </c>
      <c r="C32" s="132" t="s">
        <v>699</v>
      </c>
      <c r="D32" s="145">
        <f>D19+D23+D24+D27+D28+D29+D30+D31</f>
        <v>40928.949999999997</v>
      </c>
      <c r="E32" s="126"/>
      <c r="F32" s="121"/>
      <c r="H32" s="126"/>
      <c r="I32" s="126"/>
      <c r="P32" s="128"/>
    </row>
    <row r="33" spans="2:16">
      <c r="B33" s="133" t="s">
        <v>700</v>
      </c>
      <c r="C33" s="129" t="s">
        <v>701</v>
      </c>
      <c r="D33" s="144">
        <f>SUMIF(datasheet!$A$25:$A$50000,Vysledovka!$F33,datasheet!$C$25:$C$50000)*-1</f>
        <v>-730.9</v>
      </c>
      <c r="E33" s="126"/>
      <c r="F33" s="121" t="s">
        <v>25</v>
      </c>
      <c r="H33" s="126"/>
      <c r="I33" s="126"/>
      <c r="J33" s="152"/>
      <c r="K33" s="152"/>
      <c r="L33" s="152"/>
      <c r="P33" s="128"/>
    </row>
    <row r="34" spans="2:16">
      <c r="B34" s="117" t="s">
        <v>702</v>
      </c>
      <c r="C34" s="129" t="s">
        <v>703</v>
      </c>
      <c r="D34" s="144">
        <f>SUMIF(datasheet!$A$25:$A$50000,Vysledovka!$F34,datasheet!$C$25:$C$50000)*-1</f>
        <v>-2571.33</v>
      </c>
      <c r="E34" s="126"/>
      <c r="F34" s="121" t="s">
        <v>704</v>
      </c>
      <c r="H34" s="126"/>
      <c r="I34" s="126"/>
      <c r="J34" s="152"/>
      <c r="K34" s="152"/>
      <c r="L34" s="152"/>
      <c r="P34" s="128"/>
    </row>
    <row r="35" spans="2:16">
      <c r="B35" s="118" t="s">
        <v>648</v>
      </c>
      <c r="C35" s="132" t="s">
        <v>705</v>
      </c>
      <c r="D35" s="145">
        <f>D32+D33+D34</f>
        <v>37626.719999999994</v>
      </c>
      <c r="E35" s="126"/>
      <c r="F35" s="121"/>
      <c r="H35" s="126"/>
      <c r="I35" s="126"/>
      <c r="J35" s="152"/>
      <c r="K35" s="152"/>
      <c r="L35" s="152"/>
      <c r="P35" s="128"/>
    </row>
    <row r="36" spans="2:16">
      <c r="B36" s="117" t="s">
        <v>706</v>
      </c>
      <c r="C36" s="129" t="s">
        <v>707</v>
      </c>
      <c r="D36" s="143">
        <f>+D37+D38+D39</f>
        <v>0</v>
      </c>
      <c r="E36" s="126"/>
      <c r="F36" s="121"/>
      <c r="H36" s="126"/>
      <c r="I36" s="126"/>
      <c r="J36" s="152"/>
      <c r="K36" s="152"/>
      <c r="L36" s="152"/>
      <c r="P36" s="128"/>
    </row>
    <row r="37" spans="2:16">
      <c r="B37" s="117" t="s">
        <v>708</v>
      </c>
      <c r="C37" s="129" t="s">
        <v>709</v>
      </c>
      <c r="D37" s="144">
        <f>SUMIF(datasheet!$A$25:$A$50000,Vysledovka!$F37,datasheet!$C$25:$C$50000)</f>
        <v>0</v>
      </c>
      <c r="E37" s="126"/>
      <c r="F37" s="121" t="s">
        <v>710</v>
      </c>
      <c r="H37" s="126"/>
      <c r="I37" s="126"/>
      <c r="J37" s="152"/>
      <c r="K37" s="152"/>
      <c r="L37" s="152"/>
      <c r="P37" s="128"/>
    </row>
    <row r="38" spans="2:16">
      <c r="B38" s="117" t="s">
        <v>711</v>
      </c>
      <c r="C38" s="129" t="s">
        <v>712</v>
      </c>
      <c r="D38" s="144">
        <f>-SUMIF(datasheet!$A$25:$A$50000,Vysledovka!$F38,datasheet!$C$25:$C$50000)</f>
        <v>0</v>
      </c>
      <c r="E38" s="126"/>
      <c r="F38" s="121" t="s">
        <v>713</v>
      </c>
      <c r="H38" s="126"/>
      <c r="I38" s="126"/>
      <c r="J38" s="152"/>
      <c r="K38" s="152"/>
      <c r="L38" s="152"/>
      <c r="P38" s="128"/>
    </row>
    <row r="39" spans="2:16">
      <c r="B39" s="117" t="s">
        <v>714</v>
      </c>
      <c r="C39" s="129" t="s">
        <v>715</v>
      </c>
      <c r="D39" s="144">
        <f>SUMIF(datasheet!$A$25:$A$50000,Vysledovka!$F39,datasheet!$C$25:$C$50000)</f>
        <v>0</v>
      </c>
      <c r="E39" s="126"/>
      <c r="F39" s="121" t="s">
        <v>716</v>
      </c>
      <c r="H39" s="126"/>
      <c r="I39" s="126"/>
      <c r="J39" s="152"/>
      <c r="K39" s="152"/>
      <c r="L39" s="152"/>
      <c r="P39" s="128"/>
    </row>
    <row r="40" spans="2:16">
      <c r="B40" s="118" t="s">
        <v>717</v>
      </c>
      <c r="C40" s="132" t="s">
        <v>718</v>
      </c>
      <c r="D40" s="145">
        <f>D35-D36</f>
        <v>37626.719999999994</v>
      </c>
      <c r="E40" s="126"/>
      <c r="F40" s="121"/>
      <c r="H40" s="126"/>
      <c r="I40" s="126"/>
      <c r="J40" s="152"/>
      <c r="K40" s="152"/>
      <c r="L40" s="152"/>
      <c r="P40" s="128"/>
    </row>
    <row r="41" spans="2:16">
      <c r="B41" s="117" t="s">
        <v>719</v>
      </c>
      <c r="C41" s="129" t="s">
        <v>720</v>
      </c>
      <c r="D41" s="143">
        <f>+D42+D43</f>
        <v>0</v>
      </c>
      <c r="E41" s="126"/>
      <c r="F41" s="121"/>
      <c r="H41" s="126"/>
      <c r="I41" s="126"/>
      <c r="J41" s="152"/>
      <c r="K41" s="152"/>
      <c r="L41" s="152"/>
      <c r="P41" s="128"/>
    </row>
    <row r="42" spans="2:16">
      <c r="B42" s="117" t="s">
        <v>721</v>
      </c>
      <c r="C42" s="129" t="s">
        <v>722</v>
      </c>
      <c r="D42" s="144">
        <f>SUMIF(datasheet!$A$25:$A$50000,Vysledovka!$F42,datasheet!$C$25:$C$50000)*-1</f>
        <v>0</v>
      </c>
      <c r="E42" s="126"/>
      <c r="F42" s="121" t="s">
        <v>28</v>
      </c>
      <c r="H42" s="126"/>
      <c r="I42" s="126"/>
      <c r="J42" s="152"/>
      <c r="K42" s="152"/>
      <c r="L42" s="152"/>
      <c r="P42" s="128"/>
    </row>
    <row r="43" spans="2:16">
      <c r="B43" s="117" t="s">
        <v>723</v>
      </c>
      <c r="C43" s="129" t="s">
        <v>724</v>
      </c>
      <c r="D43" s="144">
        <f>SUMIF(datasheet!$A$25:$A$50000,Vysledovka!$F43,datasheet!$C$25:$C$50000)*-1</f>
        <v>0</v>
      </c>
      <c r="E43" s="126"/>
      <c r="F43" s="121" t="s">
        <v>725</v>
      </c>
      <c r="H43" s="126"/>
      <c r="I43" s="126"/>
      <c r="J43" s="152"/>
      <c r="K43" s="152"/>
      <c r="L43" s="152"/>
      <c r="P43" s="128"/>
    </row>
    <row r="44" spans="2:16">
      <c r="B44" s="117" t="s">
        <v>726</v>
      </c>
      <c r="C44" s="129" t="s">
        <v>727</v>
      </c>
      <c r="D44" s="144">
        <f>SUMIF(datasheet!$A$25:$A$50000,Vysledovka!$F44,datasheet!$C$25:$C$50000)*-1</f>
        <v>-2021.8</v>
      </c>
      <c r="E44" s="126"/>
      <c r="F44" s="121" t="s">
        <v>26</v>
      </c>
      <c r="H44" s="126"/>
      <c r="I44" s="126"/>
      <c r="J44" s="152"/>
      <c r="K44" s="152"/>
      <c r="L44" s="152"/>
      <c r="P44" s="128"/>
    </row>
    <row r="45" spans="2:16">
      <c r="B45" s="117" t="s">
        <v>728</v>
      </c>
      <c r="C45" s="129" t="s">
        <v>729</v>
      </c>
      <c r="D45" s="144">
        <f>SUMIF(datasheet!$A$25:$A$50000,Vysledovka!$F45,datasheet!$C$25:$C$50000)*-1</f>
        <v>0</v>
      </c>
      <c r="E45" s="126"/>
      <c r="F45" s="121" t="s">
        <v>27</v>
      </c>
      <c r="H45" s="126"/>
      <c r="I45" s="126"/>
      <c r="J45" s="152"/>
      <c r="K45" s="152"/>
      <c r="L45" s="152"/>
      <c r="P45" s="128"/>
    </row>
    <row r="46" spans="2:16">
      <c r="B46" s="118" t="s">
        <v>730</v>
      </c>
      <c r="C46" s="132" t="s">
        <v>731</v>
      </c>
      <c r="D46" s="145">
        <f>D40+D41+D44+D45</f>
        <v>35604.919999999991</v>
      </c>
      <c r="E46" s="126"/>
      <c r="F46" s="113"/>
      <c r="H46" s="153"/>
      <c r="I46" s="154"/>
      <c r="J46" s="152"/>
      <c r="K46" s="152"/>
      <c r="L46" s="152"/>
      <c r="P46" s="128"/>
    </row>
    <row r="47" spans="2:16">
      <c r="B47" s="112"/>
      <c r="E47" s="126"/>
      <c r="F47" s="113"/>
      <c r="J47" s="152"/>
      <c r="K47" s="152"/>
      <c r="L47" s="152"/>
      <c r="P47" s="128"/>
    </row>
    <row r="48" spans="2:16">
      <c r="F48" s="113"/>
      <c r="P48" s="128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82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160</v>
      </c>
      <c r="C1" s="17" t="s">
        <v>745</v>
      </c>
      <c r="F1" s="13" t="s">
        <v>453</v>
      </c>
      <c r="G1" s="26" t="str">
        <f>bu_code_name(bu_code)</f>
        <v>AXA d.d.s. a.s. - fondy</v>
      </c>
    </row>
    <row r="2" spans="1:7" ht="13.5" thickBot="1">
      <c r="B2" s="14" t="s">
        <v>449</v>
      </c>
      <c r="C2" s="20" t="s">
        <v>746</v>
      </c>
      <c r="D2" s="14" t="s">
        <v>7</v>
      </c>
      <c r="E2" s="24" t="s">
        <v>443</v>
      </c>
      <c r="F2" s="14" t="s">
        <v>454</v>
      </c>
      <c r="G2" s="27" t="e">
        <f>ldg_code_name(ldg_code)</f>
        <v>#VALUE!</v>
      </c>
    </row>
    <row r="3" spans="1:7" ht="13.5" thickBot="1">
      <c r="B3" s="14" t="s">
        <v>34</v>
      </c>
      <c r="C3" s="18">
        <v>2019012</v>
      </c>
      <c r="D3" s="21" t="s">
        <v>5</v>
      </c>
      <c r="E3" s="25"/>
      <c r="F3" s="15" t="s">
        <v>8</v>
      </c>
      <c r="G3" s="28" t="e">
        <f>ldg_code_name(bdg_code)</f>
        <v>#VALUE!</v>
      </c>
    </row>
    <row r="4" spans="1:7" ht="13.5" thickBot="1">
      <c r="B4" s="14" t="s">
        <v>33</v>
      </c>
      <c r="C4" s="18">
        <v>2018012</v>
      </c>
      <c r="D4" s="22" t="s">
        <v>6</v>
      </c>
      <c r="E4" s="23"/>
    </row>
    <row r="5" spans="1:7" ht="13.5" thickBot="1">
      <c r="B5" s="15" t="s">
        <v>436</v>
      </c>
      <c r="C5" s="19">
        <v>0</v>
      </c>
    </row>
    <row r="6" spans="1:7">
      <c r="A6" t="s">
        <v>34</v>
      </c>
      <c r="B6" t="s">
        <v>326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33</v>
      </c>
      <c r="B7" t="s">
        <v>325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329</v>
      </c>
      <c r="B8" t="s">
        <v>328</v>
      </c>
      <c r="C8" s="5"/>
      <c r="D8" s="4"/>
    </row>
    <row r="9" spans="1:7">
      <c r="A9" t="s">
        <v>437</v>
      </c>
      <c r="B9" t="s">
        <v>330</v>
      </c>
      <c r="C9" s="5"/>
      <c r="D9" s="4"/>
    </row>
    <row r="10" spans="1:7">
      <c r="A10" t="s">
        <v>151</v>
      </c>
      <c r="B10" t="s">
        <v>439</v>
      </c>
      <c r="C10" s="5"/>
      <c r="D10" s="4"/>
    </row>
    <row r="11" spans="1:7">
      <c r="A11" t="s">
        <v>438</v>
      </c>
      <c r="B11" t="s">
        <v>444</v>
      </c>
      <c r="C11" s="5" t="s">
        <v>352</v>
      </c>
      <c r="D11" s="4" t="s">
        <v>353</v>
      </c>
    </row>
    <row r="12" spans="1:7">
      <c r="A12" t="s">
        <v>440</v>
      </c>
      <c r="B12" t="s">
        <v>327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155</v>
      </c>
      <c r="D15" t="s">
        <v>156</v>
      </c>
    </row>
    <row r="16" spans="1:7">
      <c r="A16" s="10"/>
      <c r="B16" t="s">
        <v>154</v>
      </c>
      <c r="C16" s="2">
        <f>SUMIF(D25:D50000,"A",C25:C50000)</f>
        <v>7807076.6000000006</v>
      </c>
      <c r="D16" s="2">
        <f>+Aktiva!D48</f>
        <v>7807076.6000000006</v>
      </c>
      <c r="E16" s="12">
        <f>D16-C16</f>
        <v>0</v>
      </c>
    </row>
    <row r="17" spans="1:7">
      <c r="A17" s="10"/>
      <c r="B17" t="s">
        <v>157</v>
      </c>
      <c r="C17" s="2">
        <f>-SUMIF(D25:D50000,"P",C25:C50000)</f>
        <v>7771471.6899999995</v>
      </c>
      <c r="D17" s="2">
        <f>+Pasiva!D31-Pasiva!D30</f>
        <v>7771471.6899999995</v>
      </c>
      <c r="E17" s="12">
        <f>D17-C17</f>
        <v>0</v>
      </c>
    </row>
    <row r="18" spans="1:7">
      <c r="A18" s="10"/>
      <c r="B18" t="s">
        <v>159</v>
      </c>
      <c r="C18" s="2">
        <f>SUMIF(D25:D50000,"V",C25:C50000)</f>
        <v>-35604.919999999991</v>
      </c>
      <c r="D18" s="2">
        <f>Vysledovka!D46</f>
        <v>35604.919999999991</v>
      </c>
      <c r="E18" s="12">
        <f>D18-C18</f>
        <v>71209.839999999982</v>
      </c>
    </row>
    <row r="19" spans="1:7">
      <c r="A19" s="10"/>
      <c r="B19" t="s">
        <v>158</v>
      </c>
      <c r="C19" s="135">
        <f>SUMIF(D25:D50000,"#",C25:C50000)</f>
        <v>0</v>
      </c>
      <c r="D19" s="3">
        <f>+D16+D17+D18</f>
        <v>15614153.209999999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6" t="s">
        <v>732</v>
      </c>
      <c r="B24" s="136" t="s">
        <v>733</v>
      </c>
      <c r="C24" s="136" t="s">
        <v>734</v>
      </c>
      <c r="D24" s="136" t="s">
        <v>735</v>
      </c>
      <c r="E24" s="136" t="s">
        <v>736</v>
      </c>
      <c r="F24" s="136" t="s">
        <v>737</v>
      </c>
      <c r="G24" s="136" t="s">
        <v>738</v>
      </c>
    </row>
    <row r="25" spans="1:7">
      <c r="A25" t="s">
        <v>30</v>
      </c>
      <c r="B25">
        <v>0</v>
      </c>
      <c r="C25">
        <v>550000</v>
      </c>
      <c r="D25" t="s">
        <v>442</v>
      </c>
      <c r="E25" t="s">
        <v>740</v>
      </c>
      <c r="F25" t="s">
        <v>486</v>
      </c>
      <c r="G25" t="s">
        <v>487</v>
      </c>
    </row>
    <row r="26" spans="1:7">
      <c r="A26" t="s">
        <v>30</v>
      </c>
      <c r="B26">
        <v>0</v>
      </c>
      <c r="C26">
        <v>53256</v>
      </c>
      <c r="D26" t="s">
        <v>442</v>
      </c>
      <c r="E26" t="s">
        <v>740</v>
      </c>
      <c r="F26" t="s">
        <v>488</v>
      </c>
      <c r="G26" t="s">
        <v>489</v>
      </c>
    </row>
    <row r="27" spans="1:7">
      <c r="A27" t="s">
        <v>30</v>
      </c>
      <c r="B27">
        <v>0</v>
      </c>
      <c r="C27">
        <v>5828.98</v>
      </c>
      <c r="D27" t="s">
        <v>442</v>
      </c>
      <c r="E27" t="s">
        <v>740</v>
      </c>
      <c r="F27" t="s">
        <v>490</v>
      </c>
      <c r="G27" t="s">
        <v>491</v>
      </c>
    </row>
    <row r="28" spans="1:7">
      <c r="A28" t="s">
        <v>30</v>
      </c>
      <c r="B28">
        <v>0</v>
      </c>
      <c r="C28">
        <v>13907.35</v>
      </c>
      <c r="D28" t="s">
        <v>442</v>
      </c>
      <c r="E28" t="s">
        <v>740</v>
      </c>
      <c r="F28" t="s">
        <v>492</v>
      </c>
      <c r="G28" t="s">
        <v>493</v>
      </c>
    </row>
    <row r="29" spans="1:7">
      <c r="A29" t="s">
        <v>30</v>
      </c>
      <c r="B29">
        <v>300000</v>
      </c>
      <c r="C29">
        <v>1200000</v>
      </c>
      <c r="D29" t="s">
        <v>442</v>
      </c>
      <c r="E29" t="s">
        <v>740</v>
      </c>
      <c r="F29" t="s">
        <v>494</v>
      </c>
      <c r="G29" t="s">
        <v>495</v>
      </c>
    </row>
    <row r="30" spans="1:7">
      <c r="A30" t="s">
        <v>30</v>
      </c>
      <c r="B30">
        <v>3284</v>
      </c>
      <c r="C30">
        <v>41224</v>
      </c>
      <c r="D30" t="s">
        <v>442</v>
      </c>
      <c r="E30" t="s">
        <v>740</v>
      </c>
      <c r="F30" t="s">
        <v>496</v>
      </c>
      <c r="G30" t="s">
        <v>497</v>
      </c>
    </row>
    <row r="31" spans="1:7">
      <c r="A31" t="s">
        <v>30</v>
      </c>
      <c r="B31">
        <v>2840.41</v>
      </c>
      <c r="C31">
        <v>8535.56</v>
      </c>
      <c r="D31" t="s">
        <v>442</v>
      </c>
      <c r="E31" t="s">
        <v>740</v>
      </c>
      <c r="F31" t="s">
        <v>498</v>
      </c>
      <c r="G31" t="s">
        <v>499</v>
      </c>
    </row>
    <row r="32" spans="1:7">
      <c r="A32" t="s">
        <v>30</v>
      </c>
      <c r="B32">
        <v>-4697.7</v>
      </c>
      <c r="C32">
        <v>-3488.7</v>
      </c>
      <c r="D32" t="s">
        <v>442</v>
      </c>
      <c r="E32" t="s">
        <v>740</v>
      </c>
      <c r="F32" t="s">
        <v>500</v>
      </c>
      <c r="G32" t="s">
        <v>501</v>
      </c>
    </row>
    <row r="33" spans="1:7">
      <c r="A33" t="s">
        <v>30</v>
      </c>
      <c r="B33">
        <v>450000</v>
      </c>
      <c r="C33">
        <v>350000</v>
      </c>
      <c r="D33" t="s">
        <v>442</v>
      </c>
      <c r="E33" t="s">
        <v>740</v>
      </c>
      <c r="F33" t="s">
        <v>502</v>
      </c>
      <c r="G33" t="s">
        <v>503</v>
      </c>
    </row>
    <row r="34" spans="1:7">
      <c r="A34" t="s">
        <v>30</v>
      </c>
      <c r="B34">
        <v>8</v>
      </c>
      <c r="C34">
        <v>8</v>
      </c>
      <c r="D34" t="s">
        <v>442</v>
      </c>
      <c r="E34" t="s">
        <v>740</v>
      </c>
      <c r="F34" t="s">
        <v>504</v>
      </c>
      <c r="G34" t="s">
        <v>505</v>
      </c>
    </row>
    <row r="35" spans="1:7">
      <c r="A35" t="s">
        <v>30</v>
      </c>
      <c r="B35">
        <v>593.64</v>
      </c>
      <c r="C35">
        <v>475.98</v>
      </c>
      <c r="D35" t="s">
        <v>442</v>
      </c>
      <c r="E35" t="s">
        <v>740</v>
      </c>
      <c r="F35" t="s">
        <v>506</v>
      </c>
      <c r="G35" t="s">
        <v>507</v>
      </c>
    </row>
    <row r="36" spans="1:7">
      <c r="A36" t="s">
        <v>30</v>
      </c>
      <c r="B36">
        <v>2546</v>
      </c>
      <c r="C36">
        <v>3471.75</v>
      </c>
      <c r="D36" t="s">
        <v>442</v>
      </c>
      <c r="E36" t="s">
        <v>740</v>
      </c>
      <c r="F36" t="s">
        <v>508</v>
      </c>
      <c r="G36" t="s">
        <v>509</v>
      </c>
    </row>
    <row r="37" spans="1:7">
      <c r="A37" t="s">
        <v>23</v>
      </c>
      <c r="B37">
        <v>886528.53</v>
      </c>
      <c r="C37">
        <v>1027163.57</v>
      </c>
      <c r="D37" t="s">
        <v>442</v>
      </c>
      <c r="E37" t="s">
        <v>630</v>
      </c>
      <c r="F37" t="s">
        <v>794</v>
      </c>
      <c r="G37" t="s">
        <v>795</v>
      </c>
    </row>
    <row r="38" spans="1:7">
      <c r="A38" t="s">
        <v>23</v>
      </c>
      <c r="B38">
        <v>1141627.72</v>
      </c>
      <c r="C38">
        <v>0</v>
      </c>
      <c r="D38" t="s">
        <v>442</v>
      </c>
      <c r="E38" t="s">
        <v>630</v>
      </c>
      <c r="F38" t="s">
        <v>796</v>
      </c>
      <c r="G38" t="s">
        <v>797</v>
      </c>
    </row>
    <row r="39" spans="1:7">
      <c r="A39" t="s">
        <v>23</v>
      </c>
      <c r="B39">
        <v>1077495</v>
      </c>
      <c r="C39">
        <v>1529264.68</v>
      </c>
      <c r="D39" t="s">
        <v>442</v>
      </c>
      <c r="E39" t="s">
        <v>630</v>
      </c>
      <c r="F39" t="s">
        <v>785</v>
      </c>
      <c r="G39" t="s">
        <v>786</v>
      </c>
    </row>
    <row r="40" spans="1:7">
      <c r="A40" t="s">
        <v>23</v>
      </c>
      <c r="B40">
        <v>1073106.2</v>
      </c>
      <c r="C40">
        <v>1463745.81</v>
      </c>
      <c r="D40" t="s">
        <v>442</v>
      </c>
      <c r="E40" t="s">
        <v>630</v>
      </c>
      <c r="F40" t="s">
        <v>798</v>
      </c>
      <c r="G40" t="s">
        <v>799</v>
      </c>
    </row>
    <row r="41" spans="1:7">
      <c r="A41" t="s">
        <v>23</v>
      </c>
      <c r="B41">
        <v>0</v>
      </c>
      <c r="C41">
        <v>0</v>
      </c>
      <c r="D41" t="s">
        <v>442</v>
      </c>
      <c r="E41" t="s">
        <v>630</v>
      </c>
      <c r="F41" t="s">
        <v>461</v>
      </c>
      <c r="G41" t="s">
        <v>462</v>
      </c>
    </row>
    <row r="42" spans="1:7">
      <c r="A42" t="s">
        <v>634</v>
      </c>
      <c r="B42">
        <v>0</v>
      </c>
      <c r="C42">
        <v>0</v>
      </c>
      <c r="D42" t="s">
        <v>442</v>
      </c>
      <c r="E42" t="s">
        <v>633</v>
      </c>
      <c r="F42" t="s">
        <v>463</v>
      </c>
      <c r="G42" t="s">
        <v>464</v>
      </c>
    </row>
    <row r="43" spans="1:7">
      <c r="A43" t="s">
        <v>634</v>
      </c>
      <c r="B43">
        <v>0</v>
      </c>
      <c r="C43">
        <v>843.76</v>
      </c>
      <c r="D43" t="s">
        <v>442</v>
      </c>
      <c r="E43" t="s">
        <v>633</v>
      </c>
      <c r="F43" t="s">
        <v>465</v>
      </c>
      <c r="G43" t="s">
        <v>466</v>
      </c>
    </row>
    <row r="44" spans="1:7">
      <c r="A44" t="s">
        <v>15</v>
      </c>
      <c r="B44">
        <v>910723.55</v>
      </c>
      <c r="C44">
        <v>1562839.86</v>
      </c>
      <c r="D44" t="s">
        <v>442</v>
      </c>
      <c r="E44" t="s">
        <v>741</v>
      </c>
      <c r="F44" t="s">
        <v>800</v>
      </c>
      <c r="G44" t="s">
        <v>801</v>
      </c>
    </row>
    <row r="45" spans="1:7">
      <c r="A45" t="s">
        <v>149</v>
      </c>
      <c r="B45">
        <v>31230.42</v>
      </c>
      <c r="C45">
        <v>0</v>
      </c>
      <c r="D45" t="s">
        <v>442</v>
      </c>
      <c r="E45" t="s">
        <v>653</v>
      </c>
      <c r="F45" t="s">
        <v>475</v>
      </c>
      <c r="G45" t="s">
        <v>476</v>
      </c>
    </row>
    <row r="46" spans="1:7">
      <c r="A46" t="s">
        <v>149</v>
      </c>
      <c r="B46">
        <v>0</v>
      </c>
      <c r="C46">
        <v>0</v>
      </c>
      <c r="D46" t="s">
        <v>442</v>
      </c>
      <c r="E46" t="s">
        <v>653</v>
      </c>
      <c r="F46" t="s">
        <v>477</v>
      </c>
      <c r="G46" t="s">
        <v>478</v>
      </c>
    </row>
    <row r="47" spans="1:7">
      <c r="A47" t="s">
        <v>149</v>
      </c>
      <c r="B47">
        <v>0</v>
      </c>
      <c r="C47">
        <v>0</v>
      </c>
      <c r="D47" t="s">
        <v>442</v>
      </c>
      <c r="E47" t="s">
        <v>653</v>
      </c>
      <c r="F47" t="s">
        <v>479</v>
      </c>
      <c r="G47" t="s">
        <v>480</v>
      </c>
    </row>
    <row r="48" spans="1:7">
      <c r="A48" t="s">
        <v>455</v>
      </c>
      <c r="B48">
        <v>-7736.56</v>
      </c>
      <c r="C48">
        <v>0</v>
      </c>
      <c r="D48" t="s">
        <v>742</v>
      </c>
      <c r="E48" t="s">
        <v>659</v>
      </c>
      <c r="F48" t="s">
        <v>775</v>
      </c>
      <c r="G48" t="s">
        <v>776</v>
      </c>
    </row>
    <row r="49" spans="1:7">
      <c r="A49" t="s">
        <v>455</v>
      </c>
      <c r="B49">
        <v>-134.24</v>
      </c>
      <c r="C49">
        <v>-450.22</v>
      </c>
      <c r="D49" t="s">
        <v>742</v>
      </c>
      <c r="E49" t="s">
        <v>659</v>
      </c>
      <c r="F49" t="s">
        <v>777</v>
      </c>
      <c r="G49" t="s">
        <v>778</v>
      </c>
    </row>
    <row r="50" spans="1:7">
      <c r="A50" t="s">
        <v>668</v>
      </c>
      <c r="B50">
        <v>0</v>
      </c>
      <c r="C50">
        <v>0</v>
      </c>
      <c r="D50" t="s">
        <v>742</v>
      </c>
      <c r="E50" t="s">
        <v>667</v>
      </c>
      <c r="F50" t="s">
        <v>467</v>
      </c>
      <c r="G50" t="s">
        <v>468</v>
      </c>
    </row>
    <row r="51" spans="1:7">
      <c r="A51" t="s">
        <v>668</v>
      </c>
      <c r="B51">
        <v>0</v>
      </c>
      <c r="C51">
        <v>-403.23</v>
      </c>
      <c r="D51" t="s">
        <v>742</v>
      </c>
      <c r="E51" t="s">
        <v>667</v>
      </c>
      <c r="F51" t="s">
        <v>802</v>
      </c>
      <c r="G51" t="s">
        <v>803</v>
      </c>
    </row>
    <row r="52" spans="1:7">
      <c r="A52" t="s">
        <v>668</v>
      </c>
      <c r="B52">
        <v>-166.79</v>
      </c>
      <c r="C52">
        <v>-1196.8699999999999</v>
      </c>
      <c r="D52" t="s">
        <v>742</v>
      </c>
      <c r="E52" t="s">
        <v>667</v>
      </c>
      <c r="F52" t="s">
        <v>469</v>
      </c>
      <c r="G52" t="s">
        <v>470</v>
      </c>
    </row>
    <row r="53" spans="1:7">
      <c r="A53" t="s">
        <v>668</v>
      </c>
      <c r="B53">
        <v>0</v>
      </c>
      <c r="C53">
        <v>0</v>
      </c>
      <c r="D53" t="s">
        <v>742</v>
      </c>
      <c r="E53" t="s">
        <v>667</v>
      </c>
      <c r="F53" t="s">
        <v>779</v>
      </c>
      <c r="G53" t="s">
        <v>780</v>
      </c>
    </row>
    <row r="54" spans="1:7">
      <c r="A54" t="s">
        <v>668</v>
      </c>
      <c r="B54">
        <v>-150.26</v>
      </c>
      <c r="C54">
        <v>-186.44</v>
      </c>
      <c r="D54" t="s">
        <v>742</v>
      </c>
      <c r="E54" t="s">
        <v>667</v>
      </c>
      <c r="F54" t="s">
        <v>471</v>
      </c>
      <c r="G54" t="s">
        <v>472</v>
      </c>
    </row>
    <row r="55" spans="1:7">
      <c r="A55" t="s">
        <v>668</v>
      </c>
      <c r="B55">
        <v>0</v>
      </c>
      <c r="C55">
        <v>0</v>
      </c>
      <c r="D55" t="s">
        <v>742</v>
      </c>
      <c r="E55" t="s">
        <v>667</v>
      </c>
      <c r="F55" t="s">
        <v>473</v>
      </c>
      <c r="G55" t="s">
        <v>474</v>
      </c>
    </row>
    <row r="56" spans="1:7">
      <c r="A56" t="s">
        <v>668</v>
      </c>
      <c r="B56">
        <v>0</v>
      </c>
      <c r="C56">
        <v>0</v>
      </c>
      <c r="D56" t="s">
        <v>742</v>
      </c>
      <c r="E56" t="s">
        <v>667</v>
      </c>
      <c r="F56" t="s">
        <v>481</v>
      </c>
      <c r="G56" t="s">
        <v>476</v>
      </c>
    </row>
    <row r="57" spans="1:7">
      <c r="A57" t="s">
        <v>668</v>
      </c>
      <c r="B57">
        <v>-3702.6</v>
      </c>
      <c r="C57">
        <v>-5443.42</v>
      </c>
      <c r="D57" t="s">
        <v>742</v>
      </c>
      <c r="E57" t="s">
        <v>667</v>
      </c>
      <c r="F57" t="s">
        <v>781</v>
      </c>
      <c r="G57" t="s">
        <v>782</v>
      </c>
    </row>
    <row r="58" spans="1:7">
      <c r="A58" t="s">
        <v>668</v>
      </c>
      <c r="B58">
        <v>0</v>
      </c>
      <c r="C58">
        <v>0</v>
      </c>
      <c r="D58" t="s">
        <v>742</v>
      </c>
      <c r="E58" t="s">
        <v>667</v>
      </c>
      <c r="F58" t="s">
        <v>482</v>
      </c>
      <c r="G58" t="s">
        <v>483</v>
      </c>
    </row>
    <row r="59" spans="1:7">
      <c r="A59" t="s">
        <v>668</v>
      </c>
      <c r="B59">
        <v>0</v>
      </c>
      <c r="C59">
        <v>0</v>
      </c>
      <c r="D59" t="s">
        <v>742</v>
      </c>
      <c r="E59" t="s">
        <v>667</v>
      </c>
      <c r="F59" t="s">
        <v>484</v>
      </c>
      <c r="G59" t="s">
        <v>485</v>
      </c>
    </row>
    <row r="60" spans="1:7">
      <c r="A60" t="s">
        <v>672</v>
      </c>
      <c r="B60">
        <v>-5847303.6799999997</v>
      </c>
      <c r="C60">
        <v>-7747699.8600000003</v>
      </c>
      <c r="D60" t="s">
        <v>742</v>
      </c>
      <c r="E60" t="s">
        <v>671</v>
      </c>
      <c r="F60" t="s">
        <v>510</v>
      </c>
      <c r="G60" t="s">
        <v>511</v>
      </c>
    </row>
    <row r="61" spans="1:7">
      <c r="A61" t="s">
        <v>672</v>
      </c>
      <c r="B61">
        <v>-2639.07</v>
      </c>
      <c r="C61">
        <v>-3383.6</v>
      </c>
      <c r="D61" t="s">
        <v>742</v>
      </c>
      <c r="E61" t="s">
        <v>671</v>
      </c>
      <c r="F61" t="s">
        <v>773</v>
      </c>
      <c r="G61" t="s">
        <v>774</v>
      </c>
    </row>
    <row r="62" spans="1:7">
      <c r="A62" t="s">
        <v>672</v>
      </c>
      <c r="B62">
        <v>-12708.05</v>
      </c>
      <c r="C62">
        <v>-12708.05</v>
      </c>
      <c r="D62" t="s">
        <v>742</v>
      </c>
      <c r="E62" t="s">
        <v>671</v>
      </c>
      <c r="F62" t="s">
        <v>512</v>
      </c>
      <c r="G62" t="s">
        <v>513</v>
      </c>
    </row>
    <row r="63" spans="1:7">
      <c r="A63" t="s">
        <v>20</v>
      </c>
      <c r="B63">
        <v>0</v>
      </c>
      <c r="C63">
        <v>-10907.49</v>
      </c>
      <c r="D63" t="s">
        <v>743</v>
      </c>
      <c r="E63" t="s">
        <v>678</v>
      </c>
      <c r="F63" t="s">
        <v>514</v>
      </c>
      <c r="G63" t="s">
        <v>515</v>
      </c>
    </row>
    <row r="64" spans="1:7">
      <c r="A64" t="s">
        <v>20</v>
      </c>
      <c r="B64">
        <v>-1816.78</v>
      </c>
      <c r="C64">
        <v>-8452.44</v>
      </c>
      <c r="D64" t="s">
        <v>743</v>
      </c>
      <c r="E64" t="s">
        <v>678</v>
      </c>
      <c r="F64" t="s">
        <v>516</v>
      </c>
      <c r="G64" t="s">
        <v>517</v>
      </c>
    </row>
    <row r="65" spans="1:7">
      <c r="A65" t="s">
        <v>20</v>
      </c>
      <c r="B65">
        <v>-1726.67</v>
      </c>
      <c r="C65">
        <v>-1675.53</v>
      </c>
      <c r="D65" t="s">
        <v>743</v>
      </c>
      <c r="E65" t="s">
        <v>678</v>
      </c>
      <c r="F65" t="s">
        <v>518</v>
      </c>
      <c r="G65" t="s">
        <v>519</v>
      </c>
    </row>
    <row r="66" spans="1:7">
      <c r="A66" t="s">
        <v>20</v>
      </c>
      <c r="B66">
        <v>0</v>
      </c>
      <c r="C66">
        <v>0</v>
      </c>
      <c r="D66" t="s">
        <v>743</v>
      </c>
      <c r="E66" t="s">
        <v>678</v>
      </c>
      <c r="F66" t="s">
        <v>520</v>
      </c>
      <c r="G66" t="s">
        <v>521</v>
      </c>
    </row>
    <row r="67" spans="1:7">
      <c r="A67" t="s">
        <v>20</v>
      </c>
      <c r="B67">
        <v>-1220.8499999999999</v>
      </c>
      <c r="C67">
        <v>-875.26</v>
      </c>
      <c r="D67" t="s">
        <v>743</v>
      </c>
      <c r="E67" t="s">
        <v>678</v>
      </c>
      <c r="F67" t="s">
        <v>804</v>
      </c>
      <c r="G67" t="s">
        <v>805</v>
      </c>
    </row>
    <row r="68" spans="1:7">
      <c r="A68" t="s">
        <v>20</v>
      </c>
      <c r="B68">
        <v>-857.07</v>
      </c>
      <c r="C68">
        <v>-566.84</v>
      </c>
      <c r="D68" t="s">
        <v>743</v>
      </c>
      <c r="E68" t="s">
        <v>678</v>
      </c>
      <c r="F68" t="s">
        <v>806</v>
      </c>
      <c r="G68" t="s">
        <v>807</v>
      </c>
    </row>
    <row r="69" spans="1:7">
      <c r="A69" t="s">
        <v>20</v>
      </c>
      <c r="B69">
        <v>-1597.24</v>
      </c>
      <c r="C69">
        <v>-1769.68</v>
      </c>
      <c r="D69" t="s">
        <v>743</v>
      </c>
      <c r="E69" t="s">
        <v>678</v>
      </c>
      <c r="F69" t="s">
        <v>787</v>
      </c>
      <c r="G69" t="s">
        <v>788</v>
      </c>
    </row>
    <row r="70" spans="1:7">
      <c r="A70" t="s">
        <v>20</v>
      </c>
      <c r="B70">
        <v>-994.46</v>
      </c>
      <c r="C70">
        <v>-639.61</v>
      </c>
      <c r="D70" t="s">
        <v>743</v>
      </c>
      <c r="E70" t="s">
        <v>678</v>
      </c>
      <c r="F70" t="s">
        <v>808</v>
      </c>
      <c r="G70" t="s">
        <v>809</v>
      </c>
    </row>
    <row r="71" spans="1:7">
      <c r="A71" t="s">
        <v>22</v>
      </c>
      <c r="B71">
        <v>0</v>
      </c>
      <c r="C71">
        <v>-13907.35</v>
      </c>
      <c r="D71" t="s">
        <v>743</v>
      </c>
      <c r="E71" t="s">
        <v>744</v>
      </c>
      <c r="F71" t="s">
        <v>522</v>
      </c>
      <c r="G71" t="s">
        <v>523</v>
      </c>
    </row>
    <row r="72" spans="1:7">
      <c r="A72" t="s">
        <v>22</v>
      </c>
      <c r="B72">
        <v>-813.2</v>
      </c>
      <c r="C72">
        <v>-7961.3</v>
      </c>
      <c r="D72" t="s">
        <v>743</v>
      </c>
      <c r="E72" t="s">
        <v>744</v>
      </c>
      <c r="F72" t="s">
        <v>524</v>
      </c>
      <c r="G72" t="s">
        <v>525</v>
      </c>
    </row>
    <row r="73" spans="1:7">
      <c r="A73" t="s">
        <v>22</v>
      </c>
      <c r="B73">
        <v>-882.3</v>
      </c>
      <c r="C73">
        <v>-939.85</v>
      </c>
      <c r="D73" t="s">
        <v>743</v>
      </c>
      <c r="E73" t="s">
        <v>744</v>
      </c>
      <c r="F73" t="s">
        <v>526</v>
      </c>
      <c r="G73" t="s">
        <v>527</v>
      </c>
    </row>
    <row r="74" spans="1:7">
      <c r="A74" t="s">
        <v>22</v>
      </c>
      <c r="B74">
        <v>28.2</v>
      </c>
      <c r="C74">
        <v>14.1</v>
      </c>
      <c r="D74" t="s">
        <v>743</v>
      </c>
      <c r="E74" t="s">
        <v>744</v>
      </c>
      <c r="F74" t="s">
        <v>528</v>
      </c>
      <c r="G74" t="s">
        <v>529</v>
      </c>
    </row>
    <row r="75" spans="1:7">
      <c r="A75" t="s">
        <v>22</v>
      </c>
      <c r="B75">
        <v>0</v>
      </c>
      <c r="C75">
        <v>0</v>
      </c>
      <c r="D75" t="s">
        <v>743</v>
      </c>
      <c r="E75" t="s">
        <v>744</v>
      </c>
      <c r="F75" t="s">
        <v>530</v>
      </c>
      <c r="G75" t="s">
        <v>531</v>
      </c>
    </row>
    <row r="76" spans="1:7">
      <c r="A76" t="s">
        <v>22</v>
      </c>
      <c r="B76">
        <v>5510.9</v>
      </c>
      <c r="C76">
        <v>6752.3</v>
      </c>
      <c r="D76" t="s">
        <v>743</v>
      </c>
      <c r="E76" t="s">
        <v>744</v>
      </c>
      <c r="F76" t="s">
        <v>532</v>
      </c>
      <c r="G76" t="s">
        <v>533</v>
      </c>
    </row>
    <row r="77" spans="1:7">
      <c r="A77" t="s">
        <v>22</v>
      </c>
      <c r="B77">
        <v>0</v>
      </c>
      <c r="C77">
        <v>0</v>
      </c>
      <c r="D77" t="s">
        <v>743</v>
      </c>
      <c r="E77" t="s">
        <v>744</v>
      </c>
      <c r="F77" t="s">
        <v>534</v>
      </c>
      <c r="G77" t="s">
        <v>535</v>
      </c>
    </row>
    <row r="78" spans="1:7">
      <c r="A78" t="s">
        <v>25</v>
      </c>
      <c r="B78">
        <v>137.72</v>
      </c>
      <c r="C78">
        <v>730.9</v>
      </c>
      <c r="D78" t="s">
        <v>743</v>
      </c>
      <c r="E78" t="s">
        <v>701</v>
      </c>
      <c r="F78" t="s">
        <v>536</v>
      </c>
      <c r="G78" t="s">
        <v>537</v>
      </c>
    </row>
    <row r="79" spans="1:7">
      <c r="A79" t="s">
        <v>704</v>
      </c>
      <c r="B79">
        <v>0</v>
      </c>
      <c r="C79">
        <v>0</v>
      </c>
      <c r="D79" t="s">
        <v>743</v>
      </c>
      <c r="E79" t="s">
        <v>703</v>
      </c>
      <c r="F79" t="s">
        <v>540</v>
      </c>
      <c r="G79" t="s">
        <v>541</v>
      </c>
    </row>
    <row r="80" spans="1:7">
      <c r="A80" t="s">
        <v>704</v>
      </c>
      <c r="B80">
        <v>1206.2</v>
      </c>
      <c r="C80">
        <v>1500.1</v>
      </c>
      <c r="D80" t="s">
        <v>743</v>
      </c>
      <c r="E80" t="s">
        <v>703</v>
      </c>
      <c r="F80" t="s">
        <v>783</v>
      </c>
      <c r="G80" t="s">
        <v>784</v>
      </c>
    </row>
    <row r="81" spans="1:7">
      <c r="A81" t="s">
        <v>704</v>
      </c>
      <c r="B81">
        <v>631.49</v>
      </c>
      <c r="C81">
        <v>1071.23</v>
      </c>
      <c r="D81" t="s">
        <v>743</v>
      </c>
      <c r="E81" t="s">
        <v>703</v>
      </c>
      <c r="F81" t="s">
        <v>542</v>
      </c>
      <c r="G81" t="s">
        <v>739</v>
      </c>
    </row>
    <row r="82" spans="1:7">
      <c r="A82" t="s">
        <v>26</v>
      </c>
      <c r="B82">
        <v>1649.53</v>
      </c>
      <c r="C82">
        <v>2021.8</v>
      </c>
      <c r="D82" t="s">
        <v>743</v>
      </c>
      <c r="E82" t="s">
        <v>727</v>
      </c>
      <c r="F82" t="s">
        <v>538</v>
      </c>
      <c r="G82" t="s">
        <v>539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2020-03-27T09:05:56Z</dcterms:modified>
</cp:coreProperties>
</file>