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hidePivotFieldList="1"/>
  <mc:AlternateContent xmlns:mc="http://schemas.openxmlformats.org/markup-compatibility/2006">
    <mc:Choice Requires="x15">
      <x15ac:absPath xmlns:x15ac="http://schemas.microsoft.com/office/spreadsheetml/2010/11/ac" url="U:\FINANCE\2020-12\Závierka\"/>
    </mc:Choice>
  </mc:AlternateContent>
  <xr:revisionPtr revIDLastSave="0" documentId="13_ncr:1_{96B8F786-EA02-4496-AA7A-23C831BBBB59}" xr6:coauthVersionLast="46" xr6:coauthVersionMax="46" xr10:uidLastSave="{00000000-0000-0000-0000-000000000000}"/>
  <bookViews>
    <workbookView xWindow="-108" yWindow="-108" windowWidth="23256" windowHeight="12576" activeTab="2" xr2:uid="{00000000-000D-0000-FFFF-FFFF00000000}"/>
  </bookViews>
  <sheets>
    <sheet name="Súvaha " sheetId="6" r:id="rId1"/>
    <sheet name="Výkaz ZaS" sheetId="5" r:id="rId2"/>
    <sheet name="Notes SK" sheetId="1" r:id="rId3"/>
    <sheet name="Cash Flow SK" sheetId="3" r:id="rId4"/>
    <sheet name="Účtovná osnova" sheetId="4"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Fill" hidden="1">#REF!</definedName>
    <definedName name="_xlnm._FilterDatabase" localSheetId="0" hidden="1">'Súvaha '!$A$10:$F$179</definedName>
    <definedName name="_xlnm._FilterDatabase" localSheetId="4" hidden="1">'Účtovná osnova'!$A$1:$K$1068</definedName>
    <definedName name="_Toc474124192" localSheetId="2">'Notes SK'!$D$76</definedName>
    <definedName name="ARA_Threshold" localSheetId="3">#REF!</definedName>
    <definedName name="ARA_Threshold">#REF!</definedName>
    <definedName name="ARP_Threshold" localSheetId="3">#REF!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3">#REF!</definedName>
    <definedName name="CY_Accounts_Receivable">#REF!</definedName>
    <definedName name="CY_Administration" localSheetId="3">#REF!</definedName>
    <definedName name="CY_Administration">#REF!</definedName>
    <definedName name="CY_Cash" localSheetId="3">#REF!</definedName>
    <definedName name="CY_Cash">#REF!</definedName>
    <definedName name="CY_Common_Equity">#REF!</definedName>
    <definedName name="CY_Cost_of_Sales">#REF!</definedName>
    <definedName name="CY_Current_Liabilities">#REF!</definedName>
    <definedName name="CY_Depreciation">#REF!</definedName>
    <definedName name="CY_Gross_Profit">#REF!</definedName>
    <definedName name="CY_Inc_Bef_Tax">#REF!</definedName>
    <definedName name="CY_Intangible_Assets">#REF!</definedName>
    <definedName name="CY_Interest_Expense">#REF!</definedName>
    <definedName name="CY_Inventory">#REF!</definedName>
    <definedName name="CY_LIABIL_EQUITY">#REF!</definedName>
    <definedName name="CY_LT_Debt">#REF!</definedName>
    <definedName name="CY_Market_Value_of_Equity">#REF!</definedName>
    <definedName name="CY_Marketable_Sec">#REF!</definedName>
    <definedName name="CY_NET_PROFIT">#REF!</definedName>
    <definedName name="CY_Net_Revenue">#REF!</definedName>
    <definedName name="CY_Operating_Income">#REF!</definedName>
    <definedName name="CY_Other">#REF!</definedName>
    <definedName name="CY_Other_Curr_Assets">#REF!</definedName>
    <definedName name="CY_Other_LT_Assets">#REF!</definedName>
    <definedName name="CY_Other_LT_Liabilities">#REF!</definedName>
    <definedName name="CY_Preferred_Stock">#REF!</definedName>
    <definedName name="CY_QUICK_ASSETS">#REF!</definedName>
    <definedName name="CY_Retained_Earnings">#REF!</definedName>
    <definedName name="CY_Selling">#REF!</definedName>
    <definedName name="CY_Tangible_Assets">#REF!</definedName>
    <definedName name="CY_Tangible_Net_Worth">#REF!</definedName>
    <definedName name="CY_Taxes">#REF!</definedName>
    <definedName name="CY_TOTAL_ASSETS">#REF!</definedName>
    <definedName name="CY_TOTAL_CURR_ASSETS">#REF!</definedName>
    <definedName name="CY_TOTAL_DEBT">#REF!</definedName>
    <definedName name="CY_TOTAL_EQUITY">#REF!</definedName>
    <definedName name="CY_Working_Capital">#REF!</definedName>
    <definedName name="Dollar_Threshold">#REF!</definedName>
    <definedName name="_xlnm.Print_Titles" localSheetId="2">'Notes SK'!$2:$6</definedName>
    <definedName name="_xlnm.Print_Area" localSheetId="3">'Cash Flow SK'!$A$1:$E$101</definedName>
    <definedName name="_xlnm.Print_Area" localSheetId="2">'Notes SK'!$B$2:$AH$839</definedName>
    <definedName name="_xlnm.Print_Area">#REF!</definedName>
    <definedName name="Percent_Threshold">#REF!</definedName>
    <definedName name="PL_Dollar_Threshold">#REF!</definedName>
    <definedName name="PL_Percent_Threshold">#REF!</definedName>
    <definedName name="Print">#REF!</definedName>
    <definedName name="Print_Area_ENG" localSheetId="3">#REF!</definedName>
    <definedName name="Print_Area_ENG">#REF!</definedName>
    <definedName name="PY_Accounts_Receivable" localSheetId="3">#REF!</definedName>
    <definedName name="PY_Accounts_Receivable">#REF!</definedName>
    <definedName name="PY_Administration" localSheetId="3">#REF!</definedName>
    <definedName name="PY_Administration">#REF!</definedName>
    <definedName name="PY_Cash" localSheetId="3">#REF!</definedName>
    <definedName name="PY_Cash">#REF!</definedName>
    <definedName name="PY_Common_Equity">#REF!</definedName>
    <definedName name="PY_Cost_of_Sales">#REF!</definedName>
    <definedName name="PY_Current_Liabilities">#REF!</definedName>
    <definedName name="PY_Depreciation">#REF!</definedName>
    <definedName name="PY_Gross_Profit">#REF!</definedName>
    <definedName name="PY_Inc_Bef_Tax">#REF!</definedName>
    <definedName name="PY_Intangible_Assets">#REF!</definedName>
    <definedName name="PY_Interest_Expense">#REF!</definedName>
    <definedName name="PY_Inventory">#REF!</definedName>
    <definedName name="PY_LIABIL_EQUITY">#REF!</definedName>
    <definedName name="PY_LT_Debt">#REF!</definedName>
    <definedName name="PY_Market_Value_of_Equity">#REF!</definedName>
    <definedName name="PY_Marketable_Sec">#REF!</definedName>
    <definedName name="PY_NET_PROFIT">#REF!</definedName>
    <definedName name="PY_Net_Revenue">#REF!</definedName>
    <definedName name="PY_Operating_Inc">#REF!</definedName>
    <definedName name="PY_Operating_Income">#REF!</definedName>
    <definedName name="PY_Other_Curr_Assets">#REF!</definedName>
    <definedName name="PY_Other_Exp">#REF!</definedName>
    <definedName name="PY_Other_LT_Assets">#REF!</definedName>
    <definedName name="PY_Other_LT_Liabilities">#REF!</definedName>
    <definedName name="PY_Preferred_Stock">#REF!</definedName>
    <definedName name="PY_QUICK_ASSETS">#REF!</definedName>
    <definedName name="PY_Retained_Earnings">#REF!</definedName>
    <definedName name="PY_Selling">#REF!</definedName>
    <definedName name="PY_Tangible_Assets">#REF!</definedName>
    <definedName name="PY_Tangible_Net_Worth">#REF!</definedName>
    <definedName name="PY_Taxes">#REF!</definedName>
    <definedName name="PY_TOTAL_ASSETS">#REF!</definedName>
    <definedName name="PY_TOTAL_CURR_ASSETS">#REF!</definedName>
    <definedName name="PY_TOTAL_DEBT">#REF!</definedName>
    <definedName name="PY_TOTAL_EQUITY">#REF!</definedName>
    <definedName name="PY_Working_Capital">#REF!</definedName>
    <definedName name="PY2_Accounts_Receivable">#REF!</definedName>
    <definedName name="PY2_Administration">#REF!</definedName>
    <definedName name="PY2_Cash">#REF!</definedName>
    <definedName name="PY2_Common_Equity">#REF!</definedName>
    <definedName name="PY2_Cost_of_Sales">#REF!</definedName>
    <definedName name="PY2_Current_Liabilities">#REF!</definedName>
    <definedName name="PY2_Depreciation">#REF!</definedName>
    <definedName name="PY2_Gross_Profit">#REF!</definedName>
    <definedName name="PY2_Inc_Bef_Tax">#REF!</definedName>
    <definedName name="PY2_Intangible_Assets">#REF!</definedName>
    <definedName name="PY2_Interest_Expense">#REF!</definedName>
    <definedName name="PY2_Inventory">#REF!</definedName>
    <definedName name="PY2_LIABIL_EQUITY">#REF!</definedName>
    <definedName name="PY2_LT_Debt">#REF!</definedName>
    <definedName name="PY2_Marketable_Sec">#REF!</definedName>
    <definedName name="PY2_NET_PROFIT">#REF!</definedName>
    <definedName name="PY2_Net_Revenue">#REF!</definedName>
    <definedName name="PY2_Operating_Inc">#REF!</definedName>
    <definedName name="PY2_Operating_Income">#REF!</definedName>
    <definedName name="PY2_Other_Curr_Assets">#REF!</definedName>
    <definedName name="PY2_Other_Exp.">#REF!</definedName>
    <definedName name="PY2_Other_LT_Assets">#REF!</definedName>
    <definedName name="PY2_Other_LT_Liabilities">#REF!</definedName>
    <definedName name="PY2_Preferred_Stock">#REF!</definedName>
    <definedName name="PY2_QUICK_ASSETS">#REF!</definedName>
    <definedName name="PY2_Retained_Earnings">#REF!</definedName>
    <definedName name="PY2_Selling">#REF!</definedName>
    <definedName name="PY2_Tangible_Assets">#REF!</definedName>
    <definedName name="PY2_Tangible_Net_Worth">#REF!</definedName>
    <definedName name="PY2_Taxes">#REF!</definedName>
    <definedName name="PY2_TOTAL_ASSETS">#REF!</definedName>
    <definedName name="PY2_TOTAL_CURR_ASSETS">#REF!</definedName>
    <definedName name="PY2_TOTAL_DEBT">#REF!</definedName>
    <definedName name="PY2_TOTAL_EQUITY">#REF!</definedName>
    <definedName name="PY2_Working_Capital">#REF!</definedName>
    <definedName name="Účty">[1]Sheet3!$A$4:$BF$371</definedName>
    <definedName name="VER_CF_BALANCES">#REF!</definedName>
    <definedName name="VER_SH_RATIOS">#REF!</definedName>
    <definedName name="VER_SCH_10">#REF!</definedName>
    <definedName name="VER_SCH_14">#REF!</definedName>
    <definedName name="VER_SCH_2">#REF!</definedName>
    <definedName name="VER_SCH_7">#REF!</definedName>
    <definedName name="Visit">[1]Sheet2!$I$3</definedName>
    <definedName name="wrn.Aging._.and._.Trend._.Analysis." localSheetId="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s>
  <calcPr calcId="191029"/>
  <pivotCaches>
    <pivotCache cacheId="0"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3" l="1"/>
  <c r="D11" i="3"/>
  <c r="N476" i="1"/>
  <c r="N281" i="1"/>
  <c r="N282" i="1" l="1"/>
  <c r="J62" i="4"/>
  <c r="N692" i="1"/>
  <c r="J692" i="1" s="1"/>
  <c r="J687" i="1"/>
  <c r="N512" i="1"/>
  <c r="N509" i="1"/>
  <c r="N508" i="1" l="1"/>
  <c r="C16" i="6"/>
  <c r="C19" i="6"/>
  <c r="D45" i="3" l="1"/>
  <c r="R779" i="1" l="1"/>
  <c r="R778" i="1"/>
  <c r="R776" i="1"/>
  <c r="R775" i="1"/>
  <c r="R774" i="1"/>
  <c r="R773" i="1"/>
  <c r="R771" i="1"/>
  <c r="R770" i="1"/>
  <c r="R769" i="1"/>
  <c r="R767" i="1"/>
  <c r="R768" i="1"/>
  <c r="R772" i="1" l="1"/>
  <c r="R765" i="1"/>
  <c r="R758" i="1"/>
  <c r="R762" i="1"/>
  <c r="R764" i="1"/>
  <c r="R757" i="1"/>
  <c r="R759" i="1"/>
  <c r="R761" i="1"/>
  <c r="R763" i="1"/>
  <c r="N625" i="1" l="1"/>
  <c r="N627" i="1"/>
  <c r="N499" i="1"/>
  <c r="N649" i="1" l="1"/>
  <c r="N611" i="1" l="1"/>
  <c r="R449" i="1"/>
  <c r="C75" i="6"/>
  <c r="C141" i="6"/>
  <c r="N417" i="1"/>
  <c r="M409" i="1"/>
  <c r="AA409" i="1" s="1"/>
  <c r="N346" i="1"/>
  <c r="F143" i="6" l="1"/>
  <c r="F125" i="6"/>
  <c r="F120" i="6"/>
  <c r="F105" i="6"/>
  <c r="F99" i="6"/>
  <c r="F89" i="6"/>
  <c r="F76" i="6"/>
  <c r="F73" i="6"/>
  <c r="F68" i="6"/>
  <c r="F56" i="6"/>
  <c r="F44" i="6"/>
  <c r="F43" i="6" s="1"/>
  <c r="F95" i="6" l="1"/>
  <c r="F13" i="6"/>
  <c r="F83" i="6"/>
  <c r="F36" i="6"/>
  <c r="F124" i="6"/>
  <c r="F92" i="6"/>
  <c r="F104" i="6"/>
  <c r="F23" i="6"/>
  <c r="F55" i="6"/>
  <c r="F35" i="6" l="1"/>
  <c r="F103" i="6"/>
  <c r="F4" i="6"/>
  <c r="D28" i="3"/>
  <c r="F3" i="6" l="1"/>
  <c r="F102" i="6" s="1"/>
  <c r="F82" i="6" s="1"/>
  <c r="F81" i="6" s="1"/>
  <c r="D30" i="3"/>
  <c r="D38" i="3" l="1"/>
  <c r="D81" i="3" l="1"/>
  <c r="D98" i="3"/>
  <c r="D48" i="3" l="1"/>
  <c r="D19" i="3"/>
  <c r="D25" i="3"/>
  <c r="D100" i="3" l="1"/>
  <c r="D44" i="3"/>
  <c r="D34" i="3"/>
  <c r="D33" i="3"/>
  <c r="D22" i="3"/>
  <c r="D21" i="3"/>
  <c r="D18" i="3"/>
  <c r="D14" i="3"/>
  <c r="D67" i="3"/>
  <c r="E100" i="3"/>
  <c r="D97" i="3" s="1"/>
  <c r="E76" i="3"/>
  <c r="E67" i="3"/>
  <c r="E64" i="3"/>
  <c r="E27" i="3"/>
  <c r="E13" i="3"/>
  <c r="E32" i="3" l="1"/>
  <c r="E37" i="3" s="1"/>
  <c r="E41" i="3" s="1"/>
  <c r="E94" i="3"/>
  <c r="D76" i="3"/>
  <c r="D94" i="3" s="1"/>
  <c r="D64" i="3"/>
  <c r="D27" i="3"/>
  <c r="D13" i="3"/>
  <c r="C139" i="6"/>
  <c r="C140" i="6" s="1"/>
  <c r="C137" i="6"/>
  <c r="C66" i="6"/>
  <c r="C136" i="6"/>
  <c r="C135" i="6"/>
  <c r="C134" i="6"/>
  <c r="C133" i="6"/>
  <c r="C132" i="6"/>
  <c r="C63" i="6"/>
  <c r="C126" i="6"/>
  <c r="C128" i="6" s="1"/>
  <c r="C125" i="6" s="1"/>
  <c r="C123" i="6"/>
  <c r="C122" i="6"/>
  <c r="C121" i="6"/>
  <c r="C119" i="6"/>
  <c r="C108" i="6"/>
  <c r="C111" i="6"/>
  <c r="C112" i="6" s="1"/>
  <c r="C129" i="6"/>
  <c r="C60" i="6"/>
  <c r="C85" i="6"/>
  <c r="C80" i="6"/>
  <c r="C78" i="6"/>
  <c r="C74" i="6"/>
  <c r="D73" i="6"/>
  <c r="D72" i="6"/>
  <c r="D68" i="6" s="1"/>
  <c r="C70" i="6"/>
  <c r="C72" i="6"/>
  <c r="C71" i="6"/>
  <c r="C67" i="6"/>
  <c r="D59" i="6"/>
  <c r="C61" i="6"/>
  <c r="C62" i="6" s="1"/>
  <c r="E96" i="3" l="1"/>
  <c r="E106" i="3" s="1"/>
  <c r="D32" i="3"/>
  <c r="D37" i="3" s="1"/>
  <c r="D41" i="3" s="1"/>
  <c r="C105" i="6"/>
  <c r="D56" i="6"/>
  <c r="D55" i="6" s="1"/>
  <c r="C54" i="6"/>
  <c r="D44" i="6"/>
  <c r="D43" i="6" s="1"/>
  <c r="C41" i="6"/>
  <c r="D41" i="6"/>
  <c r="D40" i="6"/>
  <c r="D39" i="6"/>
  <c r="D38" i="6"/>
  <c r="D37" i="6"/>
  <c r="D34" i="6"/>
  <c r="D33" i="6"/>
  <c r="C28" i="6"/>
  <c r="C24" i="6"/>
  <c r="D96" i="3" l="1"/>
  <c r="D106" i="3" s="1"/>
  <c r="D36" i="6"/>
  <c r="D35" i="6" s="1"/>
  <c r="D23" i="6"/>
  <c r="E24" i="6"/>
  <c r="E27" i="6"/>
  <c r="E31" i="6"/>
  <c r="E32" i="6"/>
  <c r="E41" i="6"/>
  <c r="E42" i="6"/>
  <c r="E45" i="6"/>
  <c r="E46" i="6"/>
  <c r="E47" i="6"/>
  <c r="E48" i="6"/>
  <c r="E49" i="6"/>
  <c r="E50" i="6"/>
  <c r="E51" i="6"/>
  <c r="E52" i="6"/>
  <c r="E53" i="6"/>
  <c r="E54" i="6"/>
  <c r="E58" i="6"/>
  <c r="E60" i="6"/>
  <c r="E61" i="6"/>
  <c r="E62" i="6"/>
  <c r="E66" i="6"/>
  <c r="E67" i="6"/>
  <c r="E69" i="6"/>
  <c r="E70" i="6"/>
  <c r="E71" i="6"/>
  <c r="E72" i="6"/>
  <c r="E74" i="6"/>
  <c r="E75" i="6"/>
  <c r="E77" i="6"/>
  <c r="E78" i="6"/>
  <c r="E79" i="6"/>
  <c r="E80" i="6"/>
  <c r="D22" i="6"/>
  <c r="D20" i="6"/>
  <c r="D19" i="6"/>
  <c r="D18" i="6"/>
  <c r="D17" i="6"/>
  <c r="D16" i="6"/>
  <c r="D15" i="6"/>
  <c r="D10" i="6"/>
  <c r="D11" i="6"/>
  <c r="D9" i="6"/>
  <c r="D8" i="6"/>
  <c r="D7" i="6"/>
  <c r="D6" i="6"/>
  <c r="C147" i="6"/>
  <c r="C145" i="6"/>
  <c r="C142" i="6"/>
  <c r="C138" i="6"/>
  <c r="C131" i="6"/>
  <c r="C124" i="6" s="1"/>
  <c r="C117" i="6"/>
  <c r="C115" i="6"/>
  <c r="C114" i="6"/>
  <c r="C113" i="6"/>
  <c r="C120" i="6"/>
  <c r="C116" i="6"/>
  <c r="C101" i="6"/>
  <c r="C100" i="6"/>
  <c r="C98" i="6"/>
  <c r="C97" i="6"/>
  <c r="C96" i="6"/>
  <c r="C94" i="6"/>
  <c r="C93" i="6"/>
  <c r="C90" i="6"/>
  <c r="C89" i="6" s="1"/>
  <c r="C88" i="6"/>
  <c r="C87" i="6"/>
  <c r="C86" i="6"/>
  <c r="C84" i="6"/>
  <c r="C104" i="6" l="1"/>
  <c r="C103" i="6" s="1"/>
  <c r="D13" i="6"/>
  <c r="C143" i="6"/>
  <c r="C99" i="6"/>
  <c r="C95" i="6"/>
  <c r="C92" i="6"/>
  <c r="C83" i="6"/>
  <c r="C65" i="6"/>
  <c r="E65" i="6" s="1"/>
  <c r="C64" i="6"/>
  <c r="E64" i="6" s="1"/>
  <c r="E63" i="6"/>
  <c r="C57" i="6"/>
  <c r="C44" i="6"/>
  <c r="C40" i="6"/>
  <c r="E40" i="6" s="1"/>
  <c r="C39" i="6"/>
  <c r="E39" i="6" s="1"/>
  <c r="C38" i="6"/>
  <c r="E38" i="6" s="1"/>
  <c r="C37" i="6"/>
  <c r="E37" i="6" s="1"/>
  <c r="C34" i="6"/>
  <c r="E34" i="6" s="1"/>
  <c r="C33" i="6"/>
  <c r="E33" i="6" s="1"/>
  <c r="C30" i="6"/>
  <c r="E30" i="6" s="1"/>
  <c r="C29" i="6"/>
  <c r="E29" i="6" s="1"/>
  <c r="E28" i="6"/>
  <c r="C26" i="6"/>
  <c r="E26" i="6" s="1"/>
  <c r="C25" i="6"/>
  <c r="E25" i="6" s="1"/>
  <c r="C22" i="6"/>
  <c r="E22" i="6" s="1"/>
  <c r="C21" i="6"/>
  <c r="E21" i="6" s="1"/>
  <c r="C20" i="6"/>
  <c r="E20" i="6" s="1"/>
  <c r="E19" i="6"/>
  <c r="C18" i="6"/>
  <c r="E18" i="6" s="1"/>
  <c r="C17" i="6"/>
  <c r="E17" i="6" s="1"/>
  <c r="E16" i="6"/>
  <c r="C15" i="6"/>
  <c r="E15" i="6" s="1"/>
  <c r="C14" i="6"/>
  <c r="E14" i="6" s="1"/>
  <c r="C12" i="6"/>
  <c r="E12" i="6" s="1"/>
  <c r="C11" i="6"/>
  <c r="E11" i="6" s="1"/>
  <c r="C10" i="6"/>
  <c r="E10" i="6" s="1"/>
  <c r="C9" i="6"/>
  <c r="E9" i="6" s="1"/>
  <c r="C8" i="6"/>
  <c r="E8" i="6" s="1"/>
  <c r="C7" i="6"/>
  <c r="E7" i="6" s="1"/>
  <c r="C6" i="6"/>
  <c r="E6" i="6" s="1"/>
  <c r="D5" i="6"/>
  <c r="C4" i="5"/>
  <c r="C54" i="5"/>
  <c r="C52" i="5"/>
  <c r="C50" i="5" s="1"/>
  <c r="C41" i="5"/>
  <c r="C42" i="5" s="1"/>
  <c r="C39" i="5"/>
  <c r="C35" i="5"/>
  <c r="C13" i="5"/>
  <c r="C61" i="5"/>
  <c r="C60" i="5"/>
  <c r="C59" i="5"/>
  <c r="C55" i="5"/>
  <c r="C53" i="5"/>
  <c r="C49" i="5"/>
  <c r="C48" i="5"/>
  <c r="C47" i="5"/>
  <c r="C45" i="5"/>
  <c r="C44" i="5"/>
  <c r="C43" i="5"/>
  <c r="C31" i="5"/>
  <c r="C27" i="5"/>
  <c r="C26" i="5"/>
  <c r="C25" i="5"/>
  <c r="C24" i="5"/>
  <c r="C23" i="5"/>
  <c r="C21" i="5"/>
  <c r="C20" i="5"/>
  <c r="C19" i="5"/>
  <c r="C18" i="5"/>
  <c r="C17" i="5"/>
  <c r="C15" i="5"/>
  <c r="C14" i="5"/>
  <c r="C12" i="5"/>
  <c r="C10" i="5"/>
  <c r="C9" i="5"/>
  <c r="C8" i="5"/>
  <c r="C7" i="5"/>
  <c r="C6" i="5"/>
  <c r="C5" i="5"/>
  <c r="K3" i="4"/>
  <c r="K4" i="4"/>
  <c r="K5" i="4"/>
  <c r="K6" i="4"/>
  <c r="K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K176" i="4"/>
  <c r="K177" i="4"/>
  <c r="K178" i="4"/>
  <c r="K179" i="4"/>
  <c r="K180" i="4"/>
  <c r="K181" i="4"/>
  <c r="K182" i="4"/>
  <c r="K183" i="4"/>
  <c r="K184" i="4"/>
  <c r="K185" i="4"/>
  <c r="K186" i="4"/>
  <c r="K187" i="4"/>
  <c r="K188" i="4"/>
  <c r="K189" i="4"/>
  <c r="K190" i="4"/>
  <c r="K191" i="4"/>
  <c r="K192" i="4"/>
  <c r="K193" i="4"/>
  <c r="K194" i="4"/>
  <c r="K195" i="4"/>
  <c r="K196" i="4"/>
  <c r="K197" i="4"/>
  <c r="K198" i="4"/>
  <c r="K199" i="4"/>
  <c r="K200" i="4"/>
  <c r="K201" i="4"/>
  <c r="K202" i="4"/>
  <c r="K203" i="4"/>
  <c r="K204" i="4"/>
  <c r="K205" i="4"/>
  <c r="K206" i="4"/>
  <c r="K207" i="4"/>
  <c r="K208" i="4"/>
  <c r="K209" i="4"/>
  <c r="K210" i="4"/>
  <c r="K211" i="4"/>
  <c r="K212" i="4"/>
  <c r="K213" i="4"/>
  <c r="K214" i="4"/>
  <c r="K215" i="4"/>
  <c r="K216" i="4"/>
  <c r="K217" i="4"/>
  <c r="K218" i="4"/>
  <c r="K219" i="4"/>
  <c r="K220" i="4"/>
  <c r="K221" i="4"/>
  <c r="K222" i="4"/>
  <c r="K223" i="4"/>
  <c r="K224" i="4"/>
  <c r="K225" i="4"/>
  <c r="K226" i="4"/>
  <c r="K227" i="4"/>
  <c r="K228" i="4"/>
  <c r="K229" i="4"/>
  <c r="K230" i="4"/>
  <c r="K231" i="4"/>
  <c r="K232" i="4"/>
  <c r="K233" i="4"/>
  <c r="K234" i="4"/>
  <c r="K235"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K266" i="4"/>
  <c r="K267" i="4"/>
  <c r="K268" i="4"/>
  <c r="K269" i="4"/>
  <c r="K270" i="4"/>
  <c r="K271" i="4"/>
  <c r="K272" i="4"/>
  <c r="K273" i="4"/>
  <c r="K274" i="4"/>
  <c r="K275" i="4"/>
  <c r="K276" i="4"/>
  <c r="K277" i="4"/>
  <c r="K278" i="4"/>
  <c r="K279" i="4"/>
  <c r="K280" i="4"/>
  <c r="K281" i="4"/>
  <c r="K282" i="4"/>
  <c r="K283" i="4"/>
  <c r="K284" i="4"/>
  <c r="K285" i="4"/>
  <c r="K286" i="4"/>
  <c r="K287" i="4"/>
  <c r="K288" i="4"/>
  <c r="K289" i="4"/>
  <c r="K290" i="4"/>
  <c r="K291" i="4"/>
  <c r="K292" i="4"/>
  <c r="K293" i="4"/>
  <c r="K294" i="4"/>
  <c r="K295" i="4"/>
  <c r="K296" i="4"/>
  <c r="K297" i="4"/>
  <c r="K298" i="4"/>
  <c r="K299" i="4"/>
  <c r="K300" i="4"/>
  <c r="K301" i="4"/>
  <c r="K302" i="4"/>
  <c r="K303" i="4"/>
  <c r="K304" i="4"/>
  <c r="K305" i="4"/>
  <c r="K306" i="4"/>
  <c r="K307" i="4"/>
  <c r="K308" i="4"/>
  <c r="K309" i="4"/>
  <c r="K310" i="4"/>
  <c r="K311" i="4"/>
  <c r="K312" i="4"/>
  <c r="K313" i="4"/>
  <c r="K314" i="4"/>
  <c r="K315" i="4"/>
  <c r="K316" i="4"/>
  <c r="K317" i="4"/>
  <c r="K318" i="4"/>
  <c r="K319" i="4"/>
  <c r="K320" i="4"/>
  <c r="K321" i="4"/>
  <c r="K322" i="4"/>
  <c r="K323" i="4"/>
  <c r="K324" i="4"/>
  <c r="K325" i="4"/>
  <c r="K326" i="4"/>
  <c r="K327" i="4"/>
  <c r="K328" i="4"/>
  <c r="K329" i="4"/>
  <c r="K330" i="4"/>
  <c r="K331" i="4"/>
  <c r="K332" i="4"/>
  <c r="K333" i="4"/>
  <c r="K334" i="4"/>
  <c r="K335" i="4"/>
  <c r="K336" i="4"/>
  <c r="K337" i="4"/>
  <c r="K338" i="4"/>
  <c r="K339" i="4"/>
  <c r="K340" i="4"/>
  <c r="K341" i="4"/>
  <c r="K342" i="4"/>
  <c r="K343" i="4"/>
  <c r="K344" i="4"/>
  <c r="K345" i="4"/>
  <c r="K346" i="4"/>
  <c r="K347" i="4"/>
  <c r="K348" i="4"/>
  <c r="K349" i="4"/>
  <c r="K350" i="4"/>
  <c r="K351" i="4"/>
  <c r="K352" i="4"/>
  <c r="K353" i="4"/>
  <c r="K354" i="4"/>
  <c r="K355" i="4"/>
  <c r="K356" i="4"/>
  <c r="K357" i="4"/>
  <c r="K358" i="4"/>
  <c r="K359" i="4"/>
  <c r="K360" i="4"/>
  <c r="K361" i="4"/>
  <c r="K362" i="4"/>
  <c r="K363" i="4"/>
  <c r="K364" i="4"/>
  <c r="K365" i="4"/>
  <c r="K366" i="4"/>
  <c r="K367" i="4"/>
  <c r="K368" i="4"/>
  <c r="K369" i="4"/>
  <c r="K370" i="4"/>
  <c r="K371" i="4"/>
  <c r="K372" i="4"/>
  <c r="K373" i="4"/>
  <c r="K374" i="4"/>
  <c r="K375" i="4"/>
  <c r="K376" i="4"/>
  <c r="K377" i="4"/>
  <c r="K378" i="4"/>
  <c r="K379" i="4"/>
  <c r="K380" i="4"/>
  <c r="K381" i="4"/>
  <c r="K382" i="4"/>
  <c r="K383" i="4"/>
  <c r="K384" i="4"/>
  <c r="K385" i="4"/>
  <c r="K386" i="4"/>
  <c r="K387" i="4"/>
  <c r="K388" i="4"/>
  <c r="K389" i="4"/>
  <c r="K390" i="4"/>
  <c r="K391" i="4"/>
  <c r="K392" i="4"/>
  <c r="K393" i="4"/>
  <c r="K394" i="4"/>
  <c r="K395" i="4"/>
  <c r="K396" i="4"/>
  <c r="K397" i="4"/>
  <c r="K398" i="4"/>
  <c r="K399" i="4"/>
  <c r="K400" i="4"/>
  <c r="K401" i="4"/>
  <c r="K402" i="4"/>
  <c r="K403" i="4"/>
  <c r="K404" i="4"/>
  <c r="K405" i="4"/>
  <c r="K406" i="4"/>
  <c r="K407" i="4"/>
  <c r="K408" i="4"/>
  <c r="K409" i="4"/>
  <c r="K410" i="4"/>
  <c r="K411" i="4"/>
  <c r="K412" i="4"/>
  <c r="K413" i="4"/>
  <c r="K414" i="4"/>
  <c r="K415" i="4"/>
  <c r="K416" i="4"/>
  <c r="K417" i="4"/>
  <c r="K418" i="4"/>
  <c r="K419" i="4"/>
  <c r="K420" i="4"/>
  <c r="K421" i="4"/>
  <c r="K422" i="4"/>
  <c r="K423" i="4"/>
  <c r="K424" i="4"/>
  <c r="K425" i="4"/>
  <c r="K426" i="4"/>
  <c r="K427" i="4"/>
  <c r="K428" i="4"/>
  <c r="K429" i="4"/>
  <c r="K430" i="4"/>
  <c r="K431" i="4"/>
  <c r="K432" i="4"/>
  <c r="K433" i="4"/>
  <c r="K434" i="4"/>
  <c r="K435" i="4"/>
  <c r="K436" i="4"/>
  <c r="K437" i="4"/>
  <c r="K438" i="4"/>
  <c r="K439" i="4"/>
  <c r="K440" i="4"/>
  <c r="K441" i="4"/>
  <c r="K442" i="4"/>
  <c r="K443" i="4"/>
  <c r="K444" i="4"/>
  <c r="K445" i="4"/>
  <c r="K446" i="4"/>
  <c r="K447" i="4"/>
  <c r="K448" i="4"/>
  <c r="K449" i="4"/>
  <c r="K450" i="4"/>
  <c r="K451" i="4"/>
  <c r="K452" i="4"/>
  <c r="K453" i="4"/>
  <c r="K454" i="4"/>
  <c r="K455" i="4"/>
  <c r="K456" i="4"/>
  <c r="K457" i="4"/>
  <c r="K458" i="4"/>
  <c r="K459" i="4"/>
  <c r="K460" i="4"/>
  <c r="K461" i="4"/>
  <c r="K462" i="4"/>
  <c r="K463" i="4"/>
  <c r="K464" i="4"/>
  <c r="K465" i="4"/>
  <c r="K466" i="4"/>
  <c r="K467" i="4"/>
  <c r="K468" i="4"/>
  <c r="K469" i="4"/>
  <c r="K470" i="4"/>
  <c r="K471" i="4"/>
  <c r="K472" i="4"/>
  <c r="K473" i="4"/>
  <c r="K474" i="4"/>
  <c r="K475" i="4"/>
  <c r="K476" i="4"/>
  <c r="K477" i="4"/>
  <c r="K478" i="4"/>
  <c r="K479" i="4"/>
  <c r="K480" i="4"/>
  <c r="K481" i="4"/>
  <c r="K482" i="4"/>
  <c r="K483" i="4"/>
  <c r="K484" i="4"/>
  <c r="K485" i="4"/>
  <c r="K486" i="4"/>
  <c r="K487" i="4"/>
  <c r="K488" i="4"/>
  <c r="K489" i="4"/>
  <c r="K490" i="4"/>
  <c r="K491" i="4"/>
  <c r="K492" i="4"/>
  <c r="K493" i="4"/>
  <c r="K494" i="4"/>
  <c r="K495" i="4"/>
  <c r="K496" i="4"/>
  <c r="K497" i="4"/>
  <c r="K498" i="4"/>
  <c r="K499" i="4"/>
  <c r="K500" i="4"/>
  <c r="K501" i="4"/>
  <c r="K502" i="4"/>
  <c r="K503" i="4"/>
  <c r="K504" i="4"/>
  <c r="K505" i="4"/>
  <c r="K506" i="4"/>
  <c r="K507" i="4"/>
  <c r="K508" i="4"/>
  <c r="K509" i="4"/>
  <c r="K510" i="4"/>
  <c r="K511" i="4"/>
  <c r="K512" i="4"/>
  <c r="K513" i="4"/>
  <c r="K514" i="4"/>
  <c r="K515" i="4"/>
  <c r="K516" i="4"/>
  <c r="K517" i="4"/>
  <c r="K518" i="4"/>
  <c r="K519" i="4"/>
  <c r="K520" i="4"/>
  <c r="K521" i="4"/>
  <c r="K522" i="4"/>
  <c r="K523" i="4"/>
  <c r="K524" i="4"/>
  <c r="K525" i="4"/>
  <c r="K526" i="4"/>
  <c r="K527" i="4"/>
  <c r="K528" i="4"/>
  <c r="K529" i="4"/>
  <c r="K530" i="4"/>
  <c r="K531" i="4"/>
  <c r="K532" i="4"/>
  <c r="K533" i="4"/>
  <c r="K534" i="4"/>
  <c r="K535" i="4"/>
  <c r="K536" i="4"/>
  <c r="K537" i="4"/>
  <c r="K538" i="4"/>
  <c r="K539" i="4"/>
  <c r="K540" i="4"/>
  <c r="K541" i="4"/>
  <c r="K542" i="4"/>
  <c r="K543" i="4"/>
  <c r="K544" i="4"/>
  <c r="K545" i="4"/>
  <c r="K546" i="4"/>
  <c r="K547" i="4"/>
  <c r="K548" i="4"/>
  <c r="K549" i="4"/>
  <c r="K550" i="4"/>
  <c r="K551" i="4"/>
  <c r="K552" i="4"/>
  <c r="K553" i="4"/>
  <c r="K554" i="4"/>
  <c r="K555" i="4"/>
  <c r="K556" i="4"/>
  <c r="K557" i="4"/>
  <c r="K558" i="4"/>
  <c r="K559" i="4"/>
  <c r="K560" i="4"/>
  <c r="K561" i="4"/>
  <c r="K562" i="4"/>
  <c r="K563" i="4"/>
  <c r="K564" i="4"/>
  <c r="K565" i="4"/>
  <c r="K566" i="4"/>
  <c r="K567" i="4"/>
  <c r="K568" i="4"/>
  <c r="K569" i="4"/>
  <c r="K570" i="4"/>
  <c r="K571" i="4"/>
  <c r="K572" i="4"/>
  <c r="K573" i="4"/>
  <c r="K574" i="4"/>
  <c r="K575" i="4"/>
  <c r="K576" i="4"/>
  <c r="K577" i="4"/>
  <c r="K578" i="4"/>
  <c r="K579" i="4"/>
  <c r="K580" i="4"/>
  <c r="K581" i="4"/>
  <c r="K582" i="4"/>
  <c r="K583" i="4"/>
  <c r="K584" i="4"/>
  <c r="K585" i="4"/>
  <c r="K586" i="4"/>
  <c r="K587" i="4"/>
  <c r="K588" i="4"/>
  <c r="K589" i="4"/>
  <c r="K590" i="4"/>
  <c r="K591" i="4"/>
  <c r="K592" i="4"/>
  <c r="K593" i="4"/>
  <c r="K594" i="4"/>
  <c r="K595" i="4"/>
  <c r="K596" i="4"/>
  <c r="K597" i="4"/>
  <c r="K598" i="4"/>
  <c r="K599" i="4"/>
  <c r="K600" i="4"/>
  <c r="K601" i="4"/>
  <c r="K602" i="4"/>
  <c r="K603" i="4"/>
  <c r="K604" i="4"/>
  <c r="K605" i="4"/>
  <c r="K606" i="4"/>
  <c r="K607" i="4"/>
  <c r="K608" i="4"/>
  <c r="K609" i="4"/>
  <c r="K610" i="4"/>
  <c r="K611" i="4"/>
  <c r="K612" i="4"/>
  <c r="K613" i="4"/>
  <c r="K614" i="4"/>
  <c r="K615" i="4"/>
  <c r="K616" i="4"/>
  <c r="K617" i="4"/>
  <c r="K618" i="4"/>
  <c r="K619" i="4"/>
  <c r="K620" i="4"/>
  <c r="K621" i="4"/>
  <c r="K622" i="4"/>
  <c r="K623" i="4"/>
  <c r="K624" i="4"/>
  <c r="K625" i="4"/>
  <c r="K626" i="4"/>
  <c r="K627" i="4"/>
  <c r="K628" i="4"/>
  <c r="K629" i="4"/>
  <c r="K630" i="4"/>
  <c r="K631" i="4"/>
  <c r="K632" i="4"/>
  <c r="K633" i="4"/>
  <c r="K634" i="4"/>
  <c r="K635" i="4"/>
  <c r="K636" i="4"/>
  <c r="K637" i="4"/>
  <c r="K638" i="4"/>
  <c r="K639" i="4"/>
  <c r="K640" i="4"/>
  <c r="K641" i="4"/>
  <c r="K642" i="4"/>
  <c r="K643" i="4"/>
  <c r="K644" i="4"/>
  <c r="K645" i="4"/>
  <c r="K646" i="4"/>
  <c r="K647" i="4"/>
  <c r="K648" i="4"/>
  <c r="K649" i="4"/>
  <c r="K650" i="4"/>
  <c r="K651" i="4"/>
  <c r="K652" i="4"/>
  <c r="K653" i="4"/>
  <c r="K654" i="4"/>
  <c r="K655" i="4"/>
  <c r="K656" i="4"/>
  <c r="K657" i="4"/>
  <c r="K658" i="4"/>
  <c r="K659" i="4"/>
  <c r="K660" i="4"/>
  <c r="K661" i="4"/>
  <c r="K662" i="4"/>
  <c r="K663" i="4"/>
  <c r="K664" i="4"/>
  <c r="K665" i="4"/>
  <c r="K666" i="4"/>
  <c r="K667" i="4"/>
  <c r="K668" i="4"/>
  <c r="K669" i="4"/>
  <c r="K670" i="4"/>
  <c r="K671" i="4"/>
  <c r="K672" i="4"/>
  <c r="K673" i="4"/>
  <c r="K674" i="4"/>
  <c r="K675" i="4"/>
  <c r="K676" i="4"/>
  <c r="K677" i="4"/>
  <c r="K678" i="4"/>
  <c r="K679" i="4"/>
  <c r="K680" i="4"/>
  <c r="K681" i="4"/>
  <c r="K682" i="4"/>
  <c r="K683" i="4"/>
  <c r="K684" i="4"/>
  <c r="K685" i="4"/>
  <c r="K686" i="4"/>
  <c r="K687" i="4"/>
  <c r="K688" i="4"/>
  <c r="K689" i="4"/>
  <c r="K690" i="4"/>
  <c r="K691" i="4"/>
  <c r="K692" i="4"/>
  <c r="K693" i="4"/>
  <c r="K694" i="4"/>
  <c r="K695" i="4"/>
  <c r="K696" i="4"/>
  <c r="K697" i="4"/>
  <c r="K698" i="4"/>
  <c r="K699" i="4"/>
  <c r="K700" i="4"/>
  <c r="K701" i="4"/>
  <c r="K702" i="4"/>
  <c r="K703" i="4"/>
  <c r="K704" i="4"/>
  <c r="K705" i="4"/>
  <c r="K706" i="4"/>
  <c r="K707" i="4"/>
  <c r="K708" i="4"/>
  <c r="K709" i="4"/>
  <c r="K710" i="4"/>
  <c r="K711" i="4"/>
  <c r="K712" i="4"/>
  <c r="K713" i="4"/>
  <c r="K714" i="4"/>
  <c r="K715" i="4"/>
  <c r="K716" i="4"/>
  <c r="K717" i="4"/>
  <c r="K718" i="4"/>
  <c r="K719" i="4"/>
  <c r="K720" i="4"/>
  <c r="K721" i="4"/>
  <c r="K722" i="4"/>
  <c r="K723" i="4"/>
  <c r="K724" i="4"/>
  <c r="K725" i="4"/>
  <c r="K726" i="4"/>
  <c r="K727" i="4"/>
  <c r="K728" i="4"/>
  <c r="K729" i="4"/>
  <c r="K730" i="4"/>
  <c r="K731" i="4"/>
  <c r="K732" i="4"/>
  <c r="K733" i="4"/>
  <c r="K734" i="4"/>
  <c r="K735" i="4"/>
  <c r="K736" i="4"/>
  <c r="K737" i="4"/>
  <c r="K738" i="4"/>
  <c r="K739" i="4"/>
  <c r="K740" i="4"/>
  <c r="K741" i="4"/>
  <c r="K742" i="4"/>
  <c r="K743" i="4"/>
  <c r="K744" i="4"/>
  <c r="K745" i="4"/>
  <c r="K746" i="4"/>
  <c r="K747" i="4"/>
  <c r="K748" i="4"/>
  <c r="K749" i="4"/>
  <c r="K750" i="4"/>
  <c r="K751" i="4"/>
  <c r="K752" i="4"/>
  <c r="K753" i="4"/>
  <c r="K754" i="4"/>
  <c r="K755" i="4"/>
  <c r="K756" i="4"/>
  <c r="K757" i="4"/>
  <c r="K758" i="4"/>
  <c r="K759" i="4"/>
  <c r="K760" i="4"/>
  <c r="K761" i="4"/>
  <c r="K762" i="4"/>
  <c r="K763" i="4"/>
  <c r="K764" i="4"/>
  <c r="K765" i="4"/>
  <c r="K766" i="4"/>
  <c r="K767" i="4"/>
  <c r="K768" i="4"/>
  <c r="K769" i="4"/>
  <c r="K770" i="4"/>
  <c r="K771" i="4"/>
  <c r="K772" i="4"/>
  <c r="K773" i="4"/>
  <c r="K774" i="4"/>
  <c r="K775" i="4"/>
  <c r="K776" i="4"/>
  <c r="K777" i="4"/>
  <c r="K778" i="4"/>
  <c r="K779" i="4"/>
  <c r="K780" i="4"/>
  <c r="K781" i="4"/>
  <c r="K782" i="4"/>
  <c r="K783" i="4"/>
  <c r="K784" i="4"/>
  <c r="K785" i="4"/>
  <c r="K786" i="4"/>
  <c r="K787" i="4"/>
  <c r="K788" i="4"/>
  <c r="K789" i="4"/>
  <c r="K790" i="4"/>
  <c r="K791" i="4"/>
  <c r="K792" i="4"/>
  <c r="K793" i="4"/>
  <c r="K794" i="4"/>
  <c r="K795" i="4"/>
  <c r="K796" i="4"/>
  <c r="K797" i="4"/>
  <c r="K798" i="4"/>
  <c r="K799" i="4"/>
  <c r="K800" i="4"/>
  <c r="K801" i="4"/>
  <c r="K802" i="4"/>
  <c r="K803" i="4"/>
  <c r="K804" i="4"/>
  <c r="K805" i="4"/>
  <c r="K806" i="4"/>
  <c r="K807" i="4"/>
  <c r="K808" i="4"/>
  <c r="K809" i="4"/>
  <c r="K810" i="4"/>
  <c r="K811" i="4"/>
  <c r="K812" i="4"/>
  <c r="K813" i="4"/>
  <c r="K814" i="4"/>
  <c r="K815" i="4"/>
  <c r="K816" i="4"/>
  <c r="K817" i="4"/>
  <c r="K818" i="4"/>
  <c r="K819" i="4"/>
  <c r="K820" i="4"/>
  <c r="K821" i="4"/>
  <c r="K822" i="4"/>
  <c r="K823" i="4"/>
  <c r="K824" i="4"/>
  <c r="K825" i="4"/>
  <c r="K826" i="4"/>
  <c r="K827" i="4"/>
  <c r="K828" i="4"/>
  <c r="K829" i="4"/>
  <c r="K830" i="4"/>
  <c r="K831" i="4"/>
  <c r="K832" i="4"/>
  <c r="K833" i="4"/>
  <c r="K834" i="4"/>
  <c r="K835" i="4"/>
  <c r="K836" i="4"/>
  <c r="K837" i="4"/>
  <c r="K838" i="4"/>
  <c r="K839" i="4"/>
  <c r="K840" i="4"/>
  <c r="K841" i="4"/>
  <c r="K842" i="4"/>
  <c r="K843" i="4"/>
  <c r="K844" i="4"/>
  <c r="K845" i="4"/>
  <c r="K846" i="4"/>
  <c r="K847" i="4"/>
  <c r="K848" i="4"/>
  <c r="K849" i="4"/>
  <c r="K850" i="4"/>
  <c r="K851" i="4"/>
  <c r="K852" i="4"/>
  <c r="K853" i="4"/>
  <c r="K854" i="4"/>
  <c r="K855" i="4"/>
  <c r="K856" i="4"/>
  <c r="K857" i="4"/>
  <c r="K858" i="4"/>
  <c r="K859" i="4"/>
  <c r="K860" i="4"/>
  <c r="K861" i="4"/>
  <c r="K862" i="4"/>
  <c r="K863" i="4"/>
  <c r="K864" i="4"/>
  <c r="K865" i="4"/>
  <c r="K866" i="4"/>
  <c r="K867" i="4"/>
  <c r="K868" i="4"/>
  <c r="K869" i="4"/>
  <c r="K870" i="4"/>
  <c r="K871" i="4"/>
  <c r="K872" i="4"/>
  <c r="K873" i="4"/>
  <c r="K874" i="4"/>
  <c r="K875" i="4"/>
  <c r="K876" i="4"/>
  <c r="K877" i="4"/>
  <c r="K878" i="4"/>
  <c r="K879" i="4"/>
  <c r="K880" i="4"/>
  <c r="K881" i="4"/>
  <c r="K882" i="4"/>
  <c r="K883" i="4"/>
  <c r="K884" i="4"/>
  <c r="K885" i="4"/>
  <c r="K886" i="4"/>
  <c r="K887" i="4"/>
  <c r="K888" i="4"/>
  <c r="K889" i="4"/>
  <c r="K890" i="4"/>
  <c r="K891" i="4"/>
  <c r="K892" i="4"/>
  <c r="K893" i="4"/>
  <c r="K894" i="4"/>
  <c r="K895" i="4"/>
  <c r="K896" i="4"/>
  <c r="K897" i="4"/>
  <c r="K898" i="4"/>
  <c r="K899" i="4"/>
  <c r="K900" i="4"/>
  <c r="K901" i="4"/>
  <c r="K902" i="4"/>
  <c r="K903" i="4"/>
  <c r="K904" i="4"/>
  <c r="K905" i="4"/>
  <c r="K906" i="4"/>
  <c r="K907" i="4"/>
  <c r="K908" i="4"/>
  <c r="K909" i="4"/>
  <c r="K910" i="4"/>
  <c r="K911" i="4"/>
  <c r="K912" i="4"/>
  <c r="K913" i="4"/>
  <c r="K914" i="4"/>
  <c r="K915" i="4"/>
  <c r="K916" i="4"/>
  <c r="K917" i="4"/>
  <c r="K918" i="4"/>
  <c r="K919" i="4"/>
  <c r="K920" i="4"/>
  <c r="K921" i="4"/>
  <c r="K922" i="4"/>
  <c r="K923" i="4"/>
  <c r="K924" i="4"/>
  <c r="K925" i="4"/>
  <c r="K926" i="4"/>
  <c r="K927" i="4"/>
  <c r="K928" i="4"/>
  <c r="K929" i="4"/>
  <c r="K930" i="4"/>
  <c r="K931" i="4"/>
  <c r="K932" i="4"/>
  <c r="K933" i="4"/>
  <c r="K934" i="4"/>
  <c r="K935" i="4"/>
  <c r="K936" i="4"/>
  <c r="K937" i="4"/>
  <c r="K938" i="4"/>
  <c r="K939" i="4"/>
  <c r="K940" i="4"/>
  <c r="K941" i="4"/>
  <c r="K942" i="4"/>
  <c r="K943" i="4"/>
  <c r="K944" i="4"/>
  <c r="K945" i="4"/>
  <c r="K946" i="4"/>
  <c r="K947" i="4"/>
  <c r="K948" i="4"/>
  <c r="K949" i="4"/>
  <c r="K950" i="4"/>
  <c r="K951" i="4"/>
  <c r="K952" i="4"/>
  <c r="K953" i="4"/>
  <c r="K954" i="4"/>
  <c r="K955" i="4"/>
  <c r="K956" i="4"/>
  <c r="K957" i="4"/>
  <c r="K958" i="4"/>
  <c r="K959" i="4"/>
  <c r="K960" i="4"/>
  <c r="K961" i="4"/>
  <c r="K962" i="4"/>
  <c r="K963" i="4"/>
  <c r="K964" i="4"/>
  <c r="K965" i="4"/>
  <c r="K966" i="4"/>
  <c r="K967" i="4"/>
  <c r="K968" i="4"/>
  <c r="K969" i="4"/>
  <c r="K970" i="4"/>
  <c r="K971" i="4"/>
  <c r="K972" i="4"/>
  <c r="K973" i="4"/>
  <c r="K974" i="4"/>
  <c r="K975" i="4"/>
  <c r="K976" i="4"/>
  <c r="K977" i="4"/>
  <c r="K978" i="4"/>
  <c r="K979" i="4"/>
  <c r="K980" i="4"/>
  <c r="K981" i="4"/>
  <c r="K982" i="4"/>
  <c r="K983" i="4"/>
  <c r="K984" i="4"/>
  <c r="K985" i="4"/>
  <c r="K986" i="4"/>
  <c r="K987" i="4"/>
  <c r="K988" i="4"/>
  <c r="K989" i="4"/>
  <c r="K990" i="4"/>
  <c r="K991" i="4"/>
  <c r="K992" i="4"/>
  <c r="K993" i="4"/>
  <c r="K994" i="4"/>
  <c r="K995" i="4"/>
  <c r="K996" i="4"/>
  <c r="K997" i="4"/>
  <c r="K998" i="4"/>
  <c r="K999" i="4"/>
  <c r="K1000" i="4"/>
  <c r="K1001" i="4"/>
  <c r="K1002" i="4"/>
  <c r="K1003" i="4"/>
  <c r="K1004" i="4"/>
  <c r="K1005" i="4"/>
  <c r="K1006" i="4"/>
  <c r="K1007" i="4"/>
  <c r="K1008" i="4"/>
  <c r="K1009" i="4"/>
  <c r="K1010" i="4"/>
  <c r="K1011" i="4"/>
  <c r="K1012" i="4"/>
  <c r="K1013" i="4"/>
  <c r="K1014" i="4"/>
  <c r="K1015" i="4"/>
  <c r="K1016" i="4"/>
  <c r="K1017" i="4"/>
  <c r="K1018" i="4"/>
  <c r="K1019" i="4"/>
  <c r="K1020" i="4"/>
  <c r="K1021" i="4"/>
  <c r="K1022" i="4"/>
  <c r="K1023" i="4"/>
  <c r="K1024" i="4"/>
  <c r="K1025" i="4"/>
  <c r="K1026" i="4"/>
  <c r="K1027" i="4"/>
  <c r="K1028" i="4"/>
  <c r="K1029" i="4"/>
  <c r="K1030" i="4"/>
  <c r="K1031" i="4"/>
  <c r="K1032" i="4"/>
  <c r="K1033" i="4"/>
  <c r="K1034" i="4"/>
  <c r="K1035" i="4"/>
  <c r="K1036" i="4"/>
  <c r="K1037" i="4"/>
  <c r="K1038" i="4"/>
  <c r="K2" i="4"/>
  <c r="J2" i="4"/>
  <c r="J3" i="4"/>
  <c r="J4" i="4"/>
  <c r="J5" i="4"/>
  <c r="J6" i="4"/>
  <c r="J7" i="4"/>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48" i="4"/>
  <c r="J49" i="4"/>
  <c r="J50" i="4"/>
  <c r="J51" i="4"/>
  <c r="J52" i="4"/>
  <c r="J53" i="4"/>
  <c r="J54" i="4"/>
  <c r="J55" i="4"/>
  <c r="J56" i="4"/>
  <c r="J57" i="4"/>
  <c r="J58" i="4"/>
  <c r="J59" i="4"/>
  <c r="J60" i="4"/>
  <c r="J61"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C43" i="6" l="1"/>
  <c r="E43" i="6" s="1"/>
  <c r="E44" i="6"/>
  <c r="C59" i="6"/>
  <c r="E59" i="6" s="1"/>
  <c r="E57" i="6"/>
  <c r="D4" i="6"/>
  <c r="C13" i="6"/>
  <c r="E13" i="6" s="1"/>
  <c r="C76" i="6"/>
  <c r="E76" i="6" s="1"/>
  <c r="C73" i="6"/>
  <c r="E73" i="6" s="1"/>
  <c r="C68" i="6"/>
  <c r="E68" i="6" s="1"/>
  <c r="C36" i="6"/>
  <c r="E36" i="6" s="1"/>
  <c r="C23" i="6"/>
  <c r="E23" i="6" s="1"/>
  <c r="C5" i="6"/>
  <c r="E5" i="6" s="1"/>
  <c r="C3" i="5"/>
  <c r="C29" i="5"/>
  <c r="C2" i="5"/>
  <c r="C46" i="5"/>
  <c r="C58" i="5"/>
  <c r="C40" i="5"/>
  <c r="C36" i="5"/>
  <c r="C32" i="5"/>
  <c r="C22" i="5"/>
  <c r="C16" i="5"/>
  <c r="R575" i="1"/>
  <c r="R576" i="1"/>
  <c r="R577" i="1"/>
  <c r="R578" i="1"/>
  <c r="R579" i="1"/>
  <c r="R580" i="1"/>
  <c r="R581" i="1"/>
  <c r="R582" i="1"/>
  <c r="R583" i="1"/>
  <c r="R584" i="1"/>
  <c r="R585" i="1"/>
  <c r="R586" i="1"/>
  <c r="R587" i="1"/>
  <c r="R588" i="1"/>
  <c r="R589" i="1"/>
  <c r="R590" i="1"/>
  <c r="R591" i="1"/>
  <c r="R592" i="1"/>
  <c r="R593" i="1"/>
  <c r="Z575" i="1"/>
  <c r="Z576" i="1"/>
  <c r="Z577" i="1"/>
  <c r="Z578" i="1"/>
  <c r="Z579" i="1"/>
  <c r="Z580" i="1"/>
  <c r="Z581" i="1"/>
  <c r="Z582" i="1"/>
  <c r="Z583" i="1"/>
  <c r="Z584" i="1"/>
  <c r="Z585" i="1"/>
  <c r="Z586" i="1"/>
  <c r="Z587" i="1"/>
  <c r="Z588" i="1"/>
  <c r="Z589" i="1"/>
  <c r="Z590" i="1"/>
  <c r="Z591" i="1"/>
  <c r="Z592" i="1"/>
  <c r="Z593" i="1"/>
  <c r="Z574" i="1"/>
  <c r="R574" i="1"/>
  <c r="J575" i="1"/>
  <c r="J576" i="1"/>
  <c r="J577" i="1"/>
  <c r="J578" i="1"/>
  <c r="J579" i="1"/>
  <c r="J580" i="1"/>
  <c r="J581" i="1"/>
  <c r="J582" i="1"/>
  <c r="J583" i="1"/>
  <c r="J584" i="1"/>
  <c r="J585" i="1"/>
  <c r="J586" i="1"/>
  <c r="J587" i="1"/>
  <c r="J588" i="1"/>
  <c r="J589" i="1"/>
  <c r="J590" i="1"/>
  <c r="J591" i="1"/>
  <c r="J592" i="1"/>
  <c r="J593" i="1"/>
  <c r="J574" i="1"/>
  <c r="Z573" i="1" l="1"/>
  <c r="R573" i="1"/>
  <c r="C11" i="5"/>
  <c r="C28" i="5" s="1"/>
  <c r="C56" i="6"/>
  <c r="E56" i="6" s="1"/>
  <c r="D3" i="6"/>
  <c r="C4" i="6"/>
  <c r="E4" i="6" s="1"/>
  <c r="C30" i="5"/>
  <c r="Z766" i="1"/>
  <c r="C56" i="5" l="1"/>
  <c r="C57" i="5" s="1"/>
  <c r="C62" i="5" s="1"/>
  <c r="C55" i="6" l="1"/>
  <c r="E55" i="6" s="1"/>
  <c r="R751" i="1"/>
  <c r="R749" i="1"/>
  <c r="R747" i="1"/>
  <c r="R746" i="1"/>
  <c r="T405" i="1"/>
  <c r="M405" i="1" s="1"/>
  <c r="R744" i="1"/>
  <c r="R742" i="1"/>
  <c r="R741" i="1"/>
  <c r="R739" i="1"/>
  <c r="C35" i="6" l="1"/>
  <c r="E35" i="6" s="1"/>
  <c r="Z801" i="1"/>
  <c r="Z799" i="1" s="1"/>
  <c r="AD799" i="1" s="1"/>
  <c r="R801" i="1"/>
  <c r="J685" i="1"/>
  <c r="C3" i="6" l="1"/>
  <c r="N687" i="1"/>
  <c r="Z695" i="1"/>
  <c r="Z692" i="1"/>
  <c r="N690" i="1"/>
  <c r="N688" i="1"/>
  <c r="Z690" i="1"/>
  <c r="Z688" i="1"/>
  <c r="Z687" i="1"/>
  <c r="Z686" i="1"/>
  <c r="N686" i="1"/>
  <c r="N693" i="1" l="1"/>
  <c r="N694" i="1" s="1"/>
  <c r="E3" i="6"/>
  <c r="C102" i="6" s="1"/>
  <c r="C82" i="6" s="1"/>
  <c r="C81" i="6" s="1"/>
  <c r="Z693" i="1"/>
  <c r="Z694" i="1" s="1"/>
  <c r="J693" i="1"/>
  <c r="X661" i="1" l="1"/>
  <c r="N657" i="1" l="1"/>
  <c r="N654" i="1"/>
  <c r="N653" i="1" s="1"/>
  <c r="N656" i="1"/>
  <c r="X655" i="1"/>
  <c r="X653" i="1"/>
  <c r="N651" i="1"/>
  <c r="N650" i="1"/>
  <c r="N648" i="1"/>
  <c r="N643" i="1"/>
  <c r="N642" i="1"/>
  <c r="N639" i="1"/>
  <c r="N662" i="1" s="1"/>
  <c r="N661" i="1" s="1"/>
  <c r="N645" i="1"/>
  <c r="N644" i="1"/>
  <c r="N640" i="1"/>
  <c r="N638" i="1"/>
  <c r="N624" i="1"/>
  <c r="N628" i="1"/>
  <c r="N637" i="1"/>
  <c r="N617" i="1"/>
  <c r="N616" i="1"/>
  <c r="N614" i="1"/>
  <c r="N613" i="1" s="1"/>
  <c r="N610" i="1"/>
  <c r="N609" i="1"/>
  <c r="N608" i="1"/>
  <c r="X607" i="1"/>
  <c r="X615" i="1"/>
  <c r="N606" i="1"/>
  <c r="N641" i="1" l="1"/>
  <c r="N646" i="1" s="1"/>
  <c r="N655" i="1"/>
  <c r="N629" i="1"/>
  <c r="N615" i="1"/>
  <c r="N612" i="1" s="1"/>
  <c r="N607" i="1"/>
  <c r="N562" i="1"/>
  <c r="N563" i="1" l="1"/>
  <c r="N559" i="1"/>
  <c r="V551" i="1"/>
  <c r="Z551" i="1" l="1"/>
  <c r="N536" i="1"/>
  <c r="N540" i="1"/>
  <c r="N497" i="1" l="1"/>
  <c r="N477" i="1"/>
  <c r="N478" i="1"/>
  <c r="N474" i="1"/>
  <c r="AC472" i="1"/>
  <c r="R442" i="1"/>
  <c r="P434" i="1"/>
  <c r="P433" i="1" s="1"/>
  <c r="P430" i="1"/>
  <c r="N418" i="1"/>
  <c r="J477" i="4"/>
  <c r="J476" i="4"/>
  <c r="J475" i="4"/>
  <c r="J474" i="4"/>
  <c r="J473" i="4"/>
  <c r="J472" i="4"/>
  <c r="J471" i="4"/>
  <c r="J470" i="4"/>
  <c r="J469" i="4"/>
  <c r="J468" i="4"/>
  <c r="J467" i="4"/>
  <c r="J466" i="4"/>
  <c r="J465" i="4"/>
  <c r="J464" i="4"/>
  <c r="J463" i="4"/>
  <c r="J462" i="4"/>
  <c r="J461" i="4"/>
  <c r="J460" i="4"/>
  <c r="J459" i="4"/>
  <c r="J458" i="4"/>
  <c r="J457" i="4"/>
  <c r="J456" i="4"/>
  <c r="J455" i="4"/>
  <c r="J454" i="4"/>
  <c r="J453" i="4"/>
  <c r="J452" i="4"/>
  <c r="J451" i="4"/>
  <c r="J450" i="4"/>
  <c r="J449" i="4"/>
  <c r="J448" i="4"/>
  <c r="J447" i="4"/>
  <c r="J446" i="4"/>
  <c r="J445" i="4"/>
  <c r="J444" i="4"/>
  <c r="J443" i="4"/>
  <c r="J442" i="4"/>
  <c r="J441" i="4"/>
  <c r="J440" i="4"/>
  <c r="J439" i="4"/>
  <c r="J438" i="4"/>
  <c r="J437" i="4"/>
  <c r="J436" i="4"/>
  <c r="J435" i="4"/>
  <c r="J434" i="4"/>
  <c r="J433" i="4"/>
  <c r="J432" i="4"/>
  <c r="J431" i="4"/>
  <c r="J430" i="4"/>
  <c r="J429" i="4"/>
  <c r="J428" i="4"/>
  <c r="J427" i="4"/>
  <c r="J426" i="4"/>
  <c r="J425" i="4"/>
  <c r="J424" i="4"/>
  <c r="J423" i="4"/>
  <c r="J422" i="4"/>
  <c r="J421" i="4"/>
  <c r="J420" i="4"/>
  <c r="J419" i="4"/>
  <c r="J418" i="4"/>
  <c r="J417" i="4"/>
  <c r="J416" i="4"/>
  <c r="J415" i="4"/>
  <c r="J414" i="4"/>
  <c r="J413" i="4"/>
  <c r="J412" i="4"/>
  <c r="J411" i="4"/>
  <c r="J410" i="4"/>
  <c r="J409" i="4"/>
  <c r="J408" i="4"/>
  <c r="J407" i="4"/>
  <c r="J406" i="4"/>
  <c r="J405" i="4"/>
  <c r="J404" i="4"/>
  <c r="J403" i="4"/>
  <c r="J402" i="4"/>
  <c r="J401" i="4"/>
  <c r="J400" i="4"/>
  <c r="J399" i="4"/>
  <c r="J398" i="4"/>
  <c r="J397" i="4"/>
  <c r="J396" i="4"/>
  <c r="J395" i="4"/>
  <c r="J394" i="4"/>
  <c r="J393" i="4"/>
  <c r="J392" i="4"/>
  <c r="J391" i="4"/>
  <c r="J390" i="4"/>
  <c r="J389" i="4"/>
  <c r="J388" i="4"/>
  <c r="J387" i="4"/>
  <c r="J386" i="4"/>
  <c r="J385" i="4"/>
  <c r="J384" i="4"/>
  <c r="J383" i="4"/>
  <c r="J382" i="4"/>
  <c r="J381" i="4"/>
  <c r="J380" i="4"/>
  <c r="J379" i="4"/>
  <c r="J378" i="4"/>
  <c r="J377" i="4"/>
  <c r="J376" i="4"/>
  <c r="J375" i="4"/>
  <c r="J374" i="4"/>
  <c r="J373" i="4"/>
  <c r="J372" i="4"/>
  <c r="J371" i="4"/>
  <c r="J370" i="4"/>
  <c r="J369" i="4"/>
  <c r="J368" i="4"/>
  <c r="J367" i="4"/>
  <c r="J366" i="4"/>
  <c r="J365" i="4"/>
  <c r="J364" i="4"/>
  <c r="J363" i="4"/>
  <c r="J362" i="4"/>
  <c r="J361" i="4"/>
  <c r="J360" i="4"/>
  <c r="J359" i="4"/>
  <c r="J358" i="4"/>
  <c r="J357" i="4"/>
  <c r="J356"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355" i="4" l="1"/>
  <c r="J353" i="4"/>
  <c r="J354"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93" i="4"/>
  <c r="J294" i="4"/>
  <c r="J295" i="4"/>
  <c r="J296" i="4"/>
  <c r="J297" i="4"/>
  <c r="J298" i="4"/>
  <c r="J299" i="4"/>
  <c r="J300" i="4"/>
  <c r="J301" i="4"/>
  <c r="J302" i="4"/>
  <c r="J303" i="4"/>
  <c r="J304" i="4"/>
  <c r="J305" i="4"/>
  <c r="J306" i="4"/>
  <c r="J307" i="4"/>
  <c r="J308" i="4"/>
  <c r="J309" i="4"/>
  <c r="J310" i="4"/>
  <c r="J311" i="4"/>
  <c r="J312" i="4"/>
  <c r="J313" i="4"/>
  <c r="J314" i="4"/>
  <c r="J315" i="4"/>
  <c r="J316" i="4"/>
  <c r="J317" i="4"/>
  <c r="J318" i="4"/>
  <c r="J319" i="4"/>
  <c r="J320" i="4"/>
  <c r="J321" i="4"/>
  <c r="J322" i="4"/>
  <c r="J323" i="4"/>
  <c r="J324" i="4"/>
  <c r="J325" i="4"/>
  <c r="J326" i="4"/>
  <c r="J327" i="4"/>
  <c r="J328" i="4"/>
  <c r="J329" i="4"/>
  <c r="J330" i="4"/>
  <c r="J331" i="4"/>
  <c r="J332" i="4"/>
  <c r="J333" i="4"/>
  <c r="J334" i="4"/>
  <c r="J335" i="4"/>
  <c r="J336" i="4"/>
  <c r="J337" i="4"/>
  <c r="J338" i="4"/>
  <c r="J339" i="4"/>
  <c r="J340" i="4"/>
  <c r="J341" i="4"/>
  <c r="J342" i="4"/>
  <c r="J343" i="4"/>
  <c r="J344" i="4"/>
  <c r="J345" i="4"/>
  <c r="J346" i="4"/>
  <c r="J347" i="4"/>
  <c r="J348" i="4"/>
  <c r="J349" i="4"/>
  <c r="J350" i="4"/>
  <c r="J351" i="4"/>
  <c r="J352"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M399" i="1"/>
  <c r="P389" i="1"/>
  <c r="X370" i="1"/>
  <c r="N370" i="1"/>
  <c r="AC374" i="1"/>
  <c r="AC373" i="1"/>
  <c r="AC372" i="1"/>
  <c r="AC371" i="1"/>
  <c r="AC348" i="1"/>
  <c r="AC347" i="1"/>
  <c r="AC345" i="1"/>
  <c r="AC344" i="1"/>
  <c r="AC343" i="1"/>
  <c r="AC342" i="1"/>
  <c r="AC360" i="1"/>
  <c r="AC359" i="1"/>
  <c r="AC357" i="1"/>
  <c r="AC356" i="1"/>
  <c r="AC355" i="1"/>
  <c r="AC354" i="1"/>
  <c r="AC358" i="1"/>
  <c r="AC370" i="1" l="1"/>
  <c r="Z277" i="1"/>
  <c r="N277" i="1" s="1"/>
  <c r="N275" i="1" s="1"/>
  <c r="N276" i="1"/>
  <c r="AE229" i="1" l="1"/>
  <c r="X346" i="1" l="1"/>
  <c r="K281" i="1"/>
  <c r="K282" i="1"/>
  <c r="K276" i="1"/>
  <c r="K275" i="1"/>
  <c r="Y217" i="1"/>
  <c r="Y216" i="1"/>
  <c r="M217" i="1"/>
  <c r="M216" i="1"/>
  <c r="M222" i="1"/>
  <c r="Z756" i="1" l="1"/>
  <c r="X641" i="1"/>
  <c r="X646" i="1" s="1"/>
  <c r="X613" i="1"/>
  <c r="X612" i="1" s="1"/>
  <c r="X604" i="1"/>
  <c r="Z594" i="1"/>
  <c r="AD579" i="1"/>
  <c r="AD573" i="1" s="1"/>
  <c r="V573" i="1"/>
  <c r="N573" i="1"/>
  <c r="X561" i="1"/>
  <c r="X558" i="1"/>
  <c r="X512" i="1"/>
  <c r="X509" i="1"/>
  <c r="I484" i="1"/>
  <c r="Y432" i="1"/>
  <c r="Y429" i="1"/>
  <c r="N300" i="1"/>
  <c r="AD594" i="1" l="1"/>
  <c r="V594" i="1"/>
  <c r="N594" i="1"/>
  <c r="R766" i="1" l="1"/>
  <c r="AD827" i="1" l="1"/>
  <c r="AD826" i="1"/>
  <c r="AD825" i="1"/>
  <c r="AD824" i="1"/>
  <c r="AD823" i="1"/>
  <c r="AD822" i="1"/>
  <c r="AD821" i="1"/>
  <c r="AD820" i="1"/>
  <c r="AD819" i="1"/>
  <c r="AD818" i="1"/>
  <c r="AD817" i="1"/>
  <c r="AD816" i="1"/>
  <c r="AD815" i="1"/>
  <c r="AD814" i="1"/>
  <c r="AD813" i="1"/>
  <c r="AD812" i="1"/>
  <c r="AD811" i="1"/>
  <c r="AD810" i="1"/>
  <c r="AD809" i="1"/>
  <c r="Z745" i="1"/>
  <c r="Z738" i="1"/>
  <c r="V693" i="1" l="1"/>
  <c r="X652" i="1"/>
  <c r="X647" i="1"/>
  <c r="X629" i="1"/>
  <c r="X539" i="1"/>
  <c r="X541" i="1" s="1"/>
  <c r="N535" i="1" s="1"/>
  <c r="X511" i="1"/>
  <c r="X508" i="1"/>
  <c r="X498" i="1"/>
  <c r="S489" i="1"/>
  <c r="AC489" i="1" s="1"/>
  <c r="I478" i="1" s="1"/>
  <c r="S488" i="1"/>
  <c r="AC488" i="1" s="1"/>
  <c r="I477" i="1" s="1"/>
  <c r="S487" i="1"/>
  <c r="AC487" i="1" s="1"/>
  <c r="I476" i="1" s="1"/>
  <c r="S486" i="1"/>
  <c r="AC486" i="1" s="1"/>
  <c r="I475" i="1" s="1"/>
  <c r="S485" i="1"/>
  <c r="AC485" i="1" s="1"/>
  <c r="I474" i="1" s="1"/>
  <c r="X484" i="1"/>
  <c r="N484" i="1"/>
  <c r="X517" i="1" l="1"/>
  <c r="X518" i="1" s="1"/>
  <c r="Z696" i="1"/>
  <c r="S484" i="1"/>
  <c r="AC484" i="1" s="1"/>
  <c r="R462" i="1" l="1"/>
  <c r="R464" i="1" s="1"/>
  <c r="X421" i="1"/>
  <c r="X361" i="1"/>
  <c r="S361" i="1"/>
  <c r="N361" i="1"/>
  <c r="I361" i="1"/>
  <c r="I346" i="1"/>
  <c r="AC346" i="1" s="1"/>
  <c r="AC361" i="1" l="1"/>
  <c r="AC317" i="1"/>
  <c r="Z317" i="1"/>
  <c r="W317" i="1"/>
  <c r="T317" i="1"/>
  <c r="Q317" i="1"/>
  <c r="N317" i="1"/>
  <c r="K317" i="1"/>
  <c r="H317" i="1"/>
  <c r="AC315" i="1"/>
  <c r="Z315" i="1"/>
  <c r="W315" i="1"/>
  <c r="T315" i="1"/>
  <c r="Q315" i="1"/>
  <c r="N315" i="1"/>
  <c r="K315" i="1"/>
  <c r="H315" i="1"/>
  <c r="AF314" i="1"/>
  <c r="AF313" i="1"/>
  <c r="AF312" i="1"/>
  <c r="AF311" i="1"/>
  <c r="AC309" i="1"/>
  <c r="Z309" i="1"/>
  <c r="W309" i="1"/>
  <c r="T309" i="1"/>
  <c r="Q309" i="1"/>
  <c r="N309" i="1"/>
  <c r="N280" i="1" s="1"/>
  <c r="N284" i="1" s="1"/>
  <c r="K309" i="1"/>
  <c r="K280" i="1" s="1"/>
  <c r="H309" i="1"/>
  <c r="AF308" i="1"/>
  <c r="AF307" i="1"/>
  <c r="AF306" i="1"/>
  <c r="AF305" i="1"/>
  <c r="AC303" i="1"/>
  <c r="AC274" i="1" s="1"/>
  <c r="Z303" i="1"/>
  <c r="Z274" i="1" s="1"/>
  <c r="W303" i="1"/>
  <c r="W274" i="1" s="1"/>
  <c r="T303" i="1"/>
  <c r="T274" i="1" s="1"/>
  <c r="Q303" i="1"/>
  <c r="Q274" i="1" s="1"/>
  <c r="N303" i="1"/>
  <c r="N274" i="1" s="1"/>
  <c r="N278" i="1" s="1"/>
  <c r="K303" i="1"/>
  <c r="H303" i="1"/>
  <c r="AF302" i="1"/>
  <c r="AF301" i="1"/>
  <c r="AF300" i="1"/>
  <c r="AF299" i="1"/>
  <c r="AB263" i="1"/>
  <c r="Y263" i="1"/>
  <c r="V263" i="1"/>
  <c r="S263" i="1"/>
  <c r="P263" i="1"/>
  <c r="M263" i="1"/>
  <c r="J263" i="1"/>
  <c r="AB261" i="1"/>
  <c r="Y261" i="1"/>
  <c r="V261" i="1"/>
  <c r="S261" i="1"/>
  <c r="P261" i="1"/>
  <c r="M261" i="1"/>
  <c r="J261" i="1"/>
  <c r="AE260" i="1"/>
  <c r="AE259" i="1"/>
  <c r="AE258" i="1"/>
  <c r="AE257" i="1"/>
  <c r="AB255" i="1"/>
  <c r="Y255" i="1"/>
  <c r="V255" i="1"/>
  <c r="S255" i="1"/>
  <c r="P255" i="1"/>
  <c r="M255" i="1"/>
  <c r="M221" i="1" s="1"/>
  <c r="M225" i="1" s="1"/>
  <c r="J255" i="1"/>
  <c r="AE254" i="1"/>
  <c r="AE253" i="1"/>
  <c r="AE252" i="1"/>
  <c r="AE251" i="1"/>
  <c r="AB249" i="1"/>
  <c r="AB215" i="1" s="1"/>
  <c r="AB219" i="1" s="1"/>
  <c r="Y249" i="1"/>
  <c r="Y215" i="1" s="1"/>
  <c r="Y219" i="1" s="1"/>
  <c r="V249" i="1"/>
  <c r="V215" i="1" s="1"/>
  <c r="V219" i="1" s="1"/>
  <c r="S249" i="1"/>
  <c r="S215" i="1" s="1"/>
  <c r="S219" i="1" s="1"/>
  <c r="P249" i="1"/>
  <c r="P215" i="1" s="1"/>
  <c r="M249" i="1"/>
  <c r="M215" i="1" s="1"/>
  <c r="J249" i="1"/>
  <c r="AE248" i="1"/>
  <c r="AE247" i="1"/>
  <c r="AE246" i="1"/>
  <c r="AE245" i="1"/>
  <c r="K318" i="1" l="1"/>
  <c r="K274" i="1"/>
  <c r="H318" i="1"/>
  <c r="H274" i="1"/>
  <c r="V264" i="1"/>
  <c r="Y264" i="1"/>
  <c r="Q318" i="1"/>
  <c r="AB264" i="1"/>
  <c r="T318" i="1"/>
  <c r="AC318" i="1"/>
  <c r="J264" i="1"/>
  <c r="AF315" i="1"/>
  <c r="W318" i="1"/>
  <c r="P264" i="1"/>
  <c r="AE261" i="1"/>
  <c r="Z318" i="1"/>
  <c r="S264" i="1"/>
  <c r="N318" i="1"/>
  <c r="AF309" i="1"/>
  <c r="AF303" i="1"/>
  <c r="M264" i="1"/>
  <c r="AE255" i="1"/>
  <c r="AE263" i="1"/>
  <c r="AF317" i="1"/>
  <c r="AE249" i="1"/>
  <c r="AF318" i="1" l="1"/>
  <c r="AE264" i="1"/>
  <c r="N40" i="1"/>
  <c r="R745" i="1" l="1"/>
  <c r="R738" i="1" l="1"/>
  <c r="X473" i="1" l="1"/>
  <c r="N473" i="1"/>
  <c r="I473" i="1"/>
  <c r="S478" i="1"/>
  <c r="AC478" i="1" s="1"/>
  <c r="S477" i="1"/>
  <c r="AC477" i="1" s="1"/>
  <c r="S476" i="1"/>
  <c r="AC476" i="1" s="1"/>
  <c r="S475" i="1"/>
  <c r="AC475" i="1" s="1"/>
  <c r="S474" i="1"/>
  <c r="S473" i="1" l="1"/>
  <c r="AF280" i="1"/>
  <c r="AF274" i="1"/>
  <c r="X495" i="1" l="1"/>
  <c r="N561" i="1" l="1"/>
  <c r="N558" i="1"/>
  <c r="I375" i="1"/>
  <c r="S349" i="1" l="1"/>
  <c r="R594" i="1" l="1"/>
  <c r="J573" i="1" s="1"/>
  <c r="J594" i="1" s="1"/>
  <c r="N647" i="1" l="1"/>
  <c r="N652" i="1"/>
  <c r="N511" i="1" l="1"/>
  <c r="N498" i="1" l="1"/>
  <c r="N517" i="1" l="1"/>
  <c r="N518" i="1" s="1"/>
  <c r="N519" i="1" s="1"/>
  <c r="J695" i="1" s="1"/>
  <c r="N695" i="1" s="1"/>
  <c r="R756" i="1" l="1"/>
  <c r="AA399" i="1" l="1"/>
  <c r="N604" i="1"/>
  <c r="AD804" i="1" l="1"/>
  <c r="AD803" i="1"/>
  <c r="AD802" i="1"/>
  <c r="AD801" i="1"/>
  <c r="AD800" i="1"/>
  <c r="AD798" i="1"/>
  <c r="AD797" i="1"/>
  <c r="AD796" i="1"/>
  <c r="AD795" i="1"/>
  <c r="AD794" i="1"/>
  <c r="AD793" i="1"/>
  <c r="AD792" i="1"/>
  <c r="AD791" i="1"/>
  <c r="AD790" i="1"/>
  <c r="AD789" i="1"/>
  <c r="AD788" i="1"/>
  <c r="AD787" i="1"/>
  <c r="AD786" i="1"/>
  <c r="N696" i="1"/>
  <c r="N539" i="1"/>
  <c r="N541" i="1" s="1"/>
  <c r="N495" i="1"/>
  <c r="AC474" i="1"/>
  <c r="AC473" i="1" s="1"/>
  <c r="R452" i="1"/>
  <c r="P432" i="1"/>
  <c r="P429" i="1"/>
  <c r="N421" i="1"/>
  <c r="AA408" i="1"/>
  <c r="AA407" i="1"/>
  <c r="AA406" i="1"/>
  <c r="AA405" i="1"/>
  <c r="T403" i="1" s="1"/>
  <c r="M403" i="1" s="1"/>
  <c r="AA404" i="1"/>
  <c r="T401" i="1"/>
  <c r="M401" i="1"/>
  <c r="AA400" i="1"/>
  <c r="AA398" i="1"/>
  <c r="AA397" i="1"/>
  <c r="AA396" i="1"/>
  <c r="AA395" i="1"/>
  <c r="X375" i="1"/>
  <c r="S375" i="1"/>
  <c r="N375" i="1"/>
  <c r="X349" i="1"/>
  <c r="N349" i="1"/>
  <c r="I349" i="1"/>
  <c r="AC292" i="1"/>
  <c r="Z292" i="1"/>
  <c r="W292" i="1"/>
  <c r="T292" i="1"/>
  <c r="Q292" i="1"/>
  <c r="K292" i="1"/>
  <c r="H292" i="1"/>
  <c r="AC290" i="1"/>
  <c r="Z290" i="1"/>
  <c r="W290" i="1"/>
  <c r="T290" i="1"/>
  <c r="Q290" i="1"/>
  <c r="N290" i="1"/>
  <c r="K290" i="1"/>
  <c r="H290" i="1"/>
  <c r="AF289" i="1"/>
  <c r="AF288" i="1"/>
  <c r="AF287" i="1"/>
  <c r="AF286" i="1"/>
  <c r="AC284" i="1"/>
  <c r="Z284" i="1"/>
  <c r="W284" i="1"/>
  <c r="T284" i="1"/>
  <c r="Q284" i="1"/>
  <c r="K284" i="1"/>
  <c r="H284" i="1"/>
  <c r="AF283" i="1"/>
  <c r="AF282" i="1"/>
  <c r="AF281" i="1"/>
  <c r="AC278" i="1"/>
  <c r="Z278" i="1"/>
  <c r="W278" i="1"/>
  <c r="T278" i="1"/>
  <c r="Q278" i="1"/>
  <c r="K278" i="1"/>
  <c r="H278" i="1"/>
  <c r="AF277" i="1"/>
  <c r="AF276" i="1"/>
  <c r="AF275" i="1"/>
  <c r="AB233" i="1"/>
  <c r="Y233" i="1"/>
  <c r="V233" i="1"/>
  <c r="S233" i="1"/>
  <c r="P233" i="1"/>
  <c r="M233" i="1"/>
  <c r="J233" i="1"/>
  <c r="AB231" i="1"/>
  <c r="Y231" i="1"/>
  <c r="V231" i="1"/>
  <c r="S231" i="1"/>
  <c r="P231" i="1"/>
  <c r="M231" i="1"/>
  <c r="J231" i="1"/>
  <c r="AE230" i="1"/>
  <c r="AE228" i="1"/>
  <c r="AE227" i="1"/>
  <c r="AB225" i="1"/>
  <c r="Y225" i="1"/>
  <c r="V225" i="1"/>
  <c r="S225" i="1"/>
  <c r="P225" i="1"/>
  <c r="J225" i="1"/>
  <c r="AE224" i="1"/>
  <c r="AE223" i="1"/>
  <c r="AE222" i="1"/>
  <c r="AE221" i="1"/>
  <c r="P219" i="1"/>
  <c r="M219" i="1"/>
  <c r="J219" i="1"/>
  <c r="AE218" i="1"/>
  <c r="AE217" i="1"/>
  <c r="AE216" i="1"/>
  <c r="AE215" i="1"/>
  <c r="AC40" i="1"/>
  <c r="X40" i="1"/>
  <c r="S40" i="1"/>
  <c r="AF278" i="1" l="1"/>
  <c r="AF284" i="1"/>
  <c r="Q293" i="1"/>
  <c r="AB234" i="1"/>
  <c r="AE231" i="1"/>
  <c r="K293" i="1"/>
  <c r="Z293" i="1"/>
  <c r="AC349" i="1"/>
  <c r="AA401" i="1"/>
  <c r="S234" i="1"/>
  <c r="Y234" i="1"/>
  <c r="AE225" i="1"/>
  <c r="AE233" i="1"/>
  <c r="AE219" i="1"/>
  <c r="AF290" i="1"/>
  <c r="M234" i="1"/>
  <c r="AC293" i="1"/>
  <c r="J234" i="1"/>
  <c r="V234" i="1"/>
  <c r="P234" i="1"/>
  <c r="T293" i="1"/>
  <c r="AF292" i="1"/>
  <c r="H293" i="1"/>
  <c r="W293" i="1"/>
  <c r="N292" i="1"/>
  <c r="AC375" i="1"/>
  <c r="AF293" i="1" l="1"/>
  <c r="N293" i="1"/>
  <c r="AE234" i="1"/>
  <c r="M410" i="1"/>
  <c r="T410" i="1"/>
  <c r="AA403" i="1" l="1"/>
  <c r="AA410" i="1" s="1"/>
</calcChain>
</file>

<file path=xl/sharedStrings.xml><?xml version="1.0" encoding="utf-8"?>
<sst xmlns="http://schemas.openxmlformats.org/spreadsheetml/2006/main" count="4841" uniqueCount="2268">
  <si>
    <t>#</t>
  </si>
  <si>
    <t>strana</t>
  </si>
  <si>
    <t>DIČ</t>
  </si>
  <si>
    <t>IČO</t>
  </si>
  <si>
    <r>
      <t>1.      </t>
    </r>
    <r>
      <rPr>
        <b/>
        <u/>
        <sz val="10"/>
        <color theme="1"/>
        <rFont val="Arial"/>
        <family val="2"/>
        <charset val="238"/>
      </rPr>
      <t>POPIS SPOLOČNOSTI</t>
    </r>
  </si>
  <si>
    <t>Hlavným predmetom činnosti je:</t>
  </si>
  <si>
    <t>1.</t>
  </si>
  <si>
    <t>kúpa a predaj tovarov v rozsahu voľnej živnosti</t>
  </si>
  <si>
    <t>2.</t>
  </si>
  <si>
    <t>opravy motorových vozidiel</t>
  </si>
  <si>
    <t>3.</t>
  </si>
  <si>
    <t>sprostredkovanie obchodu</t>
  </si>
  <si>
    <t>4.</t>
  </si>
  <si>
    <t>požičiavanie áut</t>
  </si>
  <si>
    <t>Informácie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</si>
  <si>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</si>
  <si>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</si>
  <si>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</si>
  <si>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</si>
  <si>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</si>
  <si>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</si>
  <si>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2.1</t>
  </si>
  <si>
    <t>Výška podielu na základnom imaní</t>
  </si>
  <si>
    <t>Podiel na hlasovacích právach v %</t>
  </si>
  <si>
    <t>Iný podiel na ostatných položkách VI ako na ZI v %</t>
  </si>
  <si>
    <t>absolútne</t>
  </si>
  <si>
    <t>v %</t>
  </si>
  <si>
    <t>Spolu</t>
  </si>
  <si>
    <t>x</t>
  </si>
  <si>
    <t>Konatelia</t>
  </si>
  <si>
    <t>Ing. Karel Klouda</t>
  </si>
  <si>
    <r>
      <t>2.</t>
    </r>
    <r>
      <rPr>
        <b/>
        <sz val="7"/>
        <color theme="1"/>
        <rFont val="Times New Roman"/>
        <family val="1"/>
        <charset val="238"/>
      </rPr>
      <t xml:space="preserve">       </t>
    </r>
    <r>
      <rPr>
        <b/>
        <u/>
        <sz val="10"/>
        <color theme="1"/>
        <rFont val="Arial"/>
        <family val="2"/>
        <charset val="238"/>
      </rPr>
      <t>ZÁKLADNÉ VÝCHODISKÁ PRE ZOSTAVENIE ÚČTOVNEJ ZÁVIERKY</t>
    </r>
  </si>
  <si>
    <r>
      <t>3.</t>
    </r>
    <r>
      <rPr>
        <b/>
        <sz val="7"/>
        <color theme="1"/>
        <rFont val="Times New Roman"/>
        <family val="1"/>
        <charset val="238"/>
      </rPr>
      <t>      </t>
    </r>
    <r>
      <rPr>
        <b/>
        <u/>
        <sz val="10"/>
        <color theme="1"/>
        <rFont val="Arial"/>
        <family val="2"/>
        <charset val="238"/>
      </rPr>
      <t>VŠEOBECNÉ ÚČTOVNÉ ZÁSADY A METÓDY</t>
    </r>
  </si>
  <si>
    <t>a)    Dlhodobý nehmotný majetok</t>
  </si>
  <si>
    <t>Nakupovaný dlhodobý nehmotný majetok sa oceňuje v obstarávacích cenách, ktoré obsahujú cenu obstarania a náklady súvisiace s jeho obstaraním.</t>
  </si>
  <si>
    <t>Odpisovanie</t>
  </si>
  <si>
    <t>Predpokladaná doba používania</t>
  </si>
  <si>
    <t>Ročná odpisová sadzba</t>
  </si>
  <si>
    <t>Metóda odpisovania</t>
  </si>
  <si>
    <t>Softvér</t>
  </si>
  <si>
    <t>lineárna</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</si>
  <si>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</si>
  <si>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</si>
  <si>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</si>
  <si>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Náklady na technické zhodnotenie dlhodobého hmotného majetku zvyšujú jeho obstarávaciu cenu. Opravy a údržba sa účtujú do nákladov.</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</si>
  <si>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</si>
  <si>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Ročná odpisová sadzba v %</t>
  </si>
  <si>
    <t>Stavby</t>
  </si>
  <si>
    <t>Stroje, prístroje a zariadenia</t>
  </si>
  <si>
    <t>4; 6; 12</t>
  </si>
  <si>
    <t>25; 16,67; 8,33</t>
  </si>
  <si>
    <t>Dopravné prostriedky</t>
  </si>
  <si>
    <t>Inventár</t>
  </si>
  <si>
    <t>Iný dlhodobý hmotný majetok</t>
  </si>
  <si>
    <t>4; 6</t>
  </si>
  <si>
    <t>25; 16,67</t>
  </si>
  <si>
    <t>V prípade prechodného zníženia úžitkovej hodnoty dlhodobého hmotného majetku sa tvorí opravná položka vo výške rozdielu jeho zistenej úžitkovej hodnoty a zostatkovej hodnoty.</t>
  </si>
  <si>
    <t>Nakupované zásoby sú ocenené obstarávacími cenami s použitím metódy  "first in, first out" (FIFO - prvá cena pre ocenenie prírastku zásob sa použije ako prvá cena pre ocenenie úbytku zásob). Obstarávacia cena zásob zahŕňa cenu obstarania a náklady súvisiace s ich obstaraním (náklady na prepravu, clo, provízie, atď.). Prijaté zľavy, diskonty, rabaty znižujú obstarávaciu cenu zásob.</t>
  </si>
  <si>
    <t>Pohľadávky sa oceňujú menovitou hodnotou. Postúpené pohľadávky a pohľadávky nadobudnuté vkladom do základného imania sa oceňujú obstarávacou cenou. Ocenenie pochybných pohľadávok sa upravuje na ich realizovateľnú  hodnotu  opravnými  položkami.</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</si>
  <si>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</si>
  <si>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</si>
  <si>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</si>
  <si>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Podmienené záväzky (pokiaľ existujú) nie sú vykázané súvahe z dôvodu vysokej neistoty pri stanovení ich výšky,  alebo termínu plnenia.</t>
  </si>
  <si>
    <t>Výdavky budúcich období a výnosy budúcich období sa oceňujú ich menovitou hodnotou, pričom sa vykazujú vo výške, ktorá je potrebná na dodržanie zásady vecnej a časovej súvislosti s účtovným obdobím.</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</si>
  <si>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</si>
  <si>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</si>
  <si>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</si>
  <si>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</si>
  <si>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</si>
  <si>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</si>
  <si>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dočasné rozdiely medzi účtovnou hodnotou majetku a účtovnou hodnotou záväzkov vykázanou v súvahe a ich daňovou základňou,</t>
  </si>
  <si>
    <t>možnosti umorovať daňovú stratu v budúcnosti, pod ktorou sa rozumie možnosť odpočítať daňovú stratu od základu dane v budúcnosti,</t>
  </si>
  <si>
    <t>možnosť previesť nevyužité daňové odpočty a iné daňové nároky do budúcich období.</t>
  </si>
  <si>
    <t>O odloženom daňovom záväzku účtuje spoločnosť vždy, o pohľadávke účtuje, ak je realizovateľná.</t>
  </si>
  <si>
    <t>Spoločnosť v bežnom účtovnom období neúčtovala o oprave významných chýb minulých období.</t>
  </si>
  <si>
    <r>
      <t>4.</t>
    </r>
    <r>
      <rPr>
        <b/>
        <sz val="7"/>
        <color theme="1"/>
        <rFont val="Times New Roman"/>
        <family val="1"/>
        <charset val="238"/>
      </rPr>
      <t>      </t>
    </r>
    <r>
      <rPr>
        <b/>
        <u/>
        <sz val="10"/>
        <color theme="1"/>
        <rFont val="Arial"/>
        <family val="2"/>
        <charset val="238"/>
      </rPr>
      <t>DLHODOBÝ MAJETOK</t>
    </r>
  </si>
  <si>
    <t>a)   Dlhodobý nehmotný majetok</t>
  </si>
  <si>
    <t>Informácie o dlhodobom nehmotnom majetku</t>
  </si>
  <si>
    <t>3.1</t>
  </si>
  <si>
    <t>Dlhodobý nehmotný majetok</t>
  </si>
  <si>
    <t>Aktivované náklady na vývoj</t>
  </si>
  <si>
    <t>Oceniteľné práva</t>
  </si>
  <si>
    <t>Goodwill</t>
  </si>
  <si>
    <t>Ostatný DNM</t>
  </si>
  <si>
    <t>Obstarávaný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</si>
  <si>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</si>
  <si>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</si>
  <si>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</si>
  <si>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</si>
  <si>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</si>
  <si>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</si>
  <si>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</si>
  <si>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</si>
  <si>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</si>
  <si>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</si>
  <si>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</si>
  <si>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Na dlhodobý nehmotný majetok spoločnosti neexistujú žiadne vecné bremená.</t>
  </si>
  <si>
    <t>3.2</t>
  </si>
  <si>
    <t>b)   Dlhodobý hmotný majetok</t>
  </si>
  <si>
    <t>Informácie o dlhodobom hmotnom majetku</t>
  </si>
  <si>
    <t>5.1</t>
  </si>
  <si>
    <t>Dlhodobý hmotný majetok</t>
  </si>
  <si>
    <t>Pozemky</t>
  </si>
  <si>
    <t>Samostatné hnuteľné veci a súbory hnuteľných vecí</t>
  </si>
  <si>
    <t>Pestovateľ-  ské celky 
trvalých porastov</t>
  </si>
  <si>
    <t>Základné stádo a ťažné zvieratá</t>
  </si>
  <si>
    <t>Ostatný DHM</t>
  </si>
  <si>
    <t>Obstarávaný DHM</t>
  </si>
  <si>
    <t>Poskytnuté preddavky na DHM</t>
  </si>
  <si>
    <t>5.2</t>
  </si>
  <si>
    <t>Poistenie majetku</t>
  </si>
  <si>
    <r>
      <t xml:space="preserve">5.      </t>
    </r>
    <r>
      <rPr>
        <b/>
        <u/>
        <sz val="10"/>
        <color theme="1"/>
        <rFont val="Arial"/>
        <family val="2"/>
        <charset val="238"/>
      </rPr>
      <t>ZÁSOBY</t>
    </r>
  </si>
  <si>
    <t>Informácie o opravných položkách k zásobám</t>
  </si>
  <si>
    <t>Zásoby</t>
  </si>
  <si>
    <t>Stav  OP na začiatku účtovného obdobia</t>
  </si>
  <si>
    <t>Tvorba OP</t>
  </si>
  <si>
    <t>Zúčtovanie OP z dôvodu zániku opodstat-
nenosti</t>
  </si>
  <si>
    <t>Zúčtovanie OP z dôvodu vyradenia majetku 
z účtovníctva</t>
  </si>
  <si>
    <t>Stav OP na konci účtovného obdobia</t>
  </si>
  <si>
    <t>Materiál</t>
  </si>
  <si>
    <t>Nedokončená výroba a polotovary vlastnej výroby</t>
  </si>
  <si>
    <t>Výrobky</t>
  </si>
  <si>
    <t xml:space="preserve">Zvieratá </t>
  </si>
  <si>
    <t>Tovar</t>
  </si>
  <si>
    <t>Nehnuteľnosť na predaj</t>
  </si>
  <si>
    <t>Poskytnuté preddavky 
na zásoby</t>
  </si>
  <si>
    <t>Zásoby spolu</t>
  </si>
  <si>
    <t>Zníženie  hodnoty zásob (náhradných dielov) sa upravuje vytvorením opravnej položky k zásobám (náhradným dielom). Opravná položka sa tvorí vo výške 25% hodnoty zásob k zásobám bez obratu od 6 do 12 mesiacov, 50% k zásobám bez obratu od 12 do 24 mesiacov a 100% k zásobám bez obratu viac ako 24 mesiacov.</t>
  </si>
  <si>
    <t>Informácie o vývoji opravnej položky k pohľadávkam</t>
  </si>
  <si>
    <t>Pohľadávky</t>
  </si>
  <si>
    <t xml:space="preserve">Pohľadávky z obchodného styku </t>
  </si>
  <si>
    <t>Pohľadávky voči DÚJ a MÚJ</t>
  </si>
  <si>
    <t>Ostatné pohľadávky v rámci kons. celku</t>
  </si>
  <si>
    <t>Pohľadávky voči spoločníkom, členom a združeniu</t>
  </si>
  <si>
    <t>Iné pohľadávky</t>
  </si>
  <si>
    <t>Pohľadávky spolu</t>
  </si>
  <si>
    <t>0 - 30 dní</t>
  </si>
  <si>
    <t>31 - 60 dní</t>
  </si>
  <si>
    <t>61 - 90 dní</t>
  </si>
  <si>
    <t>91 - 120 dní</t>
  </si>
  <si>
    <t>121 - 180 dní</t>
  </si>
  <si>
    <t>181 - 360 dní</t>
  </si>
  <si>
    <t>viac ako 360 dní</t>
  </si>
  <si>
    <t>Ide o minimálnu výšku tvorby opravnej položky k pohľadávkam podľa internej smernice. Samotná tvorba závisí od individuálneho posúdenia opodstatnenosti tvorby opravnej položky.</t>
  </si>
  <si>
    <t>Informácie o vekovej štruktúre pohľadávok</t>
  </si>
  <si>
    <t>Názov položky</t>
  </si>
  <si>
    <t>V lehote splatnosti</t>
  </si>
  <si>
    <t>Po lehote splatnosti</t>
  </si>
  <si>
    <t>Dlhodobé pohľadávky</t>
  </si>
  <si>
    <t>Pohľadávky  z obchodného styku</t>
  </si>
  <si>
    <t>Pohľadávky voči voči DÚJ a MÚJ</t>
  </si>
  <si>
    <t>Ostatné pohľadávky v rámci konsolidovaného celku</t>
  </si>
  <si>
    <t>Dlhodobé pohľadávky spolu</t>
  </si>
  <si>
    <t>Krátkodobé pohľadávky</t>
  </si>
  <si>
    <t>Pohľadávky z obchodného styku</t>
  </si>
  <si>
    <t>Pohľadávky voči DÚJ a MÚJ</t>
  </si>
  <si>
    <t>Sociálne poistenie</t>
  </si>
  <si>
    <t>Daňové pohľadávky a dotácie</t>
  </si>
  <si>
    <t>Krátkodobé pohľadávky spolu</t>
  </si>
  <si>
    <t>Informácie o krátkodobom finančnom majetku</t>
  </si>
  <si>
    <t>Pokladnica, ceniny</t>
  </si>
  <si>
    <t>Bežné účty v banke alebo v pobočke zahraničnej banky</t>
  </si>
  <si>
    <t>Vkladové účty v banke alebo v pobočke zahraničnej banky termínované</t>
  </si>
  <si>
    <t>Peniaze na ceste</t>
  </si>
  <si>
    <t>Informácie o významných položkách časového rozlíšenia</t>
  </si>
  <si>
    <t>Opis položky časového rozlíšenia</t>
  </si>
  <si>
    <t xml:space="preserve">Náklady budúcich období dlhodobé,  z toho: </t>
  </si>
  <si>
    <t>Náklady budúcich období krátkodobé, z toho:</t>
  </si>
  <si>
    <t>poistenie, predplatné, domény, prevozné značky,...</t>
  </si>
  <si>
    <t>Príjmy budúcich období dlhodobé, z toho:</t>
  </si>
  <si>
    <t>Príjmy budúcich období krátkodobé, z toho:</t>
  </si>
  <si>
    <t>provízie + ostatné</t>
  </si>
  <si>
    <t>SSCC podpory</t>
  </si>
  <si>
    <t>Informácie o rozdelení účtovného zisku alebo o vysporiadaní účtovnej straty</t>
  </si>
  <si>
    <t>24.1</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</si>
  <si>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</si>
  <si>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</si>
  <si>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</si>
  <si>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</si>
  <si>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</si>
  <si>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</si>
  <si>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</si>
  <si>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</si>
  <si>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</si>
  <si>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24.2.</t>
  </si>
  <si>
    <t>Zo zákonného rezervného fondu</t>
  </si>
  <si>
    <t>Zo štatutárnych a ostatných fondov</t>
  </si>
  <si>
    <t>Z nerozdeleného zisku minulých rokov</t>
  </si>
  <si>
    <t>Úhrada straty spoločníkmi, členmi</t>
  </si>
  <si>
    <t xml:space="preserve">Spolu </t>
  </si>
  <si>
    <t>Informácie o rezervách</t>
  </si>
  <si>
    <t>Tvorba</t>
  </si>
  <si>
    <t>Použitie</t>
  </si>
  <si>
    <t>Zrušenie</t>
  </si>
  <si>
    <t>25.1</t>
  </si>
  <si>
    <t>Dlhodobé rezervy, z toho:</t>
  </si>
  <si>
    <t>Krátkodobé rezervy, z toho:</t>
  </si>
  <si>
    <t>Nevyčerpané dovolenky</t>
  </si>
  <si>
    <t>Nevyfakturované dodávky</t>
  </si>
  <si>
    <t>Audit a zverejnenie účt.závierky</t>
  </si>
  <si>
    <t>Rezerva na odmeny</t>
  </si>
  <si>
    <t>25.2</t>
  </si>
  <si>
    <t xml:space="preserve">Ostatné </t>
  </si>
  <si>
    <t>Informácie o záväzkoch</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</si>
  <si>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</si>
  <si>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</si>
  <si>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</si>
  <si>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</si>
  <si>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</si>
  <si>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</si>
  <si>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 xml:space="preserve">Informácie o odloženej daňovej pohľadávke alebo o odloženom daňovom záväzku </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</si>
  <si>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</si>
  <si>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</si>
  <si>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</si>
  <si>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</si>
  <si>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</si>
  <si>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</si>
  <si>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</si>
  <si>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</si>
  <si>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</si>
  <si>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náklad</t>
  </si>
  <si>
    <t>Zaúčtovaná do vlastného imania</t>
  </si>
  <si>
    <t>Odložený daňový záväzok</t>
  </si>
  <si>
    <t>Zmena odloženého daňového záväzku</t>
  </si>
  <si>
    <t>Zaúčtovaná ako náklad</t>
  </si>
  <si>
    <t>Iné</t>
  </si>
  <si>
    <t>Informácie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</si>
  <si>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</si>
  <si>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</si>
  <si>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</si>
  <si>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</si>
  <si>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</si>
  <si>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</si>
  <si>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</si>
  <si>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Informácie o bankových úveroch, pôžičkách a krátkodobých finančných výpomociach</t>
  </si>
  <si>
    <t>Mena</t>
  </si>
  <si>
    <t>Úrok p. a. v %</t>
  </si>
  <si>
    <t>Dátum splatnosti</t>
  </si>
  <si>
    <t>Suma istiny v príslušnej mene za bežné účtovné obdobie</t>
  </si>
  <si>
    <t>Suma istiny v eurách za bežné účtovné obdobie</t>
  </si>
  <si>
    <t>Suma istiny v príslušnej mene za bezprostredne predchádzajúce účtovné obdobie</t>
  </si>
  <si>
    <t>Dlhodobé bankové úvery</t>
  </si>
  <si>
    <t>Krátkodobé bankové úvery</t>
  </si>
  <si>
    <t>ING kontokorent</t>
  </si>
  <si>
    <t>EUR</t>
  </si>
  <si>
    <t>Auto Palace Panónska</t>
  </si>
  <si>
    <t>Informácie o významných položkách časového rozlíšenia na strane pasív</t>
  </si>
  <si>
    <t>Výdavky budúcich období krátkodobé, z toho:</t>
  </si>
  <si>
    <t>debetný úrok</t>
  </si>
  <si>
    <t>Výnosy budúcich období krátkodobé, 
z toho:</t>
  </si>
  <si>
    <t>uskladnenie pneumatík</t>
  </si>
  <si>
    <t>Tržby</t>
  </si>
  <si>
    <t>Informácie o tržbách</t>
  </si>
  <si>
    <t>Oblasť odbytu</t>
  </si>
  <si>
    <t>Predaj náhradných dielov</t>
  </si>
  <si>
    <t>Predaj služieb</t>
  </si>
  <si>
    <t>Bezprostred- 
ne predchádza- 
júce účtovné obdobie</t>
  </si>
  <si>
    <t>SR</t>
  </si>
  <si>
    <t>CZ</t>
  </si>
  <si>
    <t>RO</t>
  </si>
  <si>
    <t>DE</t>
  </si>
  <si>
    <t>HU</t>
  </si>
  <si>
    <t>UA</t>
  </si>
  <si>
    <t>PL</t>
  </si>
  <si>
    <t>BE</t>
  </si>
  <si>
    <t>FR</t>
  </si>
  <si>
    <t>NL</t>
  </si>
  <si>
    <t>CH</t>
  </si>
  <si>
    <t>AT</t>
  </si>
  <si>
    <r>
      <t>Významné položky pri aktivácii nákladov, z toho:</t>
    </r>
    <r>
      <rPr>
        <sz val="8"/>
        <color theme="1"/>
        <rFont val="Arial"/>
        <family val="2"/>
        <charset val="238"/>
      </rPr>
      <t> </t>
    </r>
  </si>
  <si>
    <t>Prevod z majetku na sklad</t>
  </si>
  <si>
    <t>Aktivácia práce a materiálu</t>
  </si>
  <si>
    <t>Ostatné významné položky výnosov z hospodárskej činnosti, z toho:</t>
  </si>
  <si>
    <t>Tržby z predaja dlhodobého hmotného majetku</t>
  </si>
  <si>
    <t>Zmluvné pokuty a penále</t>
  </si>
  <si>
    <t>Postúpené pohľadávky</t>
  </si>
  <si>
    <t>Ostatné výnosy</t>
  </si>
  <si>
    <t>Finančné výnosy, z toho:</t>
  </si>
  <si>
    <t>Kurzové zisky, z toho:</t>
  </si>
  <si>
    <t>kurzové zisky ku dňu, ku ktorému sa zostavuje účtovná závierka</t>
  </si>
  <si>
    <t>Ostatné významné položky finančných výnosov, z toho:</t>
  </si>
  <si>
    <t>Výnosové úroky 662</t>
  </si>
  <si>
    <t>Ostatné výnosy z finančnej činnosti 668</t>
  </si>
  <si>
    <t>Informácie o čistom obrate</t>
  </si>
  <si>
    <t>Tržby za vlastné výrobky</t>
  </si>
  <si>
    <t>Tržby z predaja služieb</t>
  </si>
  <si>
    <t>Tržby za tovar</t>
  </si>
  <si>
    <t>Výnosy zo zákazky</t>
  </si>
  <si>
    <t>Tržby z predaja majetku</t>
  </si>
  <si>
    <t>Čistý obrat celkom</t>
  </si>
  <si>
    <t>Náklady</t>
  </si>
  <si>
    <t>Informácie o nákladoch</t>
  </si>
  <si>
    <t>Náklady za poskytnuté služby, z toho:</t>
  </si>
  <si>
    <t>Náklady voči audítorovi</t>
  </si>
  <si>
    <t>Náklady na opravy a údržbu</t>
  </si>
  <si>
    <t>Náklady na ekonomické služby</t>
  </si>
  <si>
    <t>Náklady na marketingové služby</t>
  </si>
  <si>
    <t>Náklady na služby a manažment</t>
  </si>
  <si>
    <t>Reprezentačné náklady</t>
  </si>
  <si>
    <t>Náklady na cestovné</t>
  </si>
  <si>
    <t>Náklady na ostatné služby</t>
  </si>
  <si>
    <t>Ostatné významné položky nákladov z hospodárskej činnosti, z toho:</t>
  </si>
  <si>
    <t>Zostatková cena predaného dlhodobého majetku</t>
  </si>
  <si>
    <t>Odpisy dlhodobého majetku</t>
  </si>
  <si>
    <t>Dane a poplatky</t>
  </si>
  <si>
    <t>Ostatné náklady, tvorba OP k majetku, pohľadávkam, ostatné</t>
  </si>
  <si>
    <t>Finančné náklady, z toho:</t>
  </si>
  <si>
    <t>Kurzové straty, z toho:</t>
  </si>
  <si>
    <t>kurzové straty ku dňu, ku ktorému sa zostavuje účtovná závierka</t>
  </si>
  <si>
    <t>Ostatné významné položky finančných nákladov, z toho:</t>
  </si>
  <si>
    <t>Úrokové náklady</t>
  </si>
  <si>
    <t>Bankové poplatky</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</si>
  <si>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</si>
  <si>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</si>
  <si>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</si>
  <si>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</si>
  <si>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</si>
  <si>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</si>
  <si>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Dane z príjmov</t>
  </si>
  <si>
    <t>Informácie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</si>
  <si>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</si>
  <si>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</si>
  <si>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</si>
  <si>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</si>
  <si>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</si>
  <si>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</si>
  <si>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</si>
  <si>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</si>
  <si>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</si>
  <si>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</si>
  <si>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 xml:space="preserve">teoretická daň </t>
  </si>
  <si>
    <t>Daňovo neuznané náklady</t>
  </si>
  <si>
    <t>Výnosy nepodliehajúce dani</t>
  </si>
  <si>
    <t>Vplyv nevykázanej odloženej daňovej pohľadávky</t>
  </si>
  <si>
    <t>Umorenie daňovej straty</t>
  </si>
  <si>
    <t>Zmena sadzby dane</t>
  </si>
  <si>
    <t>Splatná daň z príjmov</t>
  </si>
  <si>
    <t>Odložená daň z príjmov</t>
  </si>
  <si>
    <t xml:space="preserve">Celková daň z príjmov </t>
  </si>
  <si>
    <t>Údaje o príjmoch a výhodách členov štatutárnych, dozorných a iných orgánov</t>
  </si>
  <si>
    <t>Suma  peňažných príjmov a hodnota nepeňažných príjmov sa neuvádzajú, ak by takéto informácie umožnili identifikáciu finančnej situácie konkrétneho člena štatutárneho orgánu, dozorného orgánu alebo iného orgánu účtovnej jednotky.</t>
  </si>
  <si>
    <t>Informácie o ekonomických vzťahoch  medzi účtovnou jednotkou a spriaznenými osobami</t>
  </si>
  <si>
    <t>Spriaznená osoba </t>
  </si>
  <si>
    <t>Kód druhu obchodu</t>
  </si>
  <si>
    <t>Hodnotové vyjadrenie obchodu</t>
  </si>
  <si>
    <t xml:space="preserve">Bezprostredne predchádzajúce účtovné obdobie                                             </t>
  </si>
  <si>
    <t>2 (predaj)</t>
  </si>
  <si>
    <t>Auto Palace Slovakia</t>
  </si>
  <si>
    <t>Záväzky</t>
  </si>
  <si>
    <t>1 (kúpa)</t>
  </si>
  <si>
    <t>AutoBinck CZ</t>
  </si>
  <si>
    <t>Auto Palace Brno</t>
  </si>
  <si>
    <t>Výnosy</t>
  </si>
  <si>
    <t>Položka vlastného imania</t>
  </si>
  <si>
    <t>Stav na začiatku účtovného obdobia</t>
  </si>
  <si>
    <t>Stav na konci účtovného obdobia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</si>
  <si>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</si>
  <si>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</si>
  <si>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</si>
  <si>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</si>
  <si>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</si>
  <si>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</si>
  <si>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</si>
  <si>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</si>
  <si>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</si>
  <si>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</si>
  <si>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</si>
  <si>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</si>
  <si>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</si>
  <si>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</si>
  <si>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</si>
  <si>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</si>
  <si>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</si>
  <si>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</si>
  <si>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</si>
  <si>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 xml:space="preserve"> </t>
  </si>
  <si>
    <t>Stavby, budovy</t>
  </si>
  <si>
    <t>Ak je zostatková doba splatnosti pohľadávky dlhšia ako jeden rok, tvorí sa opravná položka, ktorá predstavuje rozdiel medzi menovitou a súčasnou hodnotou pohľadávky.</t>
  </si>
  <si>
    <t xml:space="preserve">Dlhodobé i krátkodobé záväzky sa vykazujú v menovitých hodnotách. </t>
  </si>
  <si>
    <t xml:space="preserve">Vlastné imanie sa skladá zo základného imania, kapitálových fondov, oceňovacích rozdielov, zákonného rezervného fondu a výsledku hospodárenia v schvaľovacom konaní. </t>
  </si>
  <si>
    <t>Spoločnosť vytvára rezervný fond vo výške 5% z čistého zisku vyčísleného v ročnej účtovnej závierke, až do dosiahnutia výšky rezervného fondu min. 10 % základného imania.</t>
  </si>
  <si>
    <t xml:space="preserve">Prehľad o peňažných tokoch bol spracovaný nepriamou metódou. </t>
  </si>
  <si>
    <r>
      <t xml:space="preserve">6.      </t>
    </r>
    <r>
      <rPr>
        <b/>
        <u/>
        <sz val="10"/>
        <color theme="1"/>
        <rFont val="Arial"/>
        <family val="2"/>
        <charset val="238"/>
      </rPr>
      <t>POHĽADÁVKY</t>
    </r>
  </si>
  <si>
    <r>
      <t xml:space="preserve">7.      </t>
    </r>
    <r>
      <rPr>
        <b/>
        <u/>
        <sz val="10"/>
        <color theme="1"/>
        <rFont val="Arial"/>
        <family val="2"/>
        <charset val="238"/>
      </rPr>
      <t>FINANČNÉ ÚČTY</t>
    </r>
  </si>
  <si>
    <r>
      <t xml:space="preserve">8.      </t>
    </r>
    <r>
      <rPr>
        <b/>
        <u/>
        <sz val="10"/>
        <color theme="1"/>
        <rFont val="Arial"/>
        <family val="2"/>
        <charset val="238"/>
      </rPr>
      <t>ČASOVÉ ROZLÍŠENIE</t>
    </r>
  </si>
  <si>
    <r>
      <t xml:space="preserve">9.      </t>
    </r>
    <r>
      <rPr>
        <b/>
        <u/>
        <sz val="10"/>
        <color theme="1"/>
        <rFont val="Arial"/>
        <family val="2"/>
        <charset val="238"/>
      </rPr>
      <t>VLASTNÉ IMANIE</t>
    </r>
  </si>
  <si>
    <r>
      <t xml:space="preserve">10.      </t>
    </r>
    <r>
      <rPr>
        <b/>
        <u/>
        <sz val="10"/>
        <color theme="1"/>
        <rFont val="Arial"/>
        <family val="2"/>
        <charset val="238"/>
      </rPr>
      <t>REZERVY</t>
    </r>
  </si>
  <si>
    <r>
      <t xml:space="preserve">11.      </t>
    </r>
    <r>
      <rPr>
        <b/>
        <u/>
        <sz val="10"/>
        <color theme="1"/>
        <rFont val="Arial"/>
        <family val="2"/>
        <charset val="238"/>
      </rPr>
      <t>ZÁVÄZKY</t>
    </r>
  </si>
  <si>
    <r>
      <t>12.     </t>
    </r>
    <r>
      <rPr>
        <b/>
        <u/>
        <sz val="10"/>
        <color theme="1"/>
        <rFont val="Arial"/>
        <family val="2"/>
        <charset val="238"/>
      </rPr>
      <t>ODLOŽENÁ DAŇ Z PRÍJMOV</t>
    </r>
  </si>
  <si>
    <r>
      <t>13.     </t>
    </r>
    <r>
      <rPr>
        <b/>
        <u/>
        <sz val="10"/>
        <color theme="1"/>
        <rFont val="Arial"/>
        <family val="2"/>
        <charset val="238"/>
      </rPr>
      <t>INFORMÁCIE O ZÁVAZKOCH ZO SOCIÁLNEHO FONDU</t>
    </r>
  </si>
  <si>
    <r>
      <t xml:space="preserve">14.      </t>
    </r>
    <r>
      <rPr>
        <b/>
        <u/>
        <sz val="10"/>
        <color theme="1"/>
        <rFont val="Arial"/>
        <family val="2"/>
        <charset val="238"/>
      </rPr>
      <t>BANKOVÉ ÚVERY A FINANČNÉ VÝPOMOCI</t>
    </r>
  </si>
  <si>
    <r>
      <t>15.     </t>
    </r>
    <r>
      <rPr>
        <b/>
        <u/>
        <sz val="10"/>
        <color theme="1"/>
        <rFont val="Arial"/>
        <family val="2"/>
        <charset val="238"/>
      </rPr>
      <t>ČASOVÉ ROZLÍŠENIE</t>
    </r>
  </si>
  <si>
    <r>
      <t>16.     </t>
    </r>
    <r>
      <rPr>
        <b/>
        <u/>
        <sz val="10"/>
        <color theme="1"/>
        <rFont val="Arial"/>
        <family val="2"/>
        <charset val="238"/>
      </rPr>
      <t>VÝNOSY A NÁKLADY</t>
    </r>
  </si>
  <si>
    <r>
      <t>17.     </t>
    </r>
    <r>
      <rPr>
        <b/>
        <u/>
        <sz val="10"/>
        <color theme="1"/>
        <rFont val="Arial"/>
        <family val="2"/>
        <charset val="238"/>
      </rPr>
      <t>INFORMÁCIE O SPRIAZNENÝCH OSOBÁCH</t>
    </r>
  </si>
  <si>
    <t>18.     INFORMÁCIE O ZMENÁCH VLASTNÉHO IMANIA</t>
  </si>
  <si>
    <r>
      <t>19.     </t>
    </r>
    <r>
      <rPr>
        <b/>
        <u/>
        <sz val="10"/>
        <color theme="1"/>
        <rFont val="Arial"/>
        <family val="2"/>
        <charset val="238"/>
      </rPr>
      <t xml:space="preserve">PREHĽAD O PEŇAŽNÝCH TOKOCH </t>
    </r>
  </si>
  <si>
    <r>
      <t>20.     </t>
    </r>
    <r>
      <rPr>
        <b/>
        <u/>
        <sz val="10"/>
        <color theme="1"/>
        <rFont val="Arial"/>
        <family val="2"/>
        <charset val="238"/>
      </rPr>
      <t>VÝZNAMNÉ UDALOSTI, KTORÉ NASTALI PO DNI, KU KTORÉMU SA ZOSTAVUJE ÚČTOVNÁ ZÁVIERKA</t>
    </r>
  </si>
  <si>
    <t>Poznámky Úč POD 3 - 01</t>
  </si>
  <si>
    <t>c)    Zásoby</t>
  </si>
  <si>
    <t>d)    Pohľadávky</t>
  </si>
  <si>
    <t>e)    Náklady budúcich období a príjmy budúcich období</t>
  </si>
  <si>
    <t xml:space="preserve">f)    Záväzky </t>
  </si>
  <si>
    <t xml:space="preserve">g)    Rezervy </t>
  </si>
  <si>
    <t>h)    Výdavky budúcich období a výnosy budúcich období</t>
  </si>
  <si>
    <t>i)    Vlastné imanie</t>
  </si>
  <si>
    <t>j)    Transakcie v cudzích menách</t>
  </si>
  <si>
    <t>k)    Výnosy</t>
  </si>
  <si>
    <t>l)   Daň z príjmu</t>
  </si>
  <si>
    <t>m)   Opravy chýb minulých účtovných období</t>
  </si>
  <si>
    <t>Predaj vozidiel</t>
  </si>
  <si>
    <t>IT</t>
  </si>
  <si>
    <t>HR</t>
  </si>
  <si>
    <t>Zoznam prepojených podnikov</t>
  </si>
  <si>
    <t xml:space="preserve">AutoBinck Beheer N.V. </t>
  </si>
  <si>
    <t>Auto Palace Brno s.r.o.</t>
  </si>
  <si>
    <t>AutoBinck CZ s.r.o.</t>
  </si>
  <si>
    <t>AutoBinck Group N.V.</t>
  </si>
  <si>
    <t>M Motors SK s.r.o.</t>
  </si>
  <si>
    <t>Business Lease Romania s.r.l.</t>
  </si>
  <si>
    <t>M Motors CZ s.r.o.</t>
  </si>
  <si>
    <t>AutoBinck Haarlem B.V.</t>
  </si>
  <si>
    <t>Auto Palace Bratislava s.r.o.</t>
  </si>
  <si>
    <t>PARTSPOINT Holding B.V.</t>
  </si>
  <si>
    <t>Auto Palace Sporilov s.r.o.</t>
  </si>
  <si>
    <t>Greenib Car B.V.</t>
  </si>
  <si>
    <t>Auto Palace Butovice s.r.o.</t>
  </si>
  <si>
    <t>AutoBinck Vastgoed Nederland B.V.</t>
  </si>
  <si>
    <t>Hyundai Avto Trade d.o.o.</t>
  </si>
  <si>
    <t>Auto Palace s.r.o.</t>
  </si>
  <si>
    <t>Auto Palace Praha ks</t>
  </si>
  <si>
    <t>AutoBinck Ljubljana d.o.o.</t>
  </si>
  <si>
    <t>Auto Palace Slovakia s.r.o.</t>
  </si>
  <si>
    <t>Hyundai Holding Hungary Kft.</t>
  </si>
  <si>
    <t>Business Lease s.r.o.</t>
  </si>
  <si>
    <t>Business Lease Slovakia s.r.o.</t>
  </si>
  <si>
    <t>AutoBinck Car Distribution and Retail B.V.</t>
  </si>
  <si>
    <t>British Automotive Hungary Kft.</t>
  </si>
  <si>
    <t>Business Lease Poland Sp z.o.o</t>
  </si>
  <si>
    <t>Business Lease Group B.V.</t>
  </si>
  <si>
    <t>Business Lease Hungary Kft.</t>
  </si>
  <si>
    <t>Vriesendijk B.V.</t>
  </si>
  <si>
    <t>Martinistad B.V.</t>
  </si>
  <si>
    <t>Personal Car Lease B.V.</t>
  </si>
  <si>
    <t>Autobedrijf Dijker B.V.</t>
  </si>
  <si>
    <t>CarShare Ventures B.V.</t>
  </si>
  <si>
    <t>AutoPoint International B.V.</t>
  </si>
  <si>
    <t>Zelfstroom B.V.</t>
  </si>
  <si>
    <t>Ostatné</t>
  </si>
  <si>
    <t>Spoločnosť sa rozhodla účtovať o odloženej daňovej pohľadávke z dôvodu očakávaných budúcich ziskov.</t>
  </si>
  <si>
    <t>Účtovná závierka bola zostavená podľa Zákona č. 431/2002 Z.z. o účtovníctve v znení neskorších predpisov za predpokladu nepretržitého trvania jej činnosti a je zostavená ako riadna účtovná závierka.</t>
  </si>
  <si>
    <t>Aktivácia nákladov a výnosy z hospodárskej činnosti a finančnej činnosti</t>
  </si>
  <si>
    <t>Informácie o výnosoch pri aktivácii nákladov a o výnosoch z hospodárskej činnosti a finančnej činnosti</t>
  </si>
  <si>
    <t>SPOLU</t>
  </si>
  <si>
    <t>Auto Palace Sporilov</t>
  </si>
  <si>
    <t>Business Lease Slovakia</t>
  </si>
  <si>
    <t>2</t>
  </si>
  <si>
    <t>0</t>
  </si>
  <si>
    <t>3</t>
  </si>
  <si>
    <t>1</t>
  </si>
  <si>
    <t>4</t>
  </si>
  <si>
    <t>7</t>
  </si>
  <si>
    <t/>
  </si>
  <si>
    <t>ES</t>
  </si>
  <si>
    <t>LT</t>
  </si>
  <si>
    <t>BG</t>
  </si>
  <si>
    <t>Auto Palace Bratislava s. r. o.</t>
  </si>
  <si>
    <t xml:space="preserve">Auto Palace Bratislava s. r. o. (ďalej len „spoločnosť”) je spoločnosť s ručením obmedzeným, ktorá bola založená dňa 3.7.1991. Dňa 1.8.1991 bola zapísaná do Obchodného registra vedenom na Okresnom súde Bratislava I, oddiel Sro, vložka 1196/B. Spoločnosť sídli  v Bratislave na Vajnorskej 136/C, Slovenská republika, identifikačné číslo 17 320 712. </t>
  </si>
  <si>
    <t>Informácie o štruktúre spoločníkov ku dňu, ku ktorému sa zostavuje účtovná závierka a o štruktúre spoločníkov do dňa jej zmeny v priebehu účtovného obdobia</t>
  </si>
  <si>
    <t>Spoločník</t>
  </si>
  <si>
    <t>do 30.12.2016 : De Binckhorst Investment Company B.V.</t>
  </si>
  <si>
    <t xml:space="preserve">od 30.12.2016:  AutoBinck Car Distribution and Retail B.V. </t>
  </si>
  <si>
    <t>Spoločnosť je súčasťou skupiny AutoBinck Holding NV. Materskou spoločnosťou spoločnosti je AutoBinck Car Distribution and Retail B.V. a materskou spoločnosťou celej skupiny je AutoBinck Holding NV. Konsolidovanú účtovnú závierku za najväčšiu skupinu podnikov zostavuje spoločnosť materská spoločnosť celej skupiny. Sídlo materskej spoločnosti je Rhone 30, 2491 AP The Hague, The Netherlands.</t>
  </si>
  <si>
    <t>Bezprostredne predchádzajúce  účtovné obdobie</t>
  </si>
  <si>
    <t>OP spolu</t>
  </si>
  <si>
    <t>ostatné</t>
  </si>
  <si>
    <t>Iné - doplatok dane za predchádzajúce obdobie</t>
  </si>
  <si>
    <t>Náklady na nájomné - prevádzkové priestory</t>
  </si>
  <si>
    <t>Prehľad o peňažných tokoch</t>
  </si>
  <si>
    <t>(v EUR)</t>
  </si>
  <si>
    <t>Ozna-čenie</t>
  </si>
  <si>
    <t>Skutočnosť v EUR</t>
  </si>
  <si>
    <t>Bežné účtovné</t>
  </si>
  <si>
    <t>Minulé účtovné</t>
  </si>
  <si>
    <t>obdobie</t>
  </si>
  <si>
    <t>Peňažné toky z prevádzkovej činnosti</t>
  </si>
  <si>
    <t>Z/S</t>
  </si>
  <si>
    <t>Výsledok hospodárenia z bežnej činnosti pred zdanením daňou z príjmov (+/-)</t>
  </si>
  <si>
    <t>A.1.</t>
  </si>
  <si>
    <t>Nepeňažné operácie ovplyvňujúce výsledok hospodárenia z bežnej činnosti pred zdanením daňou z príjmov (súčet A.1.1. až A.1.13) (+/-)</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</si>
  <si>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</si>
  <si>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</si>
  <si>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</si>
  <si>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</si>
  <si>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</si>
  <si>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</si>
  <si>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</si>
  <si>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</si>
  <si>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</si>
  <si>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</si>
  <si>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</si>
  <si>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</si>
  <si>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</si>
  <si>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</si>
  <si>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</si>
  <si>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</si>
  <si>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</si>
  <si>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</si>
  <si>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</si>
  <si>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</si>
  <si>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</si>
  <si>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</si>
  <si>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</si>
  <si>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peňažný ekvivalent (+/-)</t>
  </si>
  <si>
    <t>A.1.13.</t>
  </si>
  <si>
    <t>Ostatné položky nepeňažného charakteru, ktoré ovplyvňujú výsledok hospodárenia z bežnej činnosti s výnimkou tých, ktoré sa uvádzajú osobitne v iných častiach prehľadu peňažných tokov (+/-)</t>
  </si>
  <si>
    <t>A.2.</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</si>
  <si>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</si>
  <si>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A.2.1.</t>
  </si>
  <si>
    <t>Zmena stavu pohľadávok z prevádzkovej činnosti (-/+)</t>
  </si>
  <si>
    <t>A.2.2.</t>
  </si>
  <si>
    <t>Zmena stavu záväzkov z prevádzkovej činnosti (+/-)</t>
  </si>
  <si>
    <t>A.2.3.</t>
  </si>
  <si>
    <t>Zmena stavu zásob (-/+)</t>
  </si>
  <si>
    <t>A.2.4.</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</si>
  <si>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</si>
  <si>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</si>
  <si>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A.3.</t>
  </si>
  <si>
    <t>Prijaté úroky s výnimkou tých, ktoré sa začleňujú do investičnej činnosti (+)</t>
  </si>
  <si>
    <t>A.4.</t>
  </si>
  <si>
    <t>Výdavky na zaplatené úroky s výnimkou tých, ktoré sa začleňujú do finančnej činnosti (-)</t>
  </si>
  <si>
    <t>A.5.</t>
  </si>
  <si>
    <t>Príjmy z dividend a iných podielov na zisku (+)</t>
  </si>
  <si>
    <t>A.6.</t>
  </si>
  <si>
    <t>Výdavky na vyplatené dividendy a iné podiely na zisku s výnimkou tých, ktoré sa začleňujú do investičnej činnosti (-)</t>
  </si>
  <si>
    <t>Peňažné toky z prevádzkovej činnosti (+/-) (súčet Z/S + A.1. až A.6.)</t>
  </si>
  <si>
    <t>A.7.</t>
  </si>
  <si>
    <t>Výdavky na daň z príjmov účtovnej jednotky s výnimkou tých, ktoré sa začleňujú do investičných činností alebo finančných činností (-/+)</t>
  </si>
  <si>
    <t>A.8.</t>
  </si>
  <si>
    <t>Príjmy mimoriadneho charakteru vzťahujúce sa na prevádzkovú činnosť (+)</t>
  </si>
  <si>
    <t>A.9.</t>
  </si>
  <si>
    <t>Výdavky mimoriadneho charakteru vzťahujúce sa na prevádzkovú činnosť (-)</t>
  </si>
  <si>
    <t>A.</t>
  </si>
  <si>
    <t>Čisté peňažné toky z prevádzkovej činnosti (+/-) (súčet Z/S + A.1. až A.9.)</t>
  </si>
  <si>
    <t>Peňažné toky z investičnej činnosti</t>
  </si>
  <si>
    <t>B.1.</t>
  </si>
  <si>
    <t>Výdavky na obstaranie dlhodobého nehmotného majetku (-)</t>
  </si>
  <si>
    <t>B.2.</t>
  </si>
  <si>
    <t>Výdavky na obstaranie dlhodobého hmotného majetku (-)</t>
  </si>
  <si>
    <t>B.3.</t>
  </si>
  <si>
    <t>Výdavky na obstaranie dlhodobých cenných papierov a podielov v iných účtovných jednotkách, s výnimkou cenných papierov, ktoré sa považujú za peňažné ekvivalenty a cenných papierov určených na predaj alebo na obchodovanie (-)</t>
  </si>
  <si>
    <t>B.4.</t>
  </si>
  <si>
    <t>Príjmy z predaja dlhodobého nehmotného majetku (+)</t>
  </si>
  <si>
    <t>B.5.</t>
  </si>
  <si>
    <t>Príjmy z predaja dlhodobého hmotného majetku (+)</t>
  </si>
  <si>
    <t>B.6.</t>
  </si>
  <si>
    <t>Príjmy z predaja dlhodobých cenných papierov a podielov v iných účtovných jednotkách, s výnimkou cenných papierov, ktoré sa považujú za peňažné ekvivalenty a cenných papierov určených na predaj alebo na obchodovanie (+)</t>
  </si>
  <si>
    <t>B.7.</t>
  </si>
  <si>
    <t>Výdavky na dlhodobé pôžičky poskytnuté účtovnou jednotkou inej účtovnej jednotke, ktorá je súčasťou konsolidovaného celku (-)</t>
  </si>
  <si>
    <t xml:space="preserve">B.8. </t>
  </si>
  <si>
    <t>Príjmy zo splácania dlhodobých pôžičiek poskytnutých účtovnou jednotkou inej účtovnej jednotke, ktorá je súčasťou konsolidovaného celku (+)</t>
  </si>
  <si>
    <t>B.9.</t>
  </si>
  <si>
    <t>Výdavky na dlhodobé pôžičky poskytnuté účtovnou jednotkou 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</si>
  <si>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</si>
  <si>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</si>
  <si>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</si>
  <si>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prenájmu súboru hnuteľného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</si>
  <si>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</si>
  <si>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</si>
  <si>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</si>
  <si>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</si>
  <si>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</si>
  <si>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</si>
  <si>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</si>
  <si>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</si>
  <si>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</si>
  <si>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ju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</si>
  <si>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</si>
  <si>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</si>
  <si>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</si>
  <si>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</si>
  <si>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</si>
  <si>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 (+)</t>
  </si>
  <si>
    <t>B.20.</t>
  </si>
  <si>
    <t>Ostatné výdavky vzťahujúce sa na investičnú činnosť (-)</t>
  </si>
  <si>
    <t>B.</t>
  </si>
  <si>
    <t>Čisté peňažné toky z investičnej činnosti (súčet B.1. až B.20.)</t>
  </si>
  <si>
    <t>Peňažné toky z finančnej činnosti</t>
  </si>
  <si>
    <t>C.1.</t>
  </si>
  <si>
    <t>Peňažné toky vo vlastnom imaní (súčet C.1.1. až C.1.8.)</t>
  </si>
  <si>
    <t>C.1.1.</t>
  </si>
  <si>
    <t>Príjmy z upísaných akcií a obchodných podielov (+)</t>
  </si>
  <si>
    <t>C.1.2.</t>
  </si>
  <si>
    <t>Príjmy z ďalších vkladov do vlastného imania spoločníkmi alebo fyzickou osobou, ktorá je účtovnou jednotkou (+)</t>
  </si>
  <si>
    <t>C.1.3.</t>
  </si>
  <si>
    <t>Prijaté peňažné dary (+)</t>
  </si>
  <si>
    <t>C.1.4.</t>
  </si>
  <si>
    <t>Príjmy z úhrady straty spoločníkmi (+)</t>
  </si>
  <si>
    <t>C.1.5</t>
  </si>
  <si>
    <t>Výdavky na obstaranie alebo spätné odkúpenie vlastných akcií a vlastných obchodných podielov (-)</t>
  </si>
  <si>
    <t>C.1.6.</t>
  </si>
  <si>
    <t>Výdavky spojené so znížením fondov vytvorených účtovnou jednotkou (-)</t>
  </si>
  <si>
    <t>C.1.7.</t>
  </si>
  <si>
    <t>Výdavky na vyplatenie podielu na vlastnom imaní spoločníkmi účtovnej jednotky a fyzickou osobou, ktorá je účtovnou jednotkou (-)</t>
  </si>
  <si>
    <t>C.1.8.</t>
  </si>
  <si>
    <t>Výdavky z iných dôvodov, ktoré súvisia so znížením vlastného imania (-)</t>
  </si>
  <si>
    <t>C.2.</t>
  </si>
  <si>
    <t>Peňažné toky vznikajúce z dlhodobých záväzkov a krátkodobých záväzkov z finančnej činnosti</t>
  </si>
  <si>
    <t>C.2.1.</t>
  </si>
  <si>
    <t>Príjmy z emisie dlhových cenných papierov (+)</t>
  </si>
  <si>
    <t>C.2.2.</t>
  </si>
  <si>
    <t>Výdavky na úhradu záväzkov z dlhových cenných papierov (-)</t>
  </si>
  <si>
    <t>C.2.3.</t>
  </si>
  <si>
    <t>Príjmy z úverov, ktoré účtovnej jednotke poskytla banka alebo 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</si>
  <si>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</si>
  <si>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</si>
  <si>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</si>
  <si>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</si>
  <si>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</si>
  <si>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</si>
  <si>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</si>
  <si>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</si>
  <si>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</si>
  <si>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Výdavky na úhradu záväzkov za prenájom súboru hnuteľného majetku a nehnuteľného majetku používaného a odpisovaného nájomcom (-)</t>
  </si>
  <si>
    <t>C.2.9.</t>
  </si>
  <si>
    <t>Príjmy z ostatných dlhodobých záväzkov a krátkodobých záväzkov vyplývajúcich z finančnej činnosti účtovnej jednotky s výnimkou tých, ktoré sa uvádzajú osobitne v inej časti prehľadu peňažných tokov (+)</t>
  </si>
  <si>
    <t>C.2.10.</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</si>
  <si>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</si>
  <si>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</si>
  <si>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</si>
  <si>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</si>
  <si>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</si>
  <si>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</si>
  <si>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</si>
  <si>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</si>
  <si>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</si>
  <si>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</si>
  <si>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</si>
  <si>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</si>
  <si>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</si>
  <si>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</si>
  <si>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</si>
  <si>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</si>
  <si>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t>
  </si>
  <si>
    <t>D.</t>
  </si>
  <si>
    <t>Čisté zvýšenie alebo čisté zníženie peňažných prostriedkov a peňažných ekvivalentov (+/-) (súčet A+B+C)</t>
  </si>
  <si>
    <t>E.</t>
  </si>
  <si>
    <t>Stav peňažných prostriedkov a peňažných ekvivalentov na začiatku účtovného obdobia</t>
  </si>
  <si>
    <t>F.</t>
  </si>
  <si>
    <t>Stav peňažných prostriedkov a peňažných ekvivalentov na konci účtovného obdobia pred zohľadnením kurzových rozdielov vyčíslených ku dňu, ku ktorému sa zostavuje účtovná závierka</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</si>
  <si>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</si>
  <si>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</si>
  <si>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</si>
  <si>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</si>
  <si>
    <t>Musi byt NULA</t>
  </si>
  <si>
    <t>Revolvingový úver</t>
  </si>
  <si>
    <t>M Motors SK</t>
  </si>
  <si>
    <t>Auto Palace Prúhonice</t>
  </si>
  <si>
    <t xml:space="preserve">Auto Palace </t>
  </si>
  <si>
    <t>Aktivácia</t>
  </si>
  <si>
    <t xml:space="preserve">Účtovný zisk </t>
  </si>
  <si>
    <t>Radek Donner</t>
  </si>
  <si>
    <t>Peter Charles Ramsay Broster</t>
  </si>
  <si>
    <t>Hyundai Holding Hungary Kft</t>
  </si>
  <si>
    <t>AutoBinck Car Distribution and Retail</t>
  </si>
  <si>
    <t>GB</t>
  </si>
  <si>
    <t>RU</t>
  </si>
  <si>
    <t>Členovia štatutárnych orgánov k 31. decembru 2019:</t>
  </si>
  <si>
    <t>Základné imanie spoločnosti sa vykazuje vo výške zapísanej v obchodnom registri. 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 darmi, a pod.</t>
  </si>
  <si>
    <t>SI</t>
  </si>
  <si>
    <t>Členovia štatutárnych orgánov k 31. decembru 2020:</t>
  </si>
  <si>
    <t xml:space="preserve">od 07.11.2019:  AutoBinck Car Distribution and Retail B.V. </t>
  </si>
  <si>
    <t>Účtovné zásady a metódy, ktoré spoločnosť používala pri zostavení účtovnej závierky za rok 2020 a 2019 sú nasledovné:</t>
  </si>
  <si>
    <t>V roku 2020 a 2019 spoločnosť nezískala bezplatne dlhodobý nehmotný majetok.</t>
  </si>
  <si>
    <t>V roku 2020 a 2019 spoločnosť nezískala bezplatne dlhodobý hmotný majetok.</t>
  </si>
  <si>
    <t>K rizikovým pohľadávkam boli v roku 2020 a 2019 tvorené opravné položky nasledovne:</t>
  </si>
  <si>
    <t xml:space="preserve">V prípade prechodného zníženia úžitkovej hodnoty zásob sa tvorí opravná položka. </t>
  </si>
  <si>
    <t>Číslo</t>
  </si>
  <si>
    <t>Názov</t>
  </si>
  <si>
    <t>Výsledovka/Súvaha</t>
  </si>
  <si>
    <t>Typ konta</t>
  </si>
  <si>
    <t>Pohyb</t>
  </si>
  <si>
    <t>Saldo ku dňu</t>
  </si>
  <si>
    <t>Saldo</t>
  </si>
  <si>
    <t>MD čiastka</t>
  </si>
  <si>
    <t>Dal čiastka</t>
  </si>
  <si>
    <t>Súvaha</t>
  </si>
  <si>
    <t>Konto</t>
  </si>
  <si>
    <t>Od-súčet</t>
  </si>
  <si>
    <t>Budovy a stavby</t>
  </si>
  <si>
    <t>Sumár - stavby</t>
  </si>
  <si>
    <t>Do-súčet</t>
  </si>
  <si>
    <t>Samostat.hnut.veci a súbory hn</t>
  </si>
  <si>
    <t>Vozidlá v majetku</t>
  </si>
  <si>
    <t>Autá predvádzacie - DEMO</t>
  </si>
  <si>
    <t>Autá servisné - NVS</t>
  </si>
  <si>
    <t>Autá rent - požičovňa</t>
  </si>
  <si>
    <t>Autá ostatné</t>
  </si>
  <si>
    <t>Hardware nad limit</t>
  </si>
  <si>
    <t>Servisné vybavenie nad limit</t>
  </si>
  <si>
    <t>Inventár nad limit</t>
  </si>
  <si>
    <t>OCS značenie nad limit</t>
  </si>
  <si>
    <t>Drobný Hardware</t>
  </si>
  <si>
    <t>Drobná kancelárska technika</t>
  </si>
  <si>
    <t>Drobné servisné vybavenie</t>
  </si>
  <si>
    <t>Drobný inventár</t>
  </si>
  <si>
    <t>Drobné OCS značenie</t>
  </si>
  <si>
    <t>Špeciálne náradie - servis</t>
  </si>
  <si>
    <t>Sumár - sam.hn.veci a súbory</t>
  </si>
  <si>
    <t>DHM</t>
  </si>
  <si>
    <t>DHM do 1700 EUR</t>
  </si>
  <si>
    <t>Sumár - DHM</t>
  </si>
  <si>
    <t>Ostatný majetok</t>
  </si>
  <si>
    <t>Ostatný HIM</t>
  </si>
  <si>
    <t>Sumár - ostatný majetok</t>
  </si>
  <si>
    <t>Sumár - DHIM odpisovaný</t>
  </si>
  <si>
    <t>Obstaranie DNM</t>
  </si>
  <si>
    <t>Obstar.dlhodob.nehmot.majetku</t>
  </si>
  <si>
    <t>Sumár - obstaranie DNM</t>
  </si>
  <si>
    <t>Obstaranie DHM</t>
  </si>
  <si>
    <t>Obstaranie HIM - stroje a zar.</t>
  </si>
  <si>
    <t>Obstaranie HIM - dopr. prostr.</t>
  </si>
  <si>
    <t>Obstaranie HIM - inventár</t>
  </si>
  <si>
    <t>Obstaranie DHIM</t>
  </si>
  <si>
    <t>Obstaranie ostatný majetok</t>
  </si>
  <si>
    <t>Obstaranie technického zhod.</t>
  </si>
  <si>
    <t>Sumár - obstaranie DHM</t>
  </si>
  <si>
    <t>Oprávky k NIM -  softvér</t>
  </si>
  <si>
    <t>Oprávky k softvéru</t>
  </si>
  <si>
    <t>Sumár - oprávky k NIM</t>
  </si>
  <si>
    <t>Oprávky k stavbám</t>
  </si>
  <si>
    <t>Oprávky k budovám a stavbám</t>
  </si>
  <si>
    <t>Sumár - oprávky k stavbám</t>
  </si>
  <si>
    <t>Opr.k samostat.hnut.veciam</t>
  </si>
  <si>
    <t>Oprávky - autá predvádzacie</t>
  </si>
  <si>
    <t>Oprávky - autá servisné - NVS</t>
  </si>
  <si>
    <t>Oprávky - autá ostatné</t>
  </si>
  <si>
    <t>Oprávky - Harware nad limit</t>
  </si>
  <si>
    <t>Oprávky - Servis. vyb. nad lim</t>
  </si>
  <si>
    <t>Oprávky - Inventár nad limit</t>
  </si>
  <si>
    <t>Oprávky - OCS značenie nad lim</t>
  </si>
  <si>
    <t>Oprávky - drobný hardware</t>
  </si>
  <si>
    <t>Oprávky - drobná kanc. techn.</t>
  </si>
  <si>
    <t>Oprávky - drobné servisné vyb.</t>
  </si>
  <si>
    <t>Oprávky - drobný inventár</t>
  </si>
  <si>
    <t>Oprávky - drobné OCS značenie</t>
  </si>
  <si>
    <t>Opr. - špeciálne náradie servi</t>
  </si>
  <si>
    <t>Sumár - opr.k samos.hn.veciam</t>
  </si>
  <si>
    <t>Oprávky k ostatnému HIM</t>
  </si>
  <si>
    <t>Sumár - oprávky k ost.HIM</t>
  </si>
  <si>
    <t>Opravná položka k HIM</t>
  </si>
  <si>
    <t>Opravná položka k DEMO autám</t>
  </si>
  <si>
    <t>Opravná položka k NVS autám</t>
  </si>
  <si>
    <t>Sumár - opr. pol. k HIM</t>
  </si>
  <si>
    <t>Sumár - dlhodobý majetok</t>
  </si>
  <si>
    <t>Sumár - investičný majetok</t>
  </si>
  <si>
    <t>ZÁSOBY</t>
  </si>
  <si>
    <t>Obstaranie tovaru ND</t>
  </si>
  <si>
    <t>BMW - vozidlá</t>
  </si>
  <si>
    <t>MINI - vozidlá</t>
  </si>
  <si>
    <t>Sumár obstar. nových voz.</t>
  </si>
  <si>
    <t>Obstaranie jazdených voz.</t>
  </si>
  <si>
    <t>BMW - jazdené</t>
  </si>
  <si>
    <t>MINI - jazdené</t>
  </si>
  <si>
    <t>Ostatné  - jazdené</t>
  </si>
  <si>
    <t>Fremd BMW - vozidlá - jazdené</t>
  </si>
  <si>
    <t>Sumár - obstaranie jazd. voz.</t>
  </si>
  <si>
    <t>Obstaranie ND</t>
  </si>
  <si>
    <t>Obsaranie nových vozidiel</t>
  </si>
  <si>
    <t>Obstaranie jazdených vozidiel</t>
  </si>
  <si>
    <t>Pohonné hmoty a mazivá</t>
  </si>
  <si>
    <t>Sumár - pohonné hmoty a mazivá</t>
  </si>
  <si>
    <t>Konto pre adjustácie</t>
  </si>
  <si>
    <t>Sumár - obstaranie tovaru</t>
  </si>
  <si>
    <t>Sumár - obstaranie</t>
  </si>
  <si>
    <t>Sklad ND a príslušenstva</t>
  </si>
  <si>
    <t>Tovar v otvorenych zákazkách</t>
  </si>
  <si>
    <t>ND na sklade</t>
  </si>
  <si>
    <t>Sklad nových vozov</t>
  </si>
  <si>
    <t>Náklady na PDI</t>
  </si>
  <si>
    <t>Náklady na dovýbavy</t>
  </si>
  <si>
    <t>Náklady - záruky  BRI / BSI</t>
  </si>
  <si>
    <t>Sklad jazdených áut</t>
  </si>
  <si>
    <t>Ostatné obst. náklady JV</t>
  </si>
  <si>
    <t>Tovar na prelome rokov</t>
  </si>
  <si>
    <t>Sumár - 132 SPOLU</t>
  </si>
  <si>
    <t>Tovar na ceste</t>
  </si>
  <si>
    <t>Tovar na ceste - ND</t>
  </si>
  <si>
    <t>Sumár - tovar na ceste vozidlá</t>
  </si>
  <si>
    <t>Tovar na ceste - autá</t>
  </si>
  <si>
    <t>Tovar na ceste - jazdené autá</t>
  </si>
  <si>
    <t>Sumár - tovar na ceste ND</t>
  </si>
  <si>
    <t>Sumár - tovar na ceste</t>
  </si>
  <si>
    <t>Opravná položka k materiálu</t>
  </si>
  <si>
    <t>Sumár - opr. pol. k materiálu</t>
  </si>
  <si>
    <t>Opr.pol.k nedokončenej výrobe</t>
  </si>
  <si>
    <t>Sumár -Opr.pol.k nedok. výrobe</t>
  </si>
  <si>
    <t>Opr.pol.k polotovarom VV</t>
  </si>
  <si>
    <t>Sumár-Opr.pol.k polotovarom VV</t>
  </si>
  <si>
    <t>Opr.pol k výrobkom</t>
  </si>
  <si>
    <t>Sumár-Opr.pol k výrobkom</t>
  </si>
  <si>
    <t>Opr.pol. k zvieratám</t>
  </si>
  <si>
    <t>Sumár-Opr.pol. k zvieratám</t>
  </si>
  <si>
    <t>Opravná položka k tovaru</t>
  </si>
  <si>
    <t>OP k ND 6-12 mesiacov</t>
  </si>
  <si>
    <t>OP k ND 12-24 mesiacov</t>
  </si>
  <si>
    <t>OP k ND nad 24 mesiacov</t>
  </si>
  <si>
    <t>OP - individuálne</t>
  </si>
  <si>
    <t>OP k novým autám</t>
  </si>
  <si>
    <t>OP k jazdeným autám</t>
  </si>
  <si>
    <t>Sumár - opr. pol. k tovaru</t>
  </si>
  <si>
    <t>Sumár - zásoby spolu</t>
  </si>
  <si>
    <t>FINANČNÉ ÚČTY</t>
  </si>
  <si>
    <t>Peniaze</t>
  </si>
  <si>
    <t>Pokladnica</t>
  </si>
  <si>
    <t>Registračná pokladnica I. BMW</t>
  </si>
  <si>
    <t>Registračná pokladnica II. Min</t>
  </si>
  <si>
    <t>Hlavná pokladnica</t>
  </si>
  <si>
    <t>Pokladnica CZK</t>
  </si>
  <si>
    <t>Sumár - pokladnica</t>
  </si>
  <si>
    <t>Ceniny</t>
  </si>
  <si>
    <t>Stravné lístky á 4,00 € a 5,00 €</t>
  </si>
  <si>
    <t>Nákupné poukážky VAŠA á 20 €, 10 €, 5 €</t>
  </si>
  <si>
    <t>Ceniny - kolky, známky</t>
  </si>
  <si>
    <t>Vouchery</t>
  </si>
  <si>
    <t>Dialničné známky</t>
  </si>
  <si>
    <t>Sumár - ceniny</t>
  </si>
  <si>
    <t>Účty v bankách</t>
  </si>
  <si>
    <t>Tatrabanka</t>
  </si>
  <si>
    <t>ING Bank</t>
  </si>
  <si>
    <t>RBS banka</t>
  </si>
  <si>
    <t>Sumár - účty v bankách</t>
  </si>
  <si>
    <t>Kreditné karty ING</t>
  </si>
  <si>
    <t>Sumár-Krátkodobé bankové úvery</t>
  </si>
  <si>
    <t>Peniaze na ceste</t>
  </si>
  <si>
    <t>Peniaze na ceste - banka</t>
  </si>
  <si>
    <t>Peniaze na ceste - CZK</t>
  </si>
  <si>
    <t>Peniaze na ceste - karty</t>
  </si>
  <si>
    <t>Peniaze na ceste - karty RP1</t>
  </si>
  <si>
    <t>Peniaze na ceste - karty RP2</t>
  </si>
  <si>
    <t>Odvod tržby RP</t>
  </si>
  <si>
    <t>Neidentifikované platby</t>
  </si>
  <si>
    <t>Sumár - peniaze na ceste</t>
  </si>
  <si>
    <t>Opr.pol.ku krátkodob. FM</t>
  </si>
  <si>
    <t>Sumár-Opr.pol.ku krátkodob. FM</t>
  </si>
  <si>
    <t>Sumár - peniaze</t>
  </si>
  <si>
    <t>Sumár - finančné účty</t>
  </si>
  <si>
    <t>ZÚČTOVACIE VZŤAHY</t>
  </si>
  <si>
    <t>Odberatelia</t>
  </si>
  <si>
    <t>Odberatelia - tuzemsko</t>
  </si>
  <si>
    <t>Odberatelia - tuzem. SKUPINA</t>
  </si>
  <si>
    <t>Odberatelia - tuz.BMW garancie</t>
  </si>
  <si>
    <t>Odberatelia - EU</t>
  </si>
  <si>
    <t>Odberatelia - mimo EU</t>
  </si>
  <si>
    <t>Odberatelia - EU - SKUPINA</t>
  </si>
  <si>
    <t>Sumár - odberatelia</t>
  </si>
  <si>
    <t>Zmenky na inkaso</t>
  </si>
  <si>
    <t>Sumár - Zmenky na inkaso</t>
  </si>
  <si>
    <t>Pohľ.za eskontované CP</t>
  </si>
  <si>
    <t>Sumár-Pohľ.za eskontované CP</t>
  </si>
  <si>
    <t>Poskytnuté preddavky</t>
  </si>
  <si>
    <t>Poskytnuté predd.</t>
  </si>
  <si>
    <t>Sumár - poskytnuté preddavky</t>
  </si>
  <si>
    <t>Ostatné pohľadávky</t>
  </si>
  <si>
    <t>Platby platobnými kartami RP1</t>
  </si>
  <si>
    <t>Pohľadávky voči poisťovni</t>
  </si>
  <si>
    <t>Očakávané podpory BMW+ MINI NV</t>
  </si>
  <si>
    <t>Očakávané podpory - zimná sada</t>
  </si>
  <si>
    <t>Postúpené pohľadávky BMW LO</t>
  </si>
  <si>
    <t>Pohľ. voči poisťovni - zákaz.</t>
  </si>
  <si>
    <t>Refakturácie služieb</t>
  </si>
  <si>
    <t>Ost.pohľ.-otvor.mínusové záväz</t>
  </si>
  <si>
    <t>Ostatné pohľ. - dohadné pol.</t>
  </si>
  <si>
    <t>Dohady - bonusy SALES / NV</t>
  </si>
  <si>
    <t>Dohady - bonusy AFTERSALES</t>
  </si>
  <si>
    <t>Dohady - bonusy jazdené vozy</t>
  </si>
  <si>
    <t>Sumár - ostatné pohľadávky</t>
  </si>
  <si>
    <t>Sumár - pohľadávky</t>
  </si>
  <si>
    <t>Dodávatelia</t>
  </si>
  <si>
    <t>Dodávatelia - tuzemsko</t>
  </si>
  <si>
    <t>Dodávatelia - tuzem. voz. BMW</t>
  </si>
  <si>
    <t>Dodávatelia - tuzem. ND BMW</t>
  </si>
  <si>
    <t>Dodávateľlia -tuzemsko SKUPINA</t>
  </si>
  <si>
    <t>Dodávatelia - zahr. voz. BMW</t>
  </si>
  <si>
    <t>Dodávatelia - zahr. ND BMW</t>
  </si>
  <si>
    <t>Dodávatelia - zahranicie</t>
  </si>
  <si>
    <t>Dodávatelia - zahr. SKUPINA</t>
  </si>
  <si>
    <t>Sumár - dodávatelia</t>
  </si>
  <si>
    <t>Zmenky na úhradu</t>
  </si>
  <si>
    <t>Sumár - Zmenky na úhradu</t>
  </si>
  <si>
    <t>Krátkodobé rezervy</t>
  </si>
  <si>
    <t>Rezervy - MNGMT fee</t>
  </si>
  <si>
    <t>Rezervy na nevyčerp. dovolenku</t>
  </si>
  <si>
    <t>Rezerva na odmeny - štat. org</t>
  </si>
  <si>
    <t>Rezerva na odmeny - odvody</t>
  </si>
  <si>
    <t>Sumár - krátkodobé rezervy</t>
  </si>
  <si>
    <t>Prijaté preddavky</t>
  </si>
  <si>
    <t>Sumár - prijaté preddavky</t>
  </si>
  <si>
    <t>Ostatné záväzky</t>
  </si>
  <si>
    <t>Preplatky - záporné pohľadávky</t>
  </si>
  <si>
    <t>Predplatby bonusovNV sklad/maj</t>
  </si>
  <si>
    <t>Bonusy pre zákazníkov</t>
  </si>
  <si>
    <t>Predplatby bonusov- predané NV</t>
  </si>
  <si>
    <t>Sumár - ostatné záväzky</t>
  </si>
  <si>
    <t>Sumár -nevyfakturované dodávky</t>
  </si>
  <si>
    <t>Sumár - záväzky</t>
  </si>
  <si>
    <t>Zúč.so zam.a or.soc.pois.a ZP</t>
  </si>
  <si>
    <t>Zamestnanci</t>
  </si>
  <si>
    <t>Sumár - zamestnanci</t>
  </si>
  <si>
    <t>Ostatné záv. voči zamestancom</t>
  </si>
  <si>
    <t>Ostatné záv. voči zamest.-PHM</t>
  </si>
  <si>
    <t>Ostatné záv.voči zam. - PC CZK</t>
  </si>
  <si>
    <t>Sumár - ostat.záv.voči zam.</t>
  </si>
  <si>
    <t>Pohľ. voči zamestnancom</t>
  </si>
  <si>
    <t>Pohľ. voči zamest.</t>
  </si>
  <si>
    <t>Pohľ. voči zamestnancom -strav</t>
  </si>
  <si>
    <t>Sumár - pohľ. voči zamestancom</t>
  </si>
  <si>
    <t>Zúčtovanie s orgánmi</t>
  </si>
  <si>
    <t>Zúčt.s inšt.SZaZP-zdrav.poist.</t>
  </si>
  <si>
    <t>Zúčt.s inšt.SZaZP-sociál.poist</t>
  </si>
  <si>
    <t>Sumár - zúčtovanie s orgánmi</t>
  </si>
  <si>
    <t>Sumár-zúč.so zam.a or.SP a ZP</t>
  </si>
  <si>
    <t>Zúčtovanie daní a dotácií</t>
  </si>
  <si>
    <t>Daň z príjmov</t>
  </si>
  <si>
    <t>Daň z príjmov PO - preddavky</t>
  </si>
  <si>
    <t>Daň z príjmov PO - zúčtovanie</t>
  </si>
  <si>
    <t>Daň z príjmov PO - z úrokov</t>
  </si>
  <si>
    <t>Sumár - daň z príjmov</t>
  </si>
  <si>
    <t>Ostatné priame dane</t>
  </si>
  <si>
    <t>Ost. priame dane - daň zo mzdy</t>
  </si>
  <si>
    <t>Sumár - ostatné priame dane</t>
  </si>
  <si>
    <t>Daň z pridanej hodnoty</t>
  </si>
  <si>
    <t>DPH január</t>
  </si>
  <si>
    <t>DPH február</t>
  </si>
  <si>
    <t>DPH marec</t>
  </si>
  <si>
    <t>DPH apríl</t>
  </si>
  <si>
    <t>DPH máj</t>
  </si>
  <si>
    <t>DPH jún</t>
  </si>
  <si>
    <t>DPH júl</t>
  </si>
  <si>
    <t>DPH august</t>
  </si>
  <si>
    <t>DPH september</t>
  </si>
  <si>
    <t>DPH október</t>
  </si>
  <si>
    <t>DPH november</t>
  </si>
  <si>
    <t>DPH december</t>
  </si>
  <si>
    <t>DPH 20% - výstup</t>
  </si>
  <si>
    <t>DPH 20% - vstup 1. skupina</t>
  </si>
  <si>
    <t>DPH - samovymeranie - výstup</t>
  </si>
  <si>
    <t>PP DPH výstup základní sazba</t>
  </si>
  <si>
    <t>DPH - zúčtovanie s DU</t>
  </si>
  <si>
    <t>Sumár - DPH</t>
  </si>
  <si>
    <t>Ostatné dane a poplatky</t>
  </si>
  <si>
    <t>Ostatné dane - cestná daň</t>
  </si>
  <si>
    <t>Sumár - ostatné dane a popl.</t>
  </si>
  <si>
    <t>Dotácie zo štátneho rozp.</t>
  </si>
  <si>
    <t>Sumár - Dotácie zo št. rozp.</t>
  </si>
  <si>
    <t>Ostatné dotácie</t>
  </si>
  <si>
    <t>Sumár - Ostatné dotácie</t>
  </si>
  <si>
    <t>Sumár - zúčtov.daní a dotácií</t>
  </si>
  <si>
    <t>Pohľ.voči spol.a združ.</t>
  </si>
  <si>
    <t>Pohľ. voči podnikom v skupine</t>
  </si>
  <si>
    <t>Sumár - pohľ.voči podnik.v sk.</t>
  </si>
  <si>
    <t>Pohľ.za upísané VI</t>
  </si>
  <si>
    <t>Sumár - Pohľ.za upísané VI</t>
  </si>
  <si>
    <t>Pohľ.voči sp.a čl.pri úhr.st.</t>
  </si>
  <si>
    <t>S-Pohľ.voči sp.a čl.pri úhr.st</t>
  </si>
  <si>
    <t>Ost.pohľ.voči spol.a čl.</t>
  </si>
  <si>
    <t>Sumár-Ost.pohľ.voči spol.a čl.</t>
  </si>
  <si>
    <t>Pohľ.voči účast.združenia</t>
  </si>
  <si>
    <t>Sumár-Pohľ.voči účast.združ.</t>
  </si>
  <si>
    <t>Sumár-pohľ.voči spol.a združ.</t>
  </si>
  <si>
    <t>Záv.voči spol. a združ.</t>
  </si>
  <si>
    <t>Záv. voči podnikom v skupine</t>
  </si>
  <si>
    <t>Sumár - záv.voči podnik.v sk.</t>
  </si>
  <si>
    <t>Záv.voči spol.pri rozdeľ.zisku</t>
  </si>
  <si>
    <t>Sumár-záv.voči sp.pri rozd.zis</t>
  </si>
  <si>
    <t>Ost.záv.voči spol. a čl.</t>
  </si>
  <si>
    <t>Sumár-Ost.záv.voči spol. a čl.</t>
  </si>
  <si>
    <t>Záv.voči spol.a čl.zo záv.č.</t>
  </si>
  <si>
    <t>S-Záv.voči spol.a čl.zo záv.č.</t>
  </si>
  <si>
    <t>Záv.z upís.CP a vkladov</t>
  </si>
  <si>
    <t>Sumár-Záv.z upís.CP a vkladov</t>
  </si>
  <si>
    <t>Záv.voči účast. združ.</t>
  </si>
  <si>
    <t>Sumár-Záv.voči účast. združ.</t>
  </si>
  <si>
    <t>Sumár - záv.voči spol. a združ</t>
  </si>
  <si>
    <t>Iné pohľadávky a záväzky</t>
  </si>
  <si>
    <t>Pohľ. z predaja podniku</t>
  </si>
  <si>
    <t>Sumár-Pohľ. z predaja podniku</t>
  </si>
  <si>
    <t>Záväzky z predaja podniku</t>
  </si>
  <si>
    <t>Sumár - Záv. z predaja podniku</t>
  </si>
  <si>
    <t>Pohľ.a záv.z pevných term.op.</t>
  </si>
  <si>
    <t>Sumár - Pohľ.a záv.z PTO</t>
  </si>
  <si>
    <t>Pohľadávky z nájmu</t>
  </si>
  <si>
    <t>Sumár - Pohľadávky z nájmu</t>
  </si>
  <si>
    <t>Pohľ. z vyd.dlhopisov</t>
  </si>
  <si>
    <t>Sumár - Pohľ. z vyd.dlhopisov</t>
  </si>
  <si>
    <t>Nakúpené opcie</t>
  </si>
  <si>
    <t>Sumár - nakúpené opcie</t>
  </si>
  <si>
    <t>Predané opcie</t>
  </si>
  <si>
    <t>Sumár - predané opcie</t>
  </si>
  <si>
    <t>Ostat. pohľad.</t>
  </si>
  <si>
    <t>Refundácia DPH z CZ</t>
  </si>
  <si>
    <t>Refundácia DPH DE</t>
  </si>
  <si>
    <t>Refundácia DPH AT</t>
  </si>
  <si>
    <t>Refundácia DPH NL</t>
  </si>
  <si>
    <t>Refundácia DPH ES-Španielsko</t>
  </si>
  <si>
    <t>Refundácia DPH HU-Maďarsko</t>
  </si>
  <si>
    <t>Refundácia DPH SI-Slovinsko</t>
  </si>
  <si>
    <t>Refundácia DPH HR-Chorvátsko</t>
  </si>
  <si>
    <t>Refundácia DPH PT-Portugalsko</t>
  </si>
  <si>
    <t>Refundácia DPH IT-Taliansko</t>
  </si>
  <si>
    <t>Sumár - iné pohľadávky</t>
  </si>
  <si>
    <t>Iné záväzky</t>
  </si>
  <si>
    <t>Iné záväzky - mzdy exekucie</t>
  </si>
  <si>
    <t>Poistné zákonné k pred NV</t>
  </si>
  <si>
    <t>Poistné havarijné k pred. NV</t>
  </si>
  <si>
    <t>Participácia na nulovom financ</t>
  </si>
  <si>
    <t>Car Garantie k predaným OV</t>
  </si>
  <si>
    <t>Platby APP</t>
  </si>
  <si>
    <t>Sumár - iné pohľ. a záväzky</t>
  </si>
  <si>
    <t>Časové rozlíšenie nákl. a výn.</t>
  </si>
  <si>
    <t>Náklady budúcich období</t>
  </si>
  <si>
    <t>Subdodávky k otv. serv. zákazk</t>
  </si>
  <si>
    <t>Záruky k YUC a UC</t>
  </si>
  <si>
    <t>Sumár - náklady budúcich obd.</t>
  </si>
  <si>
    <t>Komplexné nákl.bud.obd.</t>
  </si>
  <si>
    <t>Sumár-Komplexné nákl.bud.obd.</t>
  </si>
  <si>
    <t>Výdavky budúcich období</t>
  </si>
  <si>
    <t>Sumár - výdavky bud. období</t>
  </si>
  <si>
    <t>Výnosy budúcich období</t>
  </si>
  <si>
    <t>Výnosy budúcich období-predaj</t>
  </si>
  <si>
    <t>Očakávané podpory k pred. NV</t>
  </si>
  <si>
    <t>Sumár - výnosy budúcich období</t>
  </si>
  <si>
    <t>Príjmy budúcich období</t>
  </si>
  <si>
    <t>Očakávané SSCC podpory</t>
  </si>
  <si>
    <t>Očakávané podpory k ND</t>
  </si>
  <si>
    <t>Očakávané bonusy k vozidlám</t>
  </si>
  <si>
    <t>Dohady na provízie</t>
  </si>
  <si>
    <t>Ostatné príjmy bud. období</t>
  </si>
  <si>
    <t>Sumár - príjmy budúcich období</t>
  </si>
  <si>
    <t>Sumár- časové rozlíš.nákl.a vý</t>
  </si>
  <si>
    <t>Opravná pol.k zúčt.vzťahom</t>
  </si>
  <si>
    <t>Opravná položka</t>
  </si>
  <si>
    <t>Opravná pol. k pohľadávkam</t>
  </si>
  <si>
    <t>Sumár - opravná položka</t>
  </si>
  <si>
    <t>Vnútorné zaúčtovanie</t>
  </si>
  <si>
    <t>Vnútorné zaúčtovanie / predaj</t>
  </si>
  <si>
    <t>Vnútorné zaúčtovanie / nakup</t>
  </si>
  <si>
    <t>Vnútropodn. zúčt.</t>
  </si>
  <si>
    <t>Bank. pohyby APBA - AB SK</t>
  </si>
  <si>
    <t>Položky na prefakturáciu</t>
  </si>
  <si>
    <t>Transfer tovaru medzi skladmi</t>
  </si>
  <si>
    <t>Transfer vozidiel medzi skladm</t>
  </si>
  <si>
    <t>Počiatočné stavy</t>
  </si>
  <si>
    <t>Sumár - vnútorné zúčtovanie</t>
  </si>
  <si>
    <t>Spojovací účet pri združení</t>
  </si>
  <si>
    <t>Sumár -Spoj. účet pri združení</t>
  </si>
  <si>
    <t>Sumár - opr.pol.k zúčt.vzťahom</t>
  </si>
  <si>
    <t>Sumár - zúčtovacie vzťahy</t>
  </si>
  <si>
    <t>KAPITÁLOVÉ ÚČTY A DLHOD. ZÁV.</t>
  </si>
  <si>
    <t>Základné imanie a kapit. fondy</t>
  </si>
  <si>
    <t>Základné imanie-zapís.do OR</t>
  </si>
  <si>
    <t>Sumár - Základné imanie</t>
  </si>
  <si>
    <t>Sumár - Emisné ážio</t>
  </si>
  <si>
    <t>Ostané kapitálové fondy</t>
  </si>
  <si>
    <t>Sumár-ostatné kapitálové fondy</t>
  </si>
  <si>
    <t>Oceň.rozd.z preceň.maj. a záv.</t>
  </si>
  <si>
    <t>Sumár-Oceň.rozd.z preceň.MaZ</t>
  </si>
  <si>
    <t>Oceňov.rozdiely kap.vkladu</t>
  </si>
  <si>
    <t>Sumár-Oceň.rozdiely kap.vkladu</t>
  </si>
  <si>
    <t>Oc.rozd.z prec.pri zlúč.,roz.</t>
  </si>
  <si>
    <t>S-Oc.roz.z prec.pri zlúč.,roz.</t>
  </si>
  <si>
    <t>Zák.rez.fond z kap.vkladov</t>
  </si>
  <si>
    <t>Sumár - Zák.rez.fond z kap.vk.</t>
  </si>
  <si>
    <t>Nedeliteľný fond z kap.vkladov</t>
  </si>
  <si>
    <t>Sumár -Ned. fond z kap.vkladov</t>
  </si>
  <si>
    <t>Zmeny základného imania</t>
  </si>
  <si>
    <t>Sumár-Zmeny základného imania</t>
  </si>
  <si>
    <t>Sumár-Zákl.im.a kap. fondy</t>
  </si>
  <si>
    <t>Fondy tvorené zo zisku</t>
  </si>
  <si>
    <t>Sumár-Zákonný rezervný fond</t>
  </si>
  <si>
    <t>Sumár - nedeliteľný fond</t>
  </si>
  <si>
    <t>Štatutárne fondy</t>
  </si>
  <si>
    <t>Sumár - štatutárne fondy</t>
  </si>
  <si>
    <t>Ostatné fondy</t>
  </si>
  <si>
    <t>Sumár - ostatné fondy</t>
  </si>
  <si>
    <t>Nerozdelený zisk min. rokov</t>
  </si>
  <si>
    <t>Nerozdelený zisk</t>
  </si>
  <si>
    <t>Sumár-Neroz.zisk min.rokov</t>
  </si>
  <si>
    <t>Nerozdelená strata min. rokov</t>
  </si>
  <si>
    <t>Neuhradená strata min. rokov</t>
  </si>
  <si>
    <t>Sumár-Nerozd. strata min.rokov</t>
  </si>
  <si>
    <t>Sumár-Fondy tvorené zo zisku</t>
  </si>
  <si>
    <t>Výsledok zospodárenia</t>
  </si>
  <si>
    <t>Výsledok hospod.v schvaľov.</t>
  </si>
  <si>
    <t>Hosp. výsl.v schvaľov.konaní</t>
  </si>
  <si>
    <t>Dlhodobé záväzky</t>
  </si>
  <si>
    <t>Dlhodob.záv.v rámci kons.celku</t>
  </si>
  <si>
    <t>Sumár -Dlh.záv.v rámci kons.c.</t>
  </si>
  <si>
    <t>Záväzky zo sociálneho fondu</t>
  </si>
  <si>
    <t>Sumár-Záväzky zo soc.fondu</t>
  </si>
  <si>
    <t>Vydané dlhopisy</t>
  </si>
  <si>
    <t>Sumár - vydané dlhopisy</t>
  </si>
  <si>
    <t>Záväzky z nájmu</t>
  </si>
  <si>
    <t>Sumár - záväzky z nájmu</t>
  </si>
  <si>
    <t>Dlhodobé prijaté preddavky</t>
  </si>
  <si>
    <t>Sumár-Dlhodobé prij. preddavky</t>
  </si>
  <si>
    <t>Dlhodobé nevyfakt.dodávky</t>
  </si>
  <si>
    <t>Sumár - Dlhodobé nevyfakt.dod.</t>
  </si>
  <si>
    <t>Dlhodobé zmenky na úhradu</t>
  </si>
  <si>
    <t>Sumár - Dlh. zmenky na úhradu</t>
  </si>
  <si>
    <t>Ostatné dlhod.záväzky</t>
  </si>
  <si>
    <t>Sumár-Ostatné dlhodobé záväzky</t>
  </si>
  <si>
    <t>Sumár - Dlhodobé záväzky</t>
  </si>
  <si>
    <t>Odlož.daň.záv.a odlož.daň.pohľ</t>
  </si>
  <si>
    <t>Odložená daň</t>
  </si>
  <si>
    <t>Odložený daň. záväzok a pohľ.</t>
  </si>
  <si>
    <t>Sumár - Odložená daň</t>
  </si>
  <si>
    <t>Sumár-odl.daň.záv.a odl.daň.po</t>
  </si>
  <si>
    <t>VI fyz.osoby - podnikateľa</t>
  </si>
  <si>
    <t>Sumár-VI fyz.osoby-podnikateľa</t>
  </si>
  <si>
    <t>Sumár-Kap.účty a dlhodobé záv.</t>
  </si>
  <si>
    <t>NÁKLADY</t>
  </si>
  <si>
    <t>Výsledovka</t>
  </si>
  <si>
    <t>Spotrebované nákupy</t>
  </si>
  <si>
    <t>Spotreba materiálu</t>
  </si>
  <si>
    <t>Náhradné diely</t>
  </si>
  <si>
    <t>Spotreba ND BMW</t>
  </si>
  <si>
    <t>Pomoc.materiál Lakovňa Vrakuňa</t>
  </si>
  <si>
    <t>Sumár - Spotreba ND BMW</t>
  </si>
  <si>
    <t>Spotreba ND MINI</t>
  </si>
  <si>
    <t>Sumár - Spotreba ND MINI</t>
  </si>
  <si>
    <t>Spotreba ND Motorky</t>
  </si>
  <si>
    <t>Spotreba ND Motorky - interný</t>
  </si>
  <si>
    <t>Spotreba olejov a mazív</t>
  </si>
  <si>
    <t>Spotreba ND ostat. - interný</t>
  </si>
  <si>
    <t>Int. spot. ND - opr. maj.voz.</t>
  </si>
  <si>
    <t>Int. spot. ND - Zberné zákazky</t>
  </si>
  <si>
    <t>Sumár ND</t>
  </si>
  <si>
    <t>Spotr. mat. - PHM</t>
  </si>
  <si>
    <t>Spotr. mat. PHM - PDI NV</t>
  </si>
  <si>
    <t>Spotr. mat. PHM - skladové JV</t>
  </si>
  <si>
    <t>Spotr. mat. PHM - predv.voz.</t>
  </si>
  <si>
    <t>Spotr. mat. PHM - marketing</t>
  </si>
  <si>
    <t>Spotr. mat. PHM externý servis</t>
  </si>
  <si>
    <t>Spotr. mat. PHM - YUC, AUC</t>
  </si>
  <si>
    <t>Spotr. mat. PHM - služob.vozid</t>
  </si>
  <si>
    <t>Nákup PHM - servisné zákazky</t>
  </si>
  <si>
    <t>Sumár - Spotr.mat. - PHM</t>
  </si>
  <si>
    <t>Spotr. mat. - mycia linka</t>
  </si>
  <si>
    <t>Spotr. ost. mater. pre služ.vo</t>
  </si>
  <si>
    <t>Spotr. mat. - prevádzk. účel</t>
  </si>
  <si>
    <t>Spotr. mat. - čist. a hyg. pot</t>
  </si>
  <si>
    <t>Spotr. DHM nad 50 EUR</t>
  </si>
  <si>
    <t>Náradie do 250,- EUR</t>
  </si>
  <si>
    <t>Spotr. materiálu pre aktiv.</t>
  </si>
  <si>
    <t>Spotr. mat. - výpoč.techn.</t>
  </si>
  <si>
    <t>Spotr. mat. - jazdené vozidlá</t>
  </si>
  <si>
    <t>Spotr.mat. - ochr.prac.pom..pr</t>
  </si>
  <si>
    <t>Nákup novín, čas.,ost. period.</t>
  </si>
  <si>
    <t>Nákup právnej a enkonom.liter.</t>
  </si>
  <si>
    <t>Spotr. návdov a techn. brož.</t>
  </si>
  <si>
    <t>Spotr.mat. - kanc.potreby</t>
  </si>
  <si>
    <t>Spotr.cenníky,katalogy,ost.MKT</t>
  </si>
  <si>
    <t>Spotr. plagátov, leták.,post.</t>
  </si>
  <si>
    <t>Spotr. rekl. pred. do 17 EUR</t>
  </si>
  <si>
    <t>Spotr. rekl. pred.nad 17 EUR</t>
  </si>
  <si>
    <t>Vlastná spotreba mater.-voz.</t>
  </si>
  <si>
    <t>Sumár - vlast.spotr.mater.-voz</t>
  </si>
  <si>
    <t>Vlastná spotreba PHM</t>
  </si>
  <si>
    <t>Sumár - vlastná spotreba PHM</t>
  </si>
  <si>
    <t>Externé výkony - materiál</t>
  </si>
  <si>
    <t>Spotreba materiálu - réžia</t>
  </si>
  <si>
    <t>Spotreba materiálu - ostatné</t>
  </si>
  <si>
    <t>Sumár - spotreba materiálu</t>
  </si>
  <si>
    <t>Spotreba energie</t>
  </si>
  <si>
    <t>Spotreba elektrickej energie</t>
  </si>
  <si>
    <t>Spotreba plynu</t>
  </si>
  <si>
    <t>Sumár - spotreba energie</t>
  </si>
  <si>
    <t>Spotreba osta. nesklad.dodávok</t>
  </si>
  <si>
    <t>Vodné</t>
  </si>
  <si>
    <t>Prečerpáv.stanica odpad.vôd</t>
  </si>
  <si>
    <t>Sumár - spotr.ost.nesklad.dod.</t>
  </si>
  <si>
    <t>Predaný tovar</t>
  </si>
  <si>
    <t>Predaj ND cez pult - Trade</t>
  </si>
  <si>
    <t>ND - podpory k nákupu ND PULT</t>
  </si>
  <si>
    <t>BMW</t>
  </si>
  <si>
    <t>Predaj ND cez pult - Retail</t>
  </si>
  <si>
    <t>Bonusy - ND</t>
  </si>
  <si>
    <t>Sumár - BMW</t>
  </si>
  <si>
    <t>Náklady za predané ND</t>
  </si>
  <si>
    <t>Sumár - MINI</t>
  </si>
  <si>
    <t>Spotreba ND - BSI zákazky</t>
  </si>
  <si>
    <t>Spotreba ND - garancie</t>
  </si>
  <si>
    <t>Náklady na nové autá</t>
  </si>
  <si>
    <t>Int. spot. ND - PDI NV</t>
  </si>
  <si>
    <t>Int. spot. ND - Dovybavenie NV</t>
  </si>
  <si>
    <t>Participácia na fin.služb.  NV</t>
  </si>
  <si>
    <t>Doplnky a prísluš.k predan.NV</t>
  </si>
  <si>
    <t>Poistné k predaným NV</t>
  </si>
  <si>
    <t>Zmena predplatby na podporu NV</t>
  </si>
  <si>
    <t>Predĺžené záruky NV/ BRI, BSI/</t>
  </si>
  <si>
    <t>Zľavy a akcie nové au - BMW-podpora predaja nedaň.</t>
  </si>
  <si>
    <t>Zľavy a akcie nové autá - BMW očakávané podpory</t>
  </si>
  <si>
    <t>Tankovacie karty vydané k NV</t>
  </si>
  <si>
    <t>Nepoužívať</t>
  </si>
  <si>
    <t>Bonusy - nové vozidlá</t>
  </si>
  <si>
    <t>Sumár - Nové vozidlá</t>
  </si>
  <si>
    <t>Náklady - Jazdené vozidlá</t>
  </si>
  <si>
    <t>Int. spot. ND - Jazd.vozidlá</t>
  </si>
  <si>
    <t>Garancie k predaným JV</t>
  </si>
  <si>
    <t>Doplnky a prísluš.k predan.JV</t>
  </si>
  <si>
    <t>Poistné k predaným OV</t>
  </si>
  <si>
    <t>Zmena predplatby na podporu JV</t>
  </si>
  <si>
    <t>Predĺžené záruky JV / BRI, BSI/</t>
  </si>
  <si>
    <t>Predĺžené záruky - BSI / BRI</t>
  </si>
  <si>
    <t>Zľavy a akcie jazdené autá - BMW očakávané podpory</t>
  </si>
  <si>
    <t>BMW jazdené vozidlá Fremd</t>
  </si>
  <si>
    <t>Bonusy - jazdené vozidlá</t>
  </si>
  <si>
    <t>Vykúpené vozidlá - Ostatné</t>
  </si>
  <si>
    <t>Sumár - jazdené vozidlá</t>
  </si>
  <si>
    <t>Predaný tovar - ND</t>
  </si>
  <si>
    <t>ND BMW</t>
  </si>
  <si>
    <t>Sumár - ND BMW</t>
  </si>
  <si>
    <t>ND MINI</t>
  </si>
  <si>
    <t>ND MINI - pultový predaj</t>
  </si>
  <si>
    <t>ND MINI - lifestyle</t>
  </si>
  <si>
    <t>ND MINI - obchod 4.úrovne</t>
  </si>
  <si>
    <t>Sumár - ND MINI</t>
  </si>
  <si>
    <t>Sumár - Predaný tovar - ND</t>
  </si>
  <si>
    <t>Bonusy výrobcu</t>
  </si>
  <si>
    <t>Sumár - bonusy výrobcu</t>
  </si>
  <si>
    <t>Predaný tovar - subdodávky</t>
  </si>
  <si>
    <t>Sumár - predaný tovar</t>
  </si>
  <si>
    <t>Tvorba a zúčt.opr.pol.k zás.</t>
  </si>
  <si>
    <t>Tvorba OP k ND 6 - 12 mesiacov</t>
  </si>
  <si>
    <t>Tvorba OP k ND 12- 24 mesiacov</t>
  </si>
  <si>
    <t>Tvorba OP k ND nad 24 mesiacov</t>
  </si>
  <si>
    <t>Tvorba OP k ND - individuálne</t>
  </si>
  <si>
    <t>Tvorba OP k jazdeným vozidlám</t>
  </si>
  <si>
    <t>Sumár-Tvorba a zúč.op.pol.k zá</t>
  </si>
  <si>
    <t>Sumár - spotrebované nákupy</t>
  </si>
  <si>
    <t>Služby</t>
  </si>
  <si>
    <t>Opravy a udržanie</t>
  </si>
  <si>
    <t>Údržba budovy a objektov</t>
  </si>
  <si>
    <t>Údržba zariadení a inventáru</t>
  </si>
  <si>
    <t>Údržba majetk. áut - interné N</t>
  </si>
  <si>
    <t>Údržba majetk. áut - externé N</t>
  </si>
  <si>
    <t>Oprava vlastných vozidiel</t>
  </si>
  <si>
    <t>Sumár - oprava vlast.vozidiel</t>
  </si>
  <si>
    <t>Sumár - opravy a udržanie</t>
  </si>
  <si>
    <t>Cestovné</t>
  </si>
  <si>
    <t>Cestovné zahraničné</t>
  </si>
  <si>
    <t>Cestovné tuzemsko</t>
  </si>
  <si>
    <t>Cestovné náklady - nedaňové</t>
  </si>
  <si>
    <t>Sumár - cestovné</t>
  </si>
  <si>
    <t>Náklady na reprezentáciu</t>
  </si>
  <si>
    <t>Reprezentačné výdavky</t>
  </si>
  <si>
    <t>Náklady na repre. - marketing</t>
  </si>
  <si>
    <t>Sumár - náklady na repre.</t>
  </si>
  <si>
    <t>Ostatné služby</t>
  </si>
  <si>
    <t>Nájomné nehnuteľnosť Vajnorska</t>
  </si>
  <si>
    <t>Nájomné - externé vozidlá</t>
  </si>
  <si>
    <t>Nájomné Lakovňa Vrakuňa</t>
  </si>
  <si>
    <t>Nájomné SF - Wella</t>
  </si>
  <si>
    <t>Dialničné nálepky</t>
  </si>
  <si>
    <t>Poštové služby</t>
  </si>
  <si>
    <t>Telekom.náklady - pevné linky</t>
  </si>
  <si>
    <t>Telekom.náklady - mob.a dát.sl</t>
  </si>
  <si>
    <t>Pomocné práce</t>
  </si>
  <si>
    <t>Služby prac.cesty-ubytovanie</t>
  </si>
  <si>
    <t>Kuriérske služby</t>
  </si>
  <si>
    <t>Právne služby</t>
  </si>
  <si>
    <t>Účtovné,daňové a audit.služby</t>
  </si>
  <si>
    <t>Program.sl.,softv.lic.popl.</t>
  </si>
  <si>
    <t>Školenie,jazykové kurzy,vzdel.</t>
  </si>
  <si>
    <t>Prekladové a tlmočnícke služby</t>
  </si>
  <si>
    <t>Ostatné ekon.-organ.charakter</t>
  </si>
  <si>
    <t>Programové vybavenie - softvér</t>
  </si>
  <si>
    <t>Management fee - Intragroup</t>
  </si>
  <si>
    <t>IT služby - AubobinckCZ</t>
  </si>
  <si>
    <t>Sprostredkovateľské provízie</t>
  </si>
  <si>
    <t>Náklady na predĺžené záruky</t>
  </si>
  <si>
    <t>Inzercia a reklama - periodiká</t>
  </si>
  <si>
    <t>Reklamná kampaň - sales push</t>
  </si>
  <si>
    <t>Vonkajšia reklama</t>
  </si>
  <si>
    <t>Web - vlastné stránky</t>
  </si>
  <si>
    <t>Direct marketing</t>
  </si>
  <si>
    <t>Branding  na pobočke</t>
  </si>
  <si>
    <t>Ost.reklama-pren.plôch mimo AP</t>
  </si>
  <si>
    <t>Reklama-Public relations</t>
  </si>
  <si>
    <t>Náklady na akcie,výstavy,event</t>
  </si>
  <si>
    <t>Reklama - ostatná nedaňová</t>
  </si>
  <si>
    <t>Reklama+inzercia na internete</t>
  </si>
  <si>
    <t>Ostatné obchodno-market.služby</t>
  </si>
  <si>
    <t>Parkovné a stojné - nové vozy</t>
  </si>
  <si>
    <t>Prepravné</t>
  </si>
  <si>
    <t>Prepravné-náklady odťah.služby</t>
  </si>
  <si>
    <t>Lakovňa BMW</t>
  </si>
  <si>
    <t>Dielňa BMW</t>
  </si>
  <si>
    <t>Lakovňa MINI</t>
  </si>
  <si>
    <t>Dielňa MINI</t>
  </si>
  <si>
    <t>Externý servis ostatné</t>
  </si>
  <si>
    <t>Sumár - externý servis -výkony</t>
  </si>
  <si>
    <t>Nájom OOP, náradie - dielňa</t>
  </si>
  <si>
    <t>Parkovné,mytie,ost.služby</t>
  </si>
  <si>
    <t>Upratovanie, čistenie</t>
  </si>
  <si>
    <t>Odvoz odpadu</t>
  </si>
  <si>
    <t>Strážna služba</t>
  </si>
  <si>
    <t>Ostatné prev.-technické služby</t>
  </si>
  <si>
    <t>Prihlasovanie vozidiel</t>
  </si>
  <si>
    <t>Extern.čistenie skladových voz</t>
  </si>
  <si>
    <t>Poplatky za prevozné značky</t>
  </si>
  <si>
    <t>Cestovné a ubytovanie - nedaňové</t>
  </si>
  <si>
    <t>Služby nedaňové</t>
  </si>
  <si>
    <t>Sumár - ostatné služby</t>
  </si>
  <si>
    <t>Sumár - služby</t>
  </si>
  <si>
    <t>Osobné náklady</t>
  </si>
  <si>
    <t>Mzdové náklady</t>
  </si>
  <si>
    <t>Mzdy</t>
  </si>
  <si>
    <t>Mzdy - prémie</t>
  </si>
  <si>
    <t>Mzdy - mimoriadne odmeny</t>
  </si>
  <si>
    <t>Priame mzdy - servis</t>
  </si>
  <si>
    <t>Mzdové náklady - PN prvých 10</t>
  </si>
  <si>
    <t>Mzdy-tvorba rezervy na dovolen</t>
  </si>
  <si>
    <t>Mzdy - nedaňové</t>
  </si>
  <si>
    <t>Sumár - mzdové náklady</t>
  </si>
  <si>
    <t>Príjmy spoloč.a členov druž.</t>
  </si>
  <si>
    <t>Sumár-príj.spoloč.a členov dr.</t>
  </si>
  <si>
    <t>Odm.čl.org.spol.a druž.</t>
  </si>
  <si>
    <t>Sumár-Odm.čl.org.spol.a druž.</t>
  </si>
  <si>
    <t>Zákonné sociálne poistenie</t>
  </si>
  <si>
    <t>Zdravotné poistenie</t>
  </si>
  <si>
    <t>Odvody k rezerve na odmeny</t>
  </si>
  <si>
    <t>Odvody k priamym mzdám</t>
  </si>
  <si>
    <t>Tvorba rezer. na poist.z dovol</t>
  </si>
  <si>
    <t>Sumár - zák. sociálne poist.</t>
  </si>
  <si>
    <t>Ost. soc. poistenie</t>
  </si>
  <si>
    <t>Sumár - Ost. soc. poistenie</t>
  </si>
  <si>
    <t>Soc.nákl.FO - podnik.</t>
  </si>
  <si>
    <t>Sumár - Soc.nákl.FO - podnik.</t>
  </si>
  <si>
    <t>Zákonné sociálne náklady</t>
  </si>
  <si>
    <t>Príspevok na stravovanie</t>
  </si>
  <si>
    <t>Tvorba sociálneho fondu</t>
  </si>
  <si>
    <t>Rekreačné poukazy</t>
  </si>
  <si>
    <t>Ostatné sociálne náklady</t>
  </si>
  <si>
    <t>Tvorba SF nad rámec - nedaňová</t>
  </si>
  <si>
    <t>Sumár - zák. sociálne náklady</t>
  </si>
  <si>
    <t>Sociálne náklady - nedaňové</t>
  </si>
  <si>
    <t>Sumár - ost. sociálne náklady</t>
  </si>
  <si>
    <t>Sumár - osobné náklady</t>
  </si>
  <si>
    <t>Cestná daň</t>
  </si>
  <si>
    <t>Sumár - cestná daň</t>
  </si>
  <si>
    <t>Daň z nehnuteľnosti</t>
  </si>
  <si>
    <t>Sumár - daň z nehnuteľnosti</t>
  </si>
  <si>
    <t>Poplatky v kolkoch</t>
  </si>
  <si>
    <t>Ostatné dane a poplatky -súdne</t>
  </si>
  <si>
    <t>Ost. dane a koncesionárske pop</t>
  </si>
  <si>
    <t>Sumár - ost.dane a poplatky</t>
  </si>
  <si>
    <t>Sumár - dane a poplatky</t>
  </si>
  <si>
    <t>Iné náklady na hosp. činnosť</t>
  </si>
  <si>
    <t>ZC predaného DNM a DHIM</t>
  </si>
  <si>
    <t>ZC predaného HIM - zariadenia</t>
  </si>
  <si>
    <t>ZC predaného majetku -inventár</t>
  </si>
  <si>
    <t>ZC - autá predvádzacie</t>
  </si>
  <si>
    <t>ZC - autá servisné NVS</t>
  </si>
  <si>
    <t>ZC - autá ostatné</t>
  </si>
  <si>
    <t>ZC voz. maj. BMW 3</t>
  </si>
  <si>
    <t>ZC voz. maj. BMW 5</t>
  </si>
  <si>
    <t>ZC voz. maj. BMW X5</t>
  </si>
  <si>
    <t>ZC voz. maj. BMW Z</t>
  </si>
  <si>
    <t>Podpory a zmeny ceny DEMO</t>
  </si>
  <si>
    <t>Podpory a zmeny ceny NVS</t>
  </si>
  <si>
    <t>Zmena predplatby na podp.DEMO</t>
  </si>
  <si>
    <t>SSCC DEMO podpora</t>
  </si>
  <si>
    <t>Sumár -ZC predaného DNM a DHIM</t>
  </si>
  <si>
    <t>Predaný materiál</t>
  </si>
  <si>
    <t>Predaný materiál - ND BMW</t>
  </si>
  <si>
    <t>Sumár - predaný mat. ND BMW</t>
  </si>
  <si>
    <t>Predaný materiál - ND MINI</t>
  </si>
  <si>
    <t>Sumár - predaný mat. ND MINI</t>
  </si>
  <si>
    <t>Sumár - Predaný materiál</t>
  </si>
  <si>
    <t>Dary</t>
  </si>
  <si>
    <t>Sumár - dary</t>
  </si>
  <si>
    <t>Úroky z omeškania dodávok BMW</t>
  </si>
  <si>
    <t>Ostatné zmluvné pokuty</t>
  </si>
  <si>
    <t>Sumár -zmluvné pokuty a penále</t>
  </si>
  <si>
    <t>Ostatné pokuty,penále, úr.z om</t>
  </si>
  <si>
    <t>Ostatné pokuty a penále</t>
  </si>
  <si>
    <t>Sumár -ostatné pokuty a penále</t>
  </si>
  <si>
    <t>Odpis pohľadávky</t>
  </si>
  <si>
    <t>Odpis pohľadávky - nedaňový</t>
  </si>
  <si>
    <t>Odpis pohľadávky - daňový</t>
  </si>
  <si>
    <t>Sumár - odpis pohľadávky</t>
  </si>
  <si>
    <t>Tvorba a zúč.opr.pol.k pohľ.</t>
  </si>
  <si>
    <t>Sumár-Tvor.a zúč.op.pol.k pohľ</t>
  </si>
  <si>
    <t>Ostatné nákl.na hosp.činnosť</t>
  </si>
  <si>
    <t>Centové vyrovnanie</t>
  </si>
  <si>
    <t>Ost.prev.N-trovy exekúcie</t>
  </si>
  <si>
    <t>Poistenie mot. voz./PZP+KASKO/</t>
  </si>
  <si>
    <t>Poistenie zásob</t>
  </si>
  <si>
    <t>Poistenie zodpovednosti firmy</t>
  </si>
  <si>
    <t>Poist.prepravy zásielok,výstav</t>
  </si>
  <si>
    <t>Poist zodpovednost-zamestnanci</t>
  </si>
  <si>
    <t>Reklamácie predaných vozidiel</t>
  </si>
  <si>
    <t>Spoluúčasti - opravy APBA voz.</t>
  </si>
  <si>
    <t>Spoluúčasť na opravách servisu</t>
  </si>
  <si>
    <t>Odpis neuznaných vrátených ND</t>
  </si>
  <si>
    <t>Náklady na zošrotované ND</t>
  </si>
  <si>
    <t>Ost.prev.nákl.-nedaňové</t>
  </si>
  <si>
    <t>Nevyžiadaná DPH</t>
  </si>
  <si>
    <t>Nevyžiadaná DPH - nedaňová</t>
  </si>
  <si>
    <t>Sumár - ostatné N na hosp.čin.</t>
  </si>
  <si>
    <t>Manká a škody</t>
  </si>
  <si>
    <t>Manká a škody na HIM a DHIM</t>
  </si>
  <si>
    <t>Manká a škody - sklad ND</t>
  </si>
  <si>
    <t>Manká a škody - krádež vozidla</t>
  </si>
  <si>
    <t>Sumár - manká a škody</t>
  </si>
  <si>
    <t>Sumár - iné nákl.na hosp.činn.</t>
  </si>
  <si>
    <t>Odpisy,rez.a opr.pol.prev.nákl</t>
  </si>
  <si>
    <t>Odpisy</t>
  </si>
  <si>
    <t>Odpisy - softvér a ost. NIM</t>
  </si>
  <si>
    <t>Odpisy - budovy a stavby</t>
  </si>
  <si>
    <t>Odpisy - ostatný HIM</t>
  </si>
  <si>
    <t>Odpisy - autá predvádzacie</t>
  </si>
  <si>
    <t>Odpisy - autá servisné NVS</t>
  </si>
  <si>
    <t>Odpisy - autá ostatné</t>
  </si>
  <si>
    <t>Odpisy - hardware nad limit</t>
  </si>
  <si>
    <t>Odpisy - servisné vyb. nad lim</t>
  </si>
  <si>
    <t>Odpisy - inventár nad limit</t>
  </si>
  <si>
    <t>Odpisy - OCS značenie nad lim.</t>
  </si>
  <si>
    <t>Odpisy - drobný hardware</t>
  </si>
  <si>
    <t>Odpisy - drobná kanc. technika</t>
  </si>
  <si>
    <t>Odpisy - drob. servisné vybav.</t>
  </si>
  <si>
    <t>Odpisy - drobný inventár</t>
  </si>
  <si>
    <t>Odpisy - drboné OCS značenie</t>
  </si>
  <si>
    <t>Odpisy špeciálne náradie serv.</t>
  </si>
  <si>
    <t>Sumár - odpisy</t>
  </si>
  <si>
    <t>Tvor.a zúč.opr.pol. k DM</t>
  </si>
  <si>
    <t>Opravné položky k DEMO autám</t>
  </si>
  <si>
    <t>Opravné položky k NVS autám</t>
  </si>
  <si>
    <t>Sumár-Tvor.a zúč.opr.pol. k DM</t>
  </si>
  <si>
    <t>Zúčt.oprávky k opr.pol.k maj.</t>
  </si>
  <si>
    <t>Sumár - zúčt.opráv.k opr.pol.m</t>
  </si>
  <si>
    <t>Tvorba opravných položiek</t>
  </si>
  <si>
    <t>Tvorba OP k pohľ.-nedaňové</t>
  </si>
  <si>
    <t>Sumár - tvorba OP</t>
  </si>
  <si>
    <t>Sumár - odpisy,rezervy a OP</t>
  </si>
  <si>
    <t>Finančné náklady</t>
  </si>
  <si>
    <t>Predané CP a vklady</t>
  </si>
  <si>
    <t>Sumár - Predané CP a vklady</t>
  </si>
  <si>
    <t>Úroky</t>
  </si>
  <si>
    <t>Úroky bankové</t>
  </si>
  <si>
    <t>Úroky z financovania vozidiel</t>
  </si>
  <si>
    <t>Úroky za skupinové úvery</t>
  </si>
  <si>
    <t>Sumár - úroky</t>
  </si>
  <si>
    <t>Kurzové straty</t>
  </si>
  <si>
    <t>Kurzové straty z obch.činnosti</t>
  </si>
  <si>
    <t>Kurzové straty nerealizované</t>
  </si>
  <si>
    <t>Sumár - kurzové straty</t>
  </si>
  <si>
    <t>Ostatné finančné náklady</t>
  </si>
  <si>
    <t>Bankové poplatky ostatné</t>
  </si>
  <si>
    <t>Bankové poplatky z terminálu</t>
  </si>
  <si>
    <t>Poistenie mot.vozidiel</t>
  </si>
  <si>
    <t>Poistenie mot.voz.-zákonné</t>
  </si>
  <si>
    <t>Poistenie tovaru - voz., ND</t>
  </si>
  <si>
    <t>Poistenie zodpoved.za škodu</t>
  </si>
  <si>
    <t>Poistenie - cestovné a asist.</t>
  </si>
  <si>
    <t>Sumár - ost. finančné náklady</t>
  </si>
  <si>
    <t>Manká a škody na fin.maj.</t>
  </si>
  <si>
    <t>Sumár-Manká a šk. na fin. maj.</t>
  </si>
  <si>
    <t>Sumár - finančné náklady</t>
  </si>
  <si>
    <t>Mimoriadne náklady</t>
  </si>
  <si>
    <t>Škody</t>
  </si>
  <si>
    <t>Sumár - škody</t>
  </si>
  <si>
    <t>Ostatné mimoriadne náklady</t>
  </si>
  <si>
    <t>Sumár - ostat.mimoriadne nákl.</t>
  </si>
  <si>
    <t>Tvorba opr.pol.-ND + ost.</t>
  </si>
  <si>
    <t>Sumár -Tv.opr.polož. - ND+ost.</t>
  </si>
  <si>
    <t>Sumár - mimoriadne náklady</t>
  </si>
  <si>
    <t>Dane z príjmov a prevodov. účt</t>
  </si>
  <si>
    <t>Daň.ter.vkl.+príjmy z čin.</t>
  </si>
  <si>
    <t>DzP PO  z bankových účtov</t>
  </si>
  <si>
    <t>Daň z príjmov z bez. činnosti</t>
  </si>
  <si>
    <t>Sumár-daň.ter.vkl.+pr.z čin.sp</t>
  </si>
  <si>
    <t>Daň z príjmov z bežnej činn.</t>
  </si>
  <si>
    <t>Daň z príjmov z bež.čin.-odlož</t>
  </si>
  <si>
    <t>Sumár-daň z príj.z bež.čin.</t>
  </si>
  <si>
    <t>Daň z príj.z mimor.čin.-splat.</t>
  </si>
  <si>
    <t>Sumár-Daň z príj.z mim.čin.-sp</t>
  </si>
  <si>
    <t>Daň z príj.z mimor.čin.-odlož.</t>
  </si>
  <si>
    <t>Sumár-Daň z príj.z mim.čin.-od</t>
  </si>
  <si>
    <t>Dodatočné odvody dane z príj.</t>
  </si>
  <si>
    <t>Sumár-dodat.odvod.dane z príj.</t>
  </si>
  <si>
    <t>Sumár - Dane z príj.a prev.účt</t>
  </si>
  <si>
    <t>Sumár - náklady</t>
  </si>
  <si>
    <t>Súčet</t>
  </si>
  <si>
    <t>Tržby z predaja služieb</t>
  </si>
  <si>
    <t>Tržby za servis</t>
  </si>
  <si>
    <t>Tržby - servis - subdodávky</t>
  </si>
  <si>
    <t>Tržby servis - BMW externé</t>
  </si>
  <si>
    <t>Tržby servis - BMW bežný serv.</t>
  </si>
  <si>
    <t>Trž.Vrakuňa- lakovací materiál</t>
  </si>
  <si>
    <t>Trž.Vrakuňa - spotrebný mat.</t>
  </si>
  <si>
    <t>Tržby servis - MINI externé</t>
  </si>
  <si>
    <t>Tržby sevis ostatné</t>
  </si>
  <si>
    <t>Tržby servis pneu</t>
  </si>
  <si>
    <t>Tržby servis - odťah vozidla</t>
  </si>
  <si>
    <t>Tržby servis PHM a mazivá</t>
  </si>
  <si>
    <t>Sumár - tržby za externý servis</t>
  </si>
  <si>
    <t>Tržby práca - externé zákazky</t>
  </si>
  <si>
    <t>Tržby za požičanie cudzeho NV</t>
  </si>
  <si>
    <t>Zľavy - práca - Servis externé zákazky</t>
  </si>
  <si>
    <t>Tržby za odťah vozidiel</t>
  </si>
  <si>
    <t>Výnosy servisu - SERVIS BSI</t>
  </si>
  <si>
    <t>Výjazd BMW</t>
  </si>
  <si>
    <t>Bonusy od poisťovní</t>
  </si>
  <si>
    <t>Tržby práca - BSI zákazky</t>
  </si>
  <si>
    <t>Tržby práca - garancie</t>
  </si>
  <si>
    <t>Výnosy z prenájmu motor.voz.</t>
  </si>
  <si>
    <t>Prenájom k predanému NV</t>
  </si>
  <si>
    <t>Prenájom k predanému OV</t>
  </si>
  <si>
    <t>Provízie - financovanie</t>
  </si>
  <si>
    <t>Provízie - poistenie</t>
  </si>
  <si>
    <t>Bonusy od LS</t>
  </si>
  <si>
    <t>Provízia - diplomatic sales</t>
  </si>
  <si>
    <t>SSCC diplo DEMO / JV</t>
  </si>
  <si>
    <t>Predané predĺžené záruky</t>
  </si>
  <si>
    <t>Uskladnenie pneumatík</t>
  </si>
  <si>
    <t>Tržby  - predaj šrotu a obalov</t>
  </si>
  <si>
    <t>Výnosy z predaja sl. ostatné</t>
  </si>
  <si>
    <t>Podpory k personálnym nákladom</t>
  </si>
  <si>
    <t>Prihlas. voz. a reg. poplatky</t>
  </si>
  <si>
    <t>Provízie za komisný predaj JV</t>
  </si>
  <si>
    <t>Vystavovanie komisnych JV</t>
  </si>
  <si>
    <t>Poplatok pri predaji JV</t>
  </si>
  <si>
    <t>Tržby- sprostredk.prihlásenia</t>
  </si>
  <si>
    <t>Sprostredkovanie predaja JV</t>
  </si>
  <si>
    <t>Sumár - tržby z predaja služ.</t>
  </si>
  <si>
    <t>Tržby za tovar</t>
  </si>
  <si>
    <t>Tržby za predaj ND -Trade</t>
  </si>
  <si>
    <t>Zľavy  za predaj ND -Trade</t>
  </si>
  <si>
    <t>Tržby za predaj ND - Retail</t>
  </si>
  <si>
    <t>Zľavy k predaju ND- Retail</t>
  </si>
  <si>
    <t>BMW - BONUSY pre zákazníkov JV - nepoužívať</t>
  </si>
  <si>
    <t>Sumár - predaj ND cez PULT</t>
  </si>
  <si>
    <t>Tržby ND servis - externé zákazky</t>
  </si>
  <si>
    <t>Podpory k tržbám za servis</t>
  </si>
  <si>
    <t>Zľavy k ND Servis</t>
  </si>
  <si>
    <t>MINI - BONUSY pre zákazníkov</t>
  </si>
  <si>
    <t>Tržby ND - BSI zákazky</t>
  </si>
  <si>
    <t>Tržby ND - Garancie</t>
  </si>
  <si>
    <t>Tržby - ND - Garancie príplatky</t>
  </si>
  <si>
    <t>OSTATNÉ BONUSY pre zákazníkov</t>
  </si>
  <si>
    <t>Tržby nové vozidlá</t>
  </si>
  <si>
    <t>Zľavy NV</t>
  </si>
  <si>
    <t>Ostatné tržby NV</t>
  </si>
  <si>
    <t>Sumár - za pred.jazdených voz.</t>
  </si>
  <si>
    <t>Tržby - jazdené vozidlá</t>
  </si>
  <si>
    <t>Tržby za Garancie k predaným JV</t>
  </si>
  <si>
    <t>Zľavy - jazdené vozidlá</t>
  </si>
  <si>
    <t>Bonusy</t>
  </si>
  <si>
    <t>Bonusy ND</t>
  </si>
  <si>
    <t>Sumár - bonusy</t>
  </si>
  <si>
    <t>Tržby - GardX</t>
  </si>
  <si>
    <t>Sumár - tržby za tovar</t>
  </si>
  <si>
    <t>Sumár - tržby za vl.výk.a tov.</t>
  </si>
  <si>
    <t>Zmeny stavu vnútroorg.zás.</t>
  </si>
  <si>
    <t>Zmena stavu nedok.výr.</t>
  </si>
  <si>
    <t>Zmena stavu nedok.výr.-garančk</t>
  </si>
  <si>
    <t>Aktivácia materiálu</t>
  </si>
  <si>
    <t>Aktivácia práce</t>
  </si>
  <si>
    <t>Aktivácia materiálu - ND</t>
  </si>
  <si>
    <t>Aktivácia - PREDĽŽENÉ ZÁRUKY</t>
  </si>
  <si>
    <t>Aktivácia ostatných nákladov</t>
  </si>
  <si>
    <t>Sumár - Aktivácia materiálu</t>
  </si>
  <si>
    <t>Aktivácia vnútroorg.služieb</t>
  </si>
  <si>
    <t>Aktiv.služ.-servis dovyb.BMW</t>
  </si>
  <si>
    <t>Sumár-Aktiv. vnútroorg.služieb</t>
  </si>
  <si>
    <t>Aktiv.dlhodb.NIM</t>
  </si>
  <si>
    <t>Sumár - Aktiv.dlhodb.NIM</t>
  </si>
  <si>
    <t>Aktivácia dlhodobého majetku</t>
  </si>
  <si>
    <t>Sumár-Aktiv. dlhodobého maj.</t>
  </si>
  <si>
    <t>Sumár - Aktivácia</t>
  </si>
  <si>
    <t>Iné výnosy z hosp. činnosti</t>
  </si>
  <si>
    <t>Tržby z predaja IM</t>
  </si>
  <si>
    <t>Výnosy z pred.HIM-inventár</t>
  </si>
  <si>
    <t>Tržby z prodeje majet. voz.</t>
  </si>
  <si>
    <t>Tržby - autá predvádzacie</t>
  </si>
  <si>
    <t>Tržby - autá servisné NVS</t>
  </si>
  <si>
    <t>Tržby - autá ostatné</t>
  </si>
  <si>
    <t>Tržby maj voz BMW 1</t>
  </si>
  <si>
    <t>Tržby maj voz BMW 3</t>
  </si>
  <si>
    <t>Tržby maj voz BMW 5</t>
  </si>
  <si>
    <t>Tržby maj voz BMW 6</t>
  </si>
  <si>
    <t>Tržby maj voz BMW 7</t>
  </si>
  <si>
    <t>Tržby maj voz BMW X1</t>
  </si>
  <si>
    <t>Tržby maj voz BMW X3</t>
  </si>
  <si>
    <t>Tržby maj voz BMW X5</t>
  </si>
  <si>
    <t>Tržby maj voz MINI Cooper</t>
  </si>
  <si>
    <t>Tržby maj voz MINI Ostatní</t>
  </si>
  <si>
    <t>Tržby maj voz OSTATNI</t>
  </si>
  <si>
    <t>BMW - bonusy pre zákazníkov</t>
  </si>
  <si>
    <t>Sumár-Tržby z predaja IM</t>
  </si>
  <si>
    <t>Tržby z predaja mater.</t>
  </si>
  <si>
    <t>ND MINI - medzi dealermi</t>
  </si>
  <si>
    <t>Sumár - Tržby z predaja mater.</t>
  </si>
  <si>
    <t>Zml. pokuta z odstúpenia KZ</t>
  </si>
  <si>
    <t>Sumár-Zmluvné pokuty a penále</t>
  </si>
  <si>
    <t>Ostané pokuty a penále</t>
  </si>
  <si>
    <t>Sumár-Ostatné pokuty a penále</t>
  </si>
  <si>
    <t>Výn.z odp. pohľadávok ODP.pol.</t>
  </si>
  <si>
    <t>Sumár-Výn.z odp.pohľ.ODP.pol.</t>
  </si>
  <si>
    <t>Ostat.výnosy z hosp.činnosti</t>
  </si>
  <si>
    <t>Ostatné prevádzkové výnosy</t>
  </si>
  <si>
    <t>OPV-sklad ND</t>
  </si>
  <si>
    <t>OPV-dealeri bonsai</t>
  </si>
  <si>
    <t>Refundácia DPH zaplatenej v EÚ</t>
  </si>
  <si>
    <t>Dotace mzdy</t>
  </si>
  <si>
    <t>Zúčtované preplatky pohľadávok</t>
  </si>
  <si>
    <t>OVP Marketing ostatné</t>
  </si>
  <si>
    <t>OPV poistné události</t>
  </si>
  <si>
    <t>Poistné plnenie k pred. voz.</t>
  </si>
  <si>
    <t>Refakt.spolúčasti pri nehodách</t>
  </si>
  <si>
    <t>OPV - poistenie</t>
  </si>
  <si>
    <t>OPV Odúčtovanie záväzkov z min</t>
  </si>
  <si>
    <t>Podpora -šrotované/vrátené ND</t>
  </si>
  <si>
    <t>Nežiadaná DPH z EU - PP</t>
  </si>
  <si>
    <t>Sumár-Ost.výn. z hosp.činnosti</t>
  </si>
  <si>
    <t>Sumár-Iné výn. z hosp.činnosti</t>
  </si>
  <si>
    <t>Prijaté úroky v EUR</t>
  </si>
  <si>
    <t>Kurzové zisky</t>
  </si>
  <si>
    <t>Kurzové zisky z obch. činnosti</t>
  </si>
  <si>
    <t>Kurzové zisky NEREALIZOVANÉ</t>
  </si>
  <si>
    <t>Sumár - Kurzové zisky</t>
  </si>
  <si>
    <t>Ostatné finančné výnosy</t>
  </si>
  <si>
    <t>Sumár-Ostatné finančné výnosy</t>
  </si>
  <si>
    <t>Sumár - Finančné výnosy</t>
  </si>
  <si>
    <t>Mimoriadne výnosy</t>
  </si>
  <si>
    <t>Mim. výnosy - ostatné</t>
  </si>
  <si>
    <t>Sumár - Mimoriadne výnosy</t>
  </si>
  <si>
    <t>Sumár - Výnosy</t>
  </si>
  <si>
    <t>Závierkove a podsúvahové účty</t>
  </si>
  <si>
    <t>Nadpis</t>
  </si>
  <si>
    <t>Začiatočný účet súvahový</t>
  </si>
  <si>
    <t>Konečný účet súvahový</t>
  </si>
  <si>
    <t>Účet ziskov a strát</t>
  </si>
  <si>
    <t>Sumár 7xx - závierkové účty</t>
  </si>
  <si>
    <t>Vnútr. nákl.  - PDI</t>
  </si>
  <si>
    <t>Vnútr. nákl.  - Dovybavenie</t>
  </si>
  <si>
    <t>Vnútr. nákl.  - Interné opravy</t>
  </si>
  <si>
    <t>Vnútr. náklady - Zberné zákazky</t>
  </si>
  <si>
    <t>Vnútr. nákl. - Jazdené vozidlá</t>
  </si>
  <si>
    <t>Vnútr.nákl. - Kulancie</t>
  </si>
  <si>
    <t>Presun marže z NV do OV</t>
  </si>
  <si>
    <t>Sumár 899 - vnútropodnikové náklady</t>
  </si>
  <si>
    <t>Vnútr.tržby ND - PDI</t>
  </si>
  <si>
    <t>Vnútr.tržby ND - Dovybavenie</t>
  </si>
  <si>
    <t>Vnútr.tržby ND - Int. opravy</t>
  </si>
  <si>
    <t>Vnútr.tržby ND - Zberné zákazk</t>
  </si>
  <si>
    <t>Vnútr.tržby ND - Jazdené vozidlá</t>
  </si>
  <si>
    <t>Vnútr,tržby ND - Kulancie</t>
  </si>
  <si>
    <t>Vnútr.tržby Práca - PDI</t>
  </si>
  <si>
    <t>Vnútr.tržby Práca - Dovybaveni</t>
  </si>
  <si>
    <t>Vnútr.tržby Práca - Int.opravy</t>
  </si>
  <si>
    <t>Vnútr.tržby Práca - Zberne</t>
  </si>
  <si>
    <t>Vnútr.tržby Práca - Jazdené vo</t>
  </si>
  <si>
    <t>Vnútr.tržby Práca - Kulancie</t>
  </si>
  <si>
    <t>Predĺžené záruky - itnerné</t>
  </si>
  <si>
    <t>Interné zákazky - PHM</t>
  </si>
  <si>
    <t>Interné zák. - uskladnenie PNE</t>
  </si>
  <si>
    <t>VP výnosy - subdodávky</t>
  </si>
  <si>
    <t>Sumár 999  - vnútropodnikové výnosy</t>
  </si>
  <si>
    <t>H/V</t>
  </si>
  <si>
    <t>Zisk/Strata</t>
  </si>
  <si>
    <t>H/V  DANE</t>
  </si>
  <si>
    <t>H/V PRED DP</t>
  </si>
  <si>
    <t>Zisk / Strata pred zdanením</t>
  </si>
  <si>
    <t>H/V UZ</t>
  </si>
  <si>
    <t>Súčet Vnútropod N+V</t>
  </si>
  <si>
    <r>
      <t>Účtovná závierka spoločnosti za predchádzajúce účtovné obdobie k 31. decembru 2019 bola schválená valným zhromaždením spoločnosti d</t>
    </r>
    <r>
      <rPr>
        <sz val="10"/>
        <rFont val="Arial"/>
        <family val="2"/>
        <charset val="238"/>
      </rPr>
      <t>ňa 30.6.2020.</t>
    </r>
  </si>
  <si>
    <t>Odpisy dlhodobého nehmotného majetku sú stanovené vychádzajúc z predpokladanej doby jeho používania a predpokladaného priebehu jeho opotrebenia. Odpisovať sa začína prvým dňom mesiaca nasledujúceho po uvedení dlhodobéhomajetku do pužívania. Drobný dlhodobý nehmotný majetok, ktorého obstarávacia cena je 2400 Eur a nižšia, sa odpisuje jednorazovo pri uvedení do používania. Predpokladaná doba používania, metóda odpisovania a odpisová sadza sú uvedené v nasledujúcej tabuľke</t>
  </si>
  <si>
    <t>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1700 Eur a nižšia, sa odpisuje jednorazovo pri uvedení do používania. Predpokladaná doba používania, metóda odpisovania a odpisová sadzba sú uvedené v nasledujúcej tabuľke</t>
  </si>
  <si>
    <r>
      <t xml:space="preserve">Dlhodobý majetok je poistený v poisťovni UNIQA cez makléra Aon Central and Eastern Europe a.s. Celková poistná suma je 306.975.000 CZK </t>
    </r>
    <r>
      <rPr>
        <b/>
        <sz val="10"/>
        <rFont val="Arial"/>
        <family val="2"/>
        <charset val="238"/>
      </rPr>
      <t xml:space="preserve"> </t>
    </r>
    <r>
      <rPr>
        <sz val="10"/>
        <rFont val="Arial"/>
        <family val="2"/>
        <charset val="238"/>
      </rPr>
      <t>Zmluva sa obnovuje každoročne.</t>
    </r>
  </si>
  <si>
    <t>€.</t>
  </si>
  <si>
    <t>Pohľadávky voči spriazneným osobám predstavujú</t>
  </si>
  <si>
    <t>Všetky rezervy budú použité v roku 2021.</t>
  </si>
  <si>
    <t>prijaté SSCC a iné provízie a podpory za autá, ktoré budú dodané v ďalšom období</t>
  </si>
  <si>
    <t>RS</t>
  </si>
  <si>
    <t>Otvárací stav</t>
  </si>
  <si>
    <t>Syntetika</t>
  </si>
  <si>
    <t>Označenia riadkov</t>
  </si>
  <si>
    <t>100</t>
  </si>
  <si>
    <t>13</t>
  </si>
  <si>
    <t>130</t>
  </si>
  <si>
    <t>131</t>
  </si>
  <si>
    <t>132</t>
  </si>
  <si>
    <t>139</t>
  </si>
  <si>
    <t>196</t>
  </si>
  <si>
    <t>21</t>
  </si>
  <si>
    <t>211</t>
  </si>
  <si>
    <t>213</t>
  </si>
  <si>
    <t>22</t>
  </si>
  <si>
    <t>221</t>
  </si>
  <si>
    <t>231</t>
  </si>
  <si>
    <t>261</t>
  </si>
  <si>
    <t>28</t>
  </si>
  <si>
    <t>29</t>
  </si>
  <si>
    <t>311</t>
  </si>
  <si>
    <t>314</t>
  </si>
  <si>
    <t>315</t>
  </si>
  <si>
    <t>321</t>
  </si>
  <si>
    <t>323</t>
  </si>
  <si>
    <t>324</t>
  </si>
  <si>
    <t>325</t>
  </si>
  <si>
    <t>326</t>
  </si>
  <si>
    <t>331</t>
  </si>
  <si>
    <t>333</t>
  </si>
  <si>
    <t>335</t>
  </si>
  <si>
    <t>336</t>
  </si>
  <si>
    <t>341</t>
  </si>
  <si>
    <t>342</t>
  </si>
  <si>
    <t>343</t>
  </si>
  <si>
    <t>345</t>
  </si>
  <si>
    <t>346</t>
  </si>
  <si>
    <t>351</t>
  </si>
  <si>
    <t>358</t>
  </si>
  <si>
    <t>361</t>
  </si>
  <si>
    <t>366</t>
  </si>
  <si>
    <t>371</t>
  </si>
  <si>
    <t>378</t>
  </si>
  <si>
    <t>379</t>
  </si>
  <si>
    <t>381</t>
  </si>
  <si>
    <t>382</t>
  </si>
  <si>
    <t>383</t>
  </si>
  <si>
    <t>384</t>
  </si>
  <si>
    <t>385</t>
  </si>
  <si>
    <t>391</t>
  </si>
  <si>
    <t>395</t>
  </si>
  <si>
    <t>41</t>
  </si>
  <si>
    <t>411</t>
  </si>
  <si>
    <t>413</t>
  </si>
  <si>
    <t>42</t>
  </si>
  <si>
    <t>421</t>
  </si>
  <si>
    <t>427</t>
  </si>
  <si>
    <t>428</t>
  </si>
  <si>
    <t>429</t>
  </si>
  <si>
    <t>431</t>
  </si>
  <si>
    <t>472</t>
  </si>
  <si>
    <t>481</t>
  </si>
  <si>
    <t>501</t>
  </si>
  <si>
    <t>502</t>
  </si>
  <si>
    <t>503</t>
  </si>
  <si>
    <t>504</t>
  </si>
  <si>
    <t>505</t>
  </si>
  <si>
    <t>511</t>
  </si>
  <si>
    <t>512</t>
  </si>
  <si>
    <t>513</t>
  </si>
  <si>
    <t>518</t>
  </si>
  <si>
    <t>521</t>
  </si>
  <si>
    <t>522</t>
  </si>
  <si>
    <t>523</t>
  </si>
  <si>
    <t>524</t>
  </si>
  <si>
    <t>527</t>
  </si>
  <si>
    <t>528</t>
  </si>
  <si>
    <t>531</t>
  </si>
  <si>
    <t>538</t>
  </si>
  <si>
    <t>541</t>
  </si>
  <si>
    <t>542</t>
  </si>
  <si>
    <t>543</t>
  </si>
  <si>
    <t>544</t>
  </si>
  <si>
    <t>545</t>
  </si>
  <si>
    <t>546</t>
  </si>
  <si>
    <t>547</t>
  </si>
  <si>
    <t>548</t>
  </si>
  <si>
    <t>549</t>
  </si>
  <si>
    <t>551</t>
  </si>
  <si>
    <t>553</t>
  </si>
  <si>
    <t>559</t>
  </si>
  <si>
    <t>562</t>
  </si>
  <si>
    <t>563</t>
  </si>
  <si>
    <t>568</t>
  </si>
  <si>
    <t>588</t>
  </si>
  <si>
    <t>591</t>
  </si>
  <si>
    <t>592</t>
  </si>
  <si>
    <t>595</t>
  </si>
  <si>
    <t>602</t>
  </si>
  <si>
    <t>604</t>
  </si>
  <si>
    <t>611</t>
  </si>
  <si>
    <t>621</t>
  </si>
  <si>
    <t>622</t>
  </si>
  <si>
    <t>641</t>
  </si>
  <si>
    <t>642</t>
  </si>
  <si>
    <t>644</t>
  </si>
  <si>
    <t>646</t>
  </si>
  <si>
    <t>648</t>
  </si>
  <si>
    <t>662</t>
  </si>
  <si>
    <t>663</t>
  </si>
  <si>
    <t>668</t>
  </si>
  <si>
    <t>688</t>
  </si>
  <si>
    <t>701</t>
  </si>
  <si>
    <t>702</t>
  </si>
  <si>
    <t>710</t>
  </si>
  <si>
    <t>(prázdne)</t>
  </si>
  <si>
    <t>Celkový súčet</t>
  </si>
  <si>
    <t>Súčet z Saldo ku dňu</t>
  </si>
  <si>
    <t>013</t>
  </si>
  <si>
    <t>021</t>
  </si>
  <si>
    <t>022</t>
  </si>
  <si>
    <t>028</t>
  </si>
  <si>
    <t>029</t>
  </si>
  <si>
    <t>041</t>
  </si>
  <si>
    <t>042</t>
  </si>
  <si>
    <t>073</t>
  </si>
  <si>
    <t>081</t>
  </si>
  <si>
    <t>082</t>
  </si>
  <si>
    <t>089</t>
  </si>
  <si>
    <t>092</t>
  </si>
  <si>
    <t>Bežné obdobie</t>
  </si>
  <si>
    <t>Minulé obdobie</t>
  </si>
  <si>
    <t>Čistý obrat (časť účt.tr.6 podľa zákona)</t>
  </si>
  <si>
    <t>Výnosy z hospodárskej činnosti spolu súčet (r.03 až r.09)</t>
  </si>
  <si>
    <t>Tržby z predaja tovaru (604,607)</t>
  </si>
  <si>
    <t>Tržby z predaja vlastných výrobkov (601)</t>
  </si>
  <si>
    <t>Tržby z predaja vlastných služieb (602,606)</t>
  </si>
  <si>
    <t>Zmeny stavu vnútroorganizačných zásob (+/- účtová skupina 61)</t>
  </si>
  <si>
    <t>Aktivácia (účt.skupina 62)</t>
  </si>
  <si>
    <t>Tržby z predaja dlhodobého nehmotného majetku, dlhodobého hmotného majetku a materiálu (641,642)</t>
  </si>
  <si>
    <t>Ostatné výnosy z hospodárskej činnosti (644,645,646,648,655,657)</t>
  </si>
  <si>
    <t>Náklady na hosp.činnosť</t>
  </si>
  <si>
    <t>Náklady vynaložené na obstaranie predaného tovaru (504,507)</t>
  </si>
  <si>
    <t>Spotreba materiálu, energie a ost. neskaldovateľných dodávok (501,502,503,505A)</t>
  </si>
  <si>
    <t>Opravné položky k zásobám (+-)(505)</t>
  </si>
  <si>
    <t>Služby (účtová skupina 51)</t>
  </si>
  <si>
    <t>Osobné náklady  súčet(r.16 až 19)</t>
  </si>
  <si>
    <t>Mzdové náklady (521,522)</t>
  </si>
  <si>
    <t>Odmeny členom orgánov spoločnosti a družstva (523)</t>
  </si>
  <si>
    <t>Náklady na sociálne poistenie (524,525,526)</t>
  </si>
  <si>
    <t>Sociálne náklady (527,528)</t>
  </si>
  <si>
    <t>Dane a poplatky (účtová skupina 53)</t>
  </si>
  <si>
    <t>Odpisy a oprav. pol. k dlhodob.nehmot.majetku a dlhodob.hmot.majetku (r.22+r.23)</t>
  </si>
  <si>
    <t>Odpisy dlhodob.nehmot.majetku a dlhodob.hmot.majetku (551)</t>
  </si>
  <si>
    <t>Opravné položky k dlhodob.nehmot.majetku a dlhodob.hmot.majetku (553)</t>
  </si>
  <si>
    <t>Zostatková cena predaného dlhodob. maj a predaného materiálu (541,542)</t>
  </si>
  <si>
    <t>Opravné položky k pohľadávkam (+/-547)</t>
  </si>
  <si>
    <t>Ostatné náklady na hospodársku činnosť (543,544,545,546,548,549,555,557)</t>
  </si>
  <si>
    <t>Výsledok hospodárenia z hosp.činnsoti (+/-) (r.02-r.10)</t>
  </si>
  <si>
    <t>Pridaná hodnota  ( r.03+r.04+r.05+r.06+r.07) - (r.11+r.12+r.13+r.14)</t>
  </si>
  <si>
    <t>Výnosy z finančnej činnosti spolu r.30+r.31+r.35+r.39+r.42+r.43+r.44</t>
  </si>
  <si>
    <t>Tržby z predaných cenných papierov a podielov (661)</t>
  </si>
  <si>
    <t>Výnosy z dlhodobého finančného majetku r.32 až r.34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</si>
  <si>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</si>
  <si>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</si>
  <si>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</si>
  <si>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(r.36 až r.38)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</si>
  <si>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</si>
  <si>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</si>
  <si>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majektu (666A)</t>
  </si>
  <si>
    <t>Výnosové úroky (r.40+r.41)</t>
  </si>
  <si>
    <t>Výnosové úroky od prepojených účtovných jednotiek (662A)</t>
  </si>
  <si>
    <t>Ostatné  výnosové úroky (662A)</t>
  </si>
  <si>
    <t>Kurzové zisky (663)</t>
  </si>
  <si>
    <t>Výnosy z precenenia cenných papierov a výnosy z derivátových operácií (664,667)</t>
  </si>
  <si>
    <t>Ostatné výnsoy z finančnej činnosti (668)</t>
  </si>
  <si>
    <t>Náklady na finančnú činnosť spolu r.46+r.47+r.48+r.49+r.52+r.53+r.54</t>
  </si>
  <si>
    <t>Predané cenné papiere a podiely (561)</t>
  </si>
  <si>
    <t>Náklady na krátkodobý finančný majetok (566)</t>
  </si>
  <si>
    <t>Opravné položky k finanč. majetku +/- 565</t>
  </si>
  <si>
    <t>Nákladové úroky (r.50+r.51)</t>
  </si>
  <si>
    <t>Nákladové úroky pre prepojené účtovné jednotky  (562A)</t>
  </si>
  <si>
    <t>Ostatné nákladové úroky (562)</t>
  </si>
  <si>
    <t>Kurzové straty (563)</t>
  </si>
  <si>
    <t>Náklady na precenenie cenných papierov a náklady na derivátové operácie (564,567)</t>
  </si>
  <si>
    <t>Ostatné náklady na finančnú činnosť (568,569)</t>
  </si>
  <si>
    <t>Výsledok hospodárenia z finančnej činnosti (+-) (r.29+r.45)</t>
  </si>
  <si>
    <t>Výsledok hospodárenia za účtovné obdobie pred zdanením (+/-) (r. 27 + r. 55)</t>
  </si>
  <si>
    <t>Daň z príjmov z bežnej činnosti  r.58 + r.59</t>
  </si>
  <si>
    <t>splatná (591,595)</t>
  </si>
  <si>
    <t>odložená (+/- 592)</t>
  </si>
  <si>
    <t>Prevod podielov na výsledku hopsodárenia spoločníkom (+/- 596)</t>
  </si>
  <si>
    <t>Výsledok hospodárenia za účtovné obdobie po zdaneni (+/-) (r.56 - r.57 - r. 60)</t>
  </si>
  <si>
    <t>01</t>
  </si>
  <si>
    <t>02</t>
  </si>
  <si>
    <t>25</t>
  </si>
  <si>
    <t>27</t>
  </si>
  <si>
    <t>10</t>
  </si>
  <si>
    <t>03</t>
  </si>
  <si>
    <t>04</t>
  </si>
  <si>
    <t>05</t>
  </si>
  <si>
    <t>06</t>
  </si>
  <si>
    <t>07</t>
  </si>
  <si>
    <t>08</t>
  </si>
  <si>
    <t>09</t>
  </si>
  <si>
    <t>11</t>
  </si>
  <si>
    <t>12</t>
  </si>
  <si>
    <t>14</t>
  </si>
  <si>
    <t>15</t>
  </si>
  <si>
    <t>16</t>
  </si>
  <si>
    <t>17</t>
  </si>
  <si>
    <t>18</t>
  </si>
  <si>
    <t>19</t>
  </si>
  <si>
    <t>20</t>
  </si>
  <si>
    <t>23</t>
  </si>
  <si>
    <t>24</t>
  </si>
  <si>
    <t>26</t>
  </si>
  <si>
    <t>30</t>
  </si>
  <si>
    <t>31</t>
  </si>
  <si>
    <t>32</t>
  </si>
  <si>
    <t>33</t>
  </si>
  <si>
    <t>34</t>
  </si>
  <si>
    <t>35</t>
  </si>
  <si>
    <t>36</t>
  </si>
  <si>
    <t>37</t>
  </si>
  <si>
    <t>38</t>
  </si>
  <si>
    <t>39</t>
  </si>
  <si>
    <t>40</t>
  </si>
  <si>
    <t>43</t>
  </si>
  <si>
    <t>44</t>
  </si>
  <si>
    <t>45</t>
  </si>
  <si>
    <t>46</t>
  </si>
  <si>
    <t>47</t>
  </si>
  <si>
    <t>48</t>
  </si>
  <si>
    <t>49</t>
  </si>
  <si>
    <t>50</t>
  </si>
  <si>
    <t>51</t>
  </si>
  <si>
    <t>52</t>
  </si>
  <si>
    <t>53</t>
  </si>
  <si>
    <t>54</t>
  </si>
  <si>
    <t>55</t>
  </si>
  <si>
    <t>56</t>
  </si>
  <si>
    <t>57</t>
  </si>
  <si>
    <t>58</t>
  </si>
  <si>
    <t>59</t>
  </si>
  <si>
    <t>60</t>
  </si>
  <si>
    <t>61</t>
  </si>
  <si>
    <t>Číslo radu</t>
  </si>
  <si>
    <t>Popis</t>
  </si>
  <si>
    <t>AKTIVA</t>
  </si>
  <si>
    <t>A K T Í V A</t>
  </si>
  <si>
    <t>001</t>
  </si>
  <si>
    <t>Spolu majetok r.002+033+074</t>
  </si>
  <si>
    <t>002</t>
  </si>
  <si>
    <t>Neobežný majetok r.003+r.011+r.021</t>
  </si>
  <si>
    <t>003</t>
  </si>
  <si>
    <t>Dlhododbý nehmotný majetok súčet (004 až 010)</t>
  </si>
  <si>
    <t>004</t>
  </si>
  <si>
    <t>Aktivované náklady na vývoj (012)-/072,091A/</t>
  </si>
  <si>
    <t>005</t>
  </si>
  <si>
    <t>Softvér (013)-/073,091A/</t>
  </si>
  <si>
    <t>006</t>
  </si>
  <si>
    <t>Oceniteľné práva (014)-/074,091A/</t>
  </si>
  <si>
    <t>007</t>
  </si>
  <si>
    <t>Goodwill ((015)-/075,091A/</t>
  </si>
  <si>
    <t>008</t>
  </si>
  <si>
    <t>Ostatný dlhodobý nehmotný majetok (019,01X)-/079,07X,091A</t>
  </si>
  <si>
    <t>009</t>
  </si>
  <si>
    <t>Obstarávaný dlhodobý nehmotný majetok (041)-095A</t>
  </si>
  <si>
    <t>010</t>
  </si>
  <si>
    <t>Poskytnuté preddavky na dlhodobý nehmotný majetok (051)-095A</t>
  </si>
  <si>
    <t>011</t>
  </si>
  <si>
    <t>Dlhodobý hmotný majetok súčet (r.012+r. 020)</t>
  </si>
  <si>
    <t>012</t>
  </si>
  <si>
    <t>Pozemky (031)-092A</t>
  </si>
  <si>
    <t>Stavby (021)-/081,092A/</t>
  </si>
  <si>
    <t>014</t>
  </si>
  <si>
    <t>Samostatné hnuteľné veci a súbory hnuteľných vecí (022)-/082,092A/</t>
  </si>
  <si>
    <t>015</t>
  </si>
  <si>
    <t>Pestovateľské celky trvalých porastov (025)-/086,092A/</t>
  </si>
  <si>
    <t>016</t>
  </si>
  <si>
    <t>Základné stádo a ťažné zvieratá (026)-/086,092A/</t>
  </si>
  <si>
    <t>017</t>
  </si>
  <si>
    <t>Ostatný dlhodobý hmotný majetok (029,02X,032)-/089,08X,092A)</t>
  </si>
  <si>
    <t>018</t>
  </si>
  <si>
    <t>Obstarávaný dlhodobý hmotný majetok (042)-094</t>
  </si>
  <si>
    <t>019</t>
  </si>
  <si>
    <t>Poskytnuté preddavky na dlhodobý hmotný majetok (052)-095A</t>
  </si>
  <si>
    <t>020</t>
  </si>
  <si>
    <t>Opravná položka k nadobudnutému majektu (+/-097)-/-098</t>
  </si>
  <si>
    <t>Dlhodobý finančný majetok súčet (r.022 až 029)</t>
  </si>
  <si>
    <t>Podielové cenné papiere a podiely v prepojených účtovných jednotkách (061A, 062A, 063A)-/096A/</t>
  </si>
  <si>
    <t>023</t>
  </si>
  <si>
    <t>Podiel.cen.papiere a podiely s podiel.účasťou okrem v prepojených účtovných jednotkách (062A)-/096A/</t>
  </si>
  <si>
    <t>024</t>
  </si>
  <si>
    <t>Ostatné realizovateľné cenné papiere a podiely (063A)-/096A/</t>
  </si>
  <si>
    <t>025</t>
  </si>
  <si>
    <t>Pôžičky prepojeným účtovným jednotkám (066A)-/096A/</t>
  </si>
  <si>
    <t>026</t>
  </si>
  <si>
    <t>Pôžičky v rámci podielovej účasti okrem prepojeným účtovným jednotkám (066A)-/096A/</t>
  </si>
  <si>
    <t>027</t>
  </si>
  <si>
    <t>Ostatné pôžičky (067A)-/096A/</t>
  </si>
  <si>
    <t>Dlhové cenné papiere a ostatný dlh.finančný majetok (065A, 069A, 06XA)-/096A/</t>
  </si>
  <si>
    <t>Pôžičky a ostatný dlh.fin.majetok so zostatkovou dobou splatnosti najviac jeden rok (066A, 067A, 069A, 06XA)-/096A/</t>
  </si>
  <si>
    <t>030</t>
  </si>
  <si>
    <t>Účty v bankách s dobou viazanosti dlhšou ako jeden rok (22XA)</t>
  </si>
  <si>
    <t>031</t>
  </si>
  <si>
    <t>Obstarávaný dlhodobý finančný majetok (043)-096A</t>
  </si>
  <si>
    <t>032</t>
  </si>
  <si>
    <t>Poskytnuté preddavky na dlhodobý finančný majetok (053)-095A</t>
  </si>
  <si>
    <t>033</t>
  </si>
  <si>
    <t>Obežný majetok r.034 + r.41 + r.53 + r.66 + r.71</t>
  </si>
  <si>
    <t>034</t>
  </si>
  <si>
    <t>Zásoby súčet (r.035 až r.040)</t>
  </si>
  <si>
    <t>035</t>
  </si>
  <si>
    <t>Materiál (112,119,11X)-/191,19X</t>
  </si>
  <si>
    <t>036</t>
  </si>
  <si>
    <t>Nedokončená výroba a polotovary (121,122,12X)-/192,193,19X/</t>
  </si>
  <si>
    <t>037</t>
  </si>
  <si>
    <t>Výrobky (123)-194</t>
  </si>
  <si>
    <t>038</t>
  </si>
  <si>
    <t>Zvieratá (124)-195</t>
  </si>
  <si>
    <t>039</t>
  </si>
  <si>
    <t>Tovar (132,133,13X,139)-/196,19X/</t>
  </si>
  <si>
    <t>040</t>
  </si>
  <si>
    <t>Poskytnuté preddavky na zásoby (314A)-391A</t>
  </si>
  <si>
    <t>Dlhodobé pohľadávky súčet (r.42 + r.46 až r.52)</t>
  </si>
  <si>
    <t>Pohľadávky z obchodného styku súčet (r.43 až r.45)</t>
  </si>
  <si>
    <t>043</t>
  </si>
  <si>
    <t>Pohľadávky z obchodného styku voči prepojeným účtovným jednotkám (311A,312A,313A,314A,315A,31XA)-391A</t>
  </si>
  <si>
    <t>044</t>
  </si>
  <si>
    <t>Pohľadávky z obchodného styku v rámci podielovej účasti okrem pohľadávok voči prepojeným účt.jednotkám (311A, 312A, 313A, 314A, 315A, 31XA)-/391A/</t>
  </si>
  <si>
    <t>045</t>
  </si>
  <si>
    <t>Ostatné pohľadávky z obchodného styku (311A, 312A, 313A, 314A, 315A, 31XA)-/391A/</t>
  </si>
  <si>
    <t>046</t>
  </si>
  <si>
    <t>Čistá hodnota zákazky (316A)</t>
  </si>
  <si>
    <t>047</t>
  </si>
  <si>
    <t>Ostatné pohľadávky voči prepojeným účtovným jednotkám (351A)-/391A/</t>
  </si>
  <si>
    <t>048</t>
  </si>
  <si>
    <t>Ostatné pohľadávky v rámci podielovej účasti okrem pohľadávok voči prepojeným účtovným jednotkám (351A)-/391A/</t>
  </si>
  <si>
    <t>049</t>
  </si>
  <si>
    <t>Pohľadávky voči spoločníkom, členom a združeniu (354A,355A,358A,35XA)-391A</t>
  </si>
  <si>
    <t>050</t>
  </si>
  <si>
    <t>Pohľadávky z derivátových operácií (373A, 376A)</t>
  </si>
  <si>
    <t>051</t>
  </si>
  <si>
    <t>Iné pohľadávky (335A, 336A, 33XA, 371A, 374A, 375A, 378A)-/391A/</t>
  </si>
  <si>
    <t>052</t>
  </si>
  <si>
    <t>Odložená daňová pohľadávka (418A)</t>
  </si>
  <si>
    <t>053</t>
  </si>
  <si>
    <t>Krátodobé pohľadávky súčet (r.054 + r.058 až r.65)</t>
  </si>
  <si>
    <t>054</t>
  </si>
  <si>
    <t>Pohľadávky z obchodného styku súčet (r.55 až r.57)</t>
  </si>
  <si>
    <t>055</t>
  </si>
  <si>
    <t>Pohľadávky z obchodného styku voči prepojeným účtovným jednotkám (311A,312A,313A,314A,315A31XA)-/391A/</t>
  </si>
  <si>
    <t>056</t>
  </si>
  <si>
    <t>Pohľadávky z obchodného styku v rámci podielovej účasti okrem pohľadávok voči prepojeným účt.jednotkám  (311A, 312A. 313A, 314A, 315A, 31XA)-/391A/</t>
  </si>
  <si>
    <t>057</t>
  </si>
  <si>
    <t>058</t>
  </si>
  <si>
    <t>059</t>
  </si>
  <si>
    <t>060</t>
  </si>
  <si>
    <t>Ostatné pohľadávky v rámci podielovej účasti okrem pohľadávok voči prepojeným účt.jednotkám (351A)-/391A/</t>
  </si>
  <si>
    <t>061</t>
  </si>
  <si>
    <t>Pohľadávky voči spoločníkom, členom a združeniu (354A,355A,358A,35XA,398A)-/391A/</t>
  </si>
  <si>
    <t>062</t>
  </si>
  <si>
    <t>Sociálne poistenie (336)-391A</t>
  </si>
  <si>
    <t>063</t>
  </si>
  <si>
    <t>Daňové pohľadávky a dotácie (341,342,343,345,346,347)-/391A/</t>
  </si>
  <si>
    <t>064</t>
  </si>
  <si>
    <t>065</t>
  </si>
  <si>
    <t>Iné pohľadávky (335A,33XA,371A,374A,375A,378A)-/391A/</t>
  </si>
  <si>
    <t>066</t>
  </si>
  <si>
    <t>Krátkodobý finančný majetok súčet (r.67 až r.70)</t>
  </si>
  <si>
    <t>067</t>
  </si>
  <si>
    <t>Krátkodobý finančný majetok v prepojených účtovných jednotkách (251A, 253A, 256A, 257A, 25XA)-/291A, 29XA/</t>
  </si>
  <si>
    <t>068</t>
  </si>
  <si>
    <t>Krátkodobý finančný majetok bez krátkod.fin.majetku v prepojených účtovných jednotkách  (251A, 253A, 256A, 257A, 25XA)-/291A, 29XA/</t>
  </si>
  <si>
    <t>069</t>
  </si>
  <si>
    <t>Vlastné akcie a vlastné obchodné podiely (252)</t>
  </si>
  <si>
    <t>070</t>
  </si>
  <si>
    <t>Obstarávaný krátkodobý finančný majetok (259,314A)-/291A/</t>
  </si>
  <si>
    <t>071</t>
  </si>
  <si>
    <t>Finančné účty r.72 + r.73</t>
  </si>
  <si>
    <t>072</t>
  </si>
  <si>
    <t>Peniaze (211,213,21X)</t>
  </si>
  <si>
    <t>Účty v bankách (221A,22X+/-261)</t>
  </si>
  <si>
    <t>074</t>
  </si>
  <si>
    <t>Časové rozlíšenie (r.075 až r.078)</t>
  </si>
  <si>
    <t>075</t>
  </si>
  <si>
    <t>Náklady budúcich období dlhodobé (381A,382A)</t>
  </si>
  <si>
    <t>076</t>
  </si>
  <si>
    <t>Náklady budúcich období krátkodobé (381A,382A)</t>
  </si>
  <si>
    <t>077</t>
  </si>
  <si>
    <t>Príjmy budúcich období dlhodobé (385A)</t>
  </si>
  <si>
    <t>078</t>
  </si>
  <si>
    <t>Príjmy budúcich období krátkodobé (385A)</t>
  </si>
  <si>
    <t>079</t>
  </si>
  <si>
    <t>Spolu vlastné imanie a záväzky r.080+r.101+r.141</t>
  </si>
  <si>
    <t>080</t>
  </si>
  <si>
    <t>Vlastné imanie r.081+r.085+r.086+r.087+r.090 + r.093 + r.097 + r.100</t>
  </si>
  <si>
    <t>Základné imanie súčet (r.082+ až 084)</t>
  </si>
  <si>
    <t>Základné imanie (411 alebo +/-491)</t>
  </si>
  <si>
    <t>083</t>
  </si>
  <si>
    <t>Zmena základného imania +/-419</t>
  </si>
  <si>
    <t>084</t>
  </si>
  <si>
    <t>Pohľadávky za upísané vlastné imanie (/-/353)</t>
  </si>
  <si>
    <t>085</t>
  </si>
  <si>
    <t>Emisné ážio (412)</t>
  </si>
  <si>
    <t>086</t>
  </si>
  <si>
    <t>Ostatné kapitálové fondy (413)</t>
  </si>
  <si>
    <t>087</t>
  </si>
  <si>
    <t>Zákonné rezervné fondy r.88 + r.89</t>
  </si>
  <si>
    <t>088</t>
  </si>
  <si>
    <t>Zákonný rezervný fond a nedeliteľný fond (417A, 418, 421A, 422)</t>
  </si>
  <si>
    <t>Rezervný fond na vlastné akcie a vlastné podiely (417A, 421A)</t>
  </si>
  <si>
    <t>090</t>
  </si>
  <si>
    <t>Ostatné fondy zo zisku r. 91 + r.92</t>
  </si>
  <si>
    <t>091</t>
  </si>
  <si>
    <t>Štatutárne fondy (423, 42X)</t>
  </si>
  <si>
    <t>Osatné fondy (427, 42X)</t>
  </si>
  <si>
    <t>093</t>
  </si>
  <si>
    <t>Oceňovacie rozdiely z precenenia súčet (r.94 až r.96)</t>
  </si>
  <si>
    <t>094</t>
  </si>
  <si>
    <t>Oceňovacie rozdiely z precenenia majetku a záväzkov (+/- 414)</t>
  </si>
  <si>
    <t>095</t>
  </si>
  <si>
    <t>Oceňovacie rozdiely z kapitálových účastín (+/- 415)</t>
  </si>
  <si>
    <t>096</t>
  </si>
  <si>
    <t>Oceňovacie rozdiely z precenenia pri zlúčení, splynutí a rozdelení (+/- 416)</t>
  </si>
  <si>
    <t>097</t>
  </si>
  <si>
    <t>Výsledok hospodárenia minulých rokov (r. 098+099)</t>
  </si>
  <si>
    <t>098</t>
  </si>
  <si>
    <t>Nerozdelený zisk minulých rokov (428)</t>
  </si>
  <si>
    <t>099</t>
  </si>
  <si>
    <t>Neuhradená strata minulých rokov (/-/429)</t>
  </si>
  <si>
    <t>Výsledok hospodárenia za účtovné obdobie</t>
  </si>
  <si>
    <t>101</t>
  </si>
  <si>
    <t>Záväzky r.102+r.118+r.121+r.122+r.136+r.139+r.140</t>
  </si>
  <si>
    <t>102</t>
  </si>
  <si>
    <t>Dlhodobé záväzky súčet (r.103 + r.107 až r.117)</t>
  </si>
  <si>
    <t>103</t>
  </si>
  <si>
    <t>Dlhodobé záväzky z obchodného styku súčet (r.104 až r.106)</t>
  </si>
  <si>
    <t>104</t>
  </si>
  <si>
    <t>Záväzky z obchodného styku voči pepojeným účtovným jednotkám (321A, 475A, 476A)</t>
  </si>
  <si>
    <t>105</t>
  </si>
  <si>
    <t>Záväzky z obchodného styku v rámci podielovej účasti okrem závúzkov voči pepojeným účtovným jednotkám (321A, 475A, 476A)</t>
  </si>
  <si>
    <t>106</t>
  </si>
  <si>
    <t>Ostatné záväzky z obchodného styku (321A, 475A, 476A)</t>
  </si>
  <si>
    <t>107</t>
  </si>
  <si>
    <t>108</t>
  </si>
  <si>
    <t>Ostatné záväzky voči prepojeným účtovným jednotkám (471A, 47XA)</t>
  </si>
  <si>
    <t>109</t>
  </si>
  <si>
    <t>Ostatné záväzky v rámci podielovej účasti okrem záväzkov voči prepojeným účtovným jednotkám (471A, 47XA)</t>
  </si>
  <si>
    <t>110</t>
  </si>
  <si>
    <t>Ostatné dlhodobé záväzky (479A, 47XA)</t>
  </si>
  <si>
    <t>111</t>
  </si>
  <si>
    <t>Dlhodobé prijaté preddavky (475A)</t>
  </si>
  <si>
    <t>112</t>
  </si>
  <si>
    <t>Dlhodobé zmenky na úhradu (478A)</t>
  </si>
  <si>
    <t>113</t>
  </si>
  <si>
    <t>Vydané dlhopisy (473A/-/255A)</t>
  </si>
  <si>
    <t>114</t>
  </si>
  <si>
    <t>Záväzky zo sociálneho fondu (472)</t>
  </si>
  <si>
    <t>115</t>
  </si>
  <si>
    <t>Iné dlhodobé záväzky (336A, 372A, 474A, 47XA)</t>
  </si>
  <si>
    <t>116</t>
  </si>
  <si>
    <t>Dlhodobé záväzky z derivátových operácií (373A, 377A)</t>
  </si>
  <si>
    <t>117</t>
  </si>
  <si>
    <t>Odložený daňový záväzok (481A)</t>
  </si>
  <si>
    <t>118</t>
  </si>
  <si>
    <t>Dlhodobé rezervy r.119 +r.120</t>
  </si>
  <si>
    <t>119</t>
  </si>
  <si>
    <t>Zákonné rezervy (451A)</t>
  </si>
  <si>
    <t>120</t>
  </si>
  <si>
    <t>Ostatné rezervy (459A, 45XA)</t>
  </si>
  <si>
    <t>121</t>
  </si>
  <si>
    <t>Dlhodobé bankové úvery (461A, 46XA)</t>
  </si>
  <si>
    <t>122</t>
  </si>
  <si>
    <t>Krátkodobé záväzky súčet (r.123 + r.127 až r.135)</t>
  </si>
  <si>
    <t>123</t>
  </si>
  <si>
    <t>Záväzky z obchodného styku súčet (r.124 až r.126)</t>
  </si>
  <si>
    <t>124</t>
  </si>
  <si>
    <t>Záväzky z obchodného styku voči prepojeným účtovným jednotkám  (321A,322A,324A,325A,326A,32XA,475A,476A,478A,47XA)</t>
  </si>
  <si>
    <t>125</t>
  </si>
  <si>
    <t>Záväzky z obchodného styku v rámci podielovej účasti okrem záväzkov voči prepojeným účtovným jednotkám  (321A,322A,324A,325A,326A,32XA,475A,476A,478A,47XA)</t>
  </si>
  <si>
    <t>126</t>
  </si>
  <si>
    <t>Ostatné záväzky z obchodného styku (321A,322A,324A,325A,326A,32XA,475A,476A,478A,47XA)</t>
  </si>
  <si>
    <t>127</t>
  </si>
  <si>
    <t>128</t>
  </si>
  <si>
    <t>Ostatné záväzky voči prepojeným účtovným jednotkám (361A, 36XA, 471A, 47XA)</t>
  </si>
  <si>
    <t>129</t>
  </si>
  <si>
    <t>Ostatné záväzky v rámci podielovej účasti okrem záväzkov voči prepojeným účtovným jednotkám (361A, 36XA, 471A, 47XA)</t>
  </si>
  <si>
    <t>Záväzky voči spoločníkom a združeniu (364,365,366,367,368,398A,478A,479A)</t>
  </si>
  <si>
    <t>Záväzky voči zamestnancom (331,333.33X,479A)</t>
  </si>
  <si>
    <t>Záväzky zo sociálneho poistenia (336,479A)</t>
  </si>
  <si>
    <t>133</t>
  </si>
  <si>
    <t>Daňové záväzky a dotácie (341,342,343,345,346,347,34X)</t>
  </si>
  <si>
    <t>134</t>
  </si>
  <si>
    <t>Záväzky z derivátových operácií (373A, 377A)</t>
  </si>
  <si>
    <t>135</t>
  </si>
  <si>
    <t>Iné záväzky (372A,379A,474A,479A,47XA)</t>
  </si>
  <si>
    <t>136</t>
  </si>
  <si>
    <t>Krátkodobé rezrevy r.137 +r.138</t>
  </si>
  <si>
    <t>137</t>
  </si>
  <si>
    <t>Zákonné rezervy (323A, 451A)</t>
  </si>
  <si>
    <t>138</t>
  </si>
  <si>
    <t>Ostatné rezervy (323A,32X,459A,45XA)</t>
  </si>
  <si>
    <t>Bežné bankové úvery  (221A,231,232,23X,461A,46XA)</t>
  </si>
  <si>
    <t>140</t>
  </si>
  <si>
    <t>Krátkodobé finančné výpomoci (241,249,24X,473A,/-/255A)</t>
  </si>
  <si>
    <t>141</t>
  </si>
  <si>
    <t>Časové rozlíšenie súčet (r.142 až r.145)</t>
  </si>
  <si>
    <t>142</t>
  </si>
  <si>
    <t>Výdavky budúcich období dlhodobé (383A)</t>
  </si>
  <si>
    <t>143</t>
  </si>
  <si>
    <t>Výdavky budúcich období krátkodobé (383A)</t>
  </si>
  <si>
    <t>144</t>
  </si>
  <si>
    <t>Výnosy budúcich období dlhodobé (384A)</t>
  </si>
  <si>
    <t>145</t>
  </si>
  <si>
    <t>Výnosy budúcich období krátkodobé (384A)</t>
  </si>
  <si>
    <t>Brutto</t>
  </si>
  <si>
    <t>Korekcia</t>
  </si>
  <si>
    <t>Netto</t>
  </si>
  <si>
    <t>?</t>
  </si>
  <si>
    <t>Auto Palace Slovakia sro</t>
  </si>
  <si>
    <t>Business Lease Slovaki sro</t>
  </si>
  <si>
    <t>Auto Palace Panónska  s.r.o.</t>
  </si>
  <si>
    <t>AutoBinck CZ sro</t>
  </si>
  <si>
    <t>Auto-Palace Spořilov sro</t>
  </si>
  <si>
    <t>Auto-Palace Vysočany</t>
  </si>
  <si>
    <t>Mitsubishi Motors SK sro</t>
  </si>
  <si>
    <t>Auto-Palace Brno</t>
  </si>
  <si>
    <t>Amaze Mobility B.V.</t>
  </si>
  <si>
    <t>AutoBinck Shared Services Kft.</t>
  </si>
  <si>
    <t>Atama Solar Energy B.V.</t>
  </si>
  <si>
    <t>Auto Palace Buda Kft.</t>
  </si>
  <si>
    <t>Auto Palace Délpest Kft.</t>
  </si>
  <si>
    <t xml:space="preserve">Auto Palace Vysočany s.r.o. </t>
  </si>
  <si>
    <t xml:space="preserve">Auto Palace Západ s.r.o. </t>
  </si>
  <si>
    <t>Autobedrijf Noteboom Rotterdam B.V.</t>
  </si>
  <si>
    <t xml:space="preserve">Autobedrijf Noteboom Spijkenisse B.V. </t>
  </si>
  <si>
    <t>AutoBinck Car Trade B.V.</t>
  </si>
  <si>
    <t xml:space="preserve">AutoBinck Ventures B.V. </t>
  </si>
  <si>
    <t xml:space="preserve">Radiuz B.V. </t>
  </si>
  <si>
    <t xml:space="preserve">SafeDrivepod B.V. </t>
  </si>
  <si>
    <t xml:space="preserve">SafeDrivepod International B.V. </t>
  </si>
  <si>
    <t xml:space="preserve">Terberg Business Lease Group B.V. </t>
  </si>
  <si>
    <t xml:space="preserve">Business Lease Group s.r.o. </t>
  </si>
  <si>
    <t xml:space="preserve">Terberg Justlease Belgium BVBA </t>
  </si>
  <si>
    <t>XXImo B.V.</t>
  </si>
  <si>
    <t>XXImo B.V.B.A.</t>
  </si>
  <si>
    <t xml:space="preserve">XXImo GmbH </t>
  </si>
  <si>
    <t xml:space="preserve">XXImo Holding B.V. </t>
  </si>
  <si>
    <t xml:space="preserve">eBinck B.V. </t>
  </si>
  <si>
    <t>Fleet Monitor B.V.</t>
  </si>
  <si>
    <t>Zelfstroom Beheer B.V.</t>
  </si>
  <si>
    <t>Fleet Support Groep B.V.</t>
  </si>
  <si>
    <t>Zelfstroom Energie B.V.</t>
  </si>
  <si>
    <t>Zelfstroom Installaties B.V.</t>
  </si>
  <si>
    <t>Zelfstroom Montage B.V.</t>
  </si>
  <si>
    <t>Zelfstroom Zon Huur I B.V.</t>
  </si>
  <si>
    <t>Zelfstroom Zon Huur II B.V.</t>
  </si>
  <si>
    <t>Zelfstroom Zon Huur III B.V.</t>
  </si>
  <si>
    <t>Zelfstroom Zon Huur IV B.V.</t>
  </si>
  <si>
    <t>Mobinck B.V.</t>
  </si>
  <si>
    <t>Zelfstroom Zon Huur V B.V.</t>
  </si>
  <si>
    <t>AutoBinck Hungary Real Estate Kft.</t>
  </si>
  <si>
    <t>MOOVE Connected Mobility B.V.</t>
  </si>
  <si>
    <t xml:space="preserve">Zelfstroom Zon Huur VI B.V. </t>
  </si>
  <si>
    <t>OQ Parking Solutions B.V.</t>
  </si>
  <si>
    <t xml:space="preserve">Zelfstroom Zon Huur VII B.V. </t>
  </si>
  <si>
    <t xml:space="preserve">AutoBinck Online Trade B.V. </t>
  </si>
  <si>
    <t xml:space="preserve">OQ Parking Solutions Holding B.V. </t>
  </si>
  <si>
    <t xml:space="preserve">Zelfstroom Zon Zakelijk I B.V. </t>
  </si>
  <si>
    <t xml:space="preserve">AutoBinck Participations B.V. </t>
  </si>
  <si>
    <t xml:space="preserve">Parkres B.V. </t>
  </si>
  <si>
    <t>Na dlhodobý hmotný majetok spoločnosti existuje vecné bremeno v prospech ING Bank N.V., pobočka zahraničnej banky v hodnote 2 460  749 EUR.</t>
  </si>
  <si>
    <t>Business Lease Czech sro</t>
  </si>
  <si>
    <t>Mitsubishi Motors CZ sro</t>
  </si>
  <si>
    <t>Auto-Palace Infiniti</t>
  </si>
  <si>
    <t>Auto-Palace Butovice sro</t>
  </si>
  <si>
    <t xml:space="preserve">Popis </t>
  </si>
  <si>
    <t>za rok končiaci: 31.12.2020</t>
  </si>
  <si>
    <t>Po 31. decembri 2020 nenastali také udalosti, ktoré majú významný vplyv na verné zobrazenie skutočností uvádzaných v tejto účtovnej závierke.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</si>
</sst>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 [$EUR]"/>
    <numFmt numFmtId="166" formatCode="#,##0&quot; &quot;;\(#,##0\);\-&quot;  &quot;"/>
    <numFmt numFmtId="167" formatCode="#,##0;\-#,##0;&quot;&quot;"/>
  </numFmts>
  <fonts count="48" x14ac:knownFonts="1">
    <font>
      <sz val="11"/>
      <color theme="1"/>
      <name val="Calibri"/>
      <family val="2"/>
      <charset val="238"/>
      <scheme val="minor"/>
    </font>
    <font>
      <sz val="8"/>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sz val="8"/>
      <color theme="1"/>
      <name val="Arial"/>
      <family val="2"/>
      <charset val="238"/>
    </font>
    <font>
      <b/>
      <sz val="8"/>
      <color theme="1"/>
      <name val="Arial"/>
      <family val="2"/>
      <charset val="238"/>
    </font>
    <font>
      <sz val="11"/>
      <color theme="1"/>
      <name val="Arial"/>
      <family val="2"/>
      <charset val="238"/>
    </font>
    <font>
      <sz val="10"/>
      <color theme="1"/>
      <name val="Arial"/>
      <family val="2"/>
      <charset val="238"/>
    </font>
    <font>
      <b/>
      <sz val="10"/>
      <color theme="1"/>
      <name val="Arial"/>
      <family val="2"/>
      <charset val="238"/>
    </font>
    <font>
      <b/>
      <u/>
      <sz val="10"/>
      <color theme="1"/>
      <name val="Arial"/>
      <family val="2"/>
      <charset val="238"/>
    </font>
    <font>
      <i/>
      <sz val="10"/>
      <color theme="1"/>
      <name val="Arial"/>
      <family val="2"/>
      <charset val="238"/>
    </font>
    <font>
      <b/>
      <sz val="7"/>
      <color theme="1"/>
      <name val="Times New Roman"/>
      <family val="1"/>
      <charset val="238"/>
    </font>
    <font>
      <b/>
      <i/>
      <sz val="10"/>
      <color theme="1"/>
      <name val="Arial"/>
      <family val="2"/>
      <charset val="238"/>
    </font>
    <font>
      <sz val="10"/>
      <name val="Arial"/>
      <family val="2"/>
      <charset val="238"/>
    </font>
    <font>
      <b/>
      <sz val="10"/>
      <name val="Arial"/>
      <family val="2"/>
      <charset val="238"/>
    </font>
    <font>
      <sz val="11"/>
      <name val="Arial"/>
      <family val="2"/>
      <charset val="238"/>
    </font>
    <font>
      <i/>
      <sz val="8"/>
      <color theme="1"/>
      <name val="Arial"/>
      <family val="2"/>
      <charset val="238"/>
    </font>
    <font>
      <sz val="12"/>
      <name val="Times New Roman"/>
      <family val="1"/>
      <charset val="238"/>
    </font>
    <font>
      <sz val="12"/>
      <name val="Times New Roman"/>
      <family val="1"/>
    </font>
    <font>
      <sz val="10"/>
      <name val="MS Sans Serif"/>
      <family val="2"/>
      <charset val="238"/>
    </font>
    <font>
      <sz val="10"/>
      <color theme="1"/>
      <name val="Calibri"/>
      <family val="2"/>
      <charset val="238"/>
      <scheme val="minor"/>
    </font>
    <font>
      <sz val="10"/>
      <color theme="1"/>
      <name val="Calibri"/>
      <family val="2"/>
      <charset val="238"/>
    </font>
    <font>
      <i/>
      <sz val="11"/>
      <color theme="1"/>
      <name val="Arial"/>
      <family val="2"/>
      <charset val="238"/>
    </font>
    <font>
      <sz val="10"/>
      <name val="Arial CE"/>
      <family val="2"/>
      <charset val="238"/>
    </font>
    <font>
      <b/>
      <sz val="26"/>
      <name val="Arial CE"/>
      <family val="2"/>
      <charset val="238"/>
    </font>
    <font>
      <sz val="14"/>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4"/>
      <name val="Arial"/>
      <family val="2"/>
      <charset val="238"/>
    </font>
    <font>
      <sz val="11"/>
      <name val="Arial CE"/>
      <family val="2"/>
      <charset val="238"/>
    </font>
    <font>
      <sz val="14"/>
      <name val="Arial"/>
      <family val="2"/>
      <charset val="238"/>
    </font>
    <font>
      <b/>
      <sz val="11"/>
      <name val="Arial CE"/>
      <family val="2"/>
      <charset val="238"/>
    </font>
    <font>
      <sz val="14"/>
      <color indexed="12"/>
      <name val="Arial CE"/>
      <family val="2"/>
      <charset val="238"/>
    </font>
    <font>
      <b/>
      <sz val="14"/>
      <color indexed="12"/>
      <name val="Arial CE"/>
      <family val="2"/>
      <charset val="238"/>
    </font>
    <font>
      <sz val="11"/>
      <color theme="1"/>
      <name val="Calibri"/>
      <family val="2"/>
      <scheme val="minor"/>
    </font>
    <font>
      <b/>
      <sz val="11"/>
      <name val="Calibri"/>
      <family val="2"/>
      <scheme val="minor"/>
    </font>
    <font>
      <sz val="11"/>
      <name val="Calibri"/>
      <family val="2"/>
      <scheme val="minor"/>
    </font>
    <font>
      <sz val="8"/>
      <name val="Calibri"/>
      <family val="2"/>
      <charset val="238"/>
      <scheme val="minor"/>
    </font>
    <font>
      <b/>
      <sz val="11"/>
      <name val="Calibri"/>
      <family val="2"/>
      <charset val="238"/>
      <scheme val="minor"/>
    </font>
    <font>
      <sz val="10"/>
      <name val="Arial"/>
      <family val="2"/>
      <charset val="238"/>
    </font>
    <font>
      <b/>
      <sz val="11"/>
      <name val="Calibri"/>
      <family val="2"/>
      <charset val="238"/>
    </font>
    <font>
      <sz val="11"/>
      <name val="Calibri"/>
      <family val="2"/>
      <charset val="238"/>
    </font>
    <font>
      <b/>
      <sz val="14"/>
      <name val="Arial CE"/>
      <charset val="238"/>
    </font>
    <font>
      <b/>
      <sz val="11"/>
      <name val="Arial CE"/>
      <charset val="238"/>
    </font>
  </fonts>
  <fills count="13">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indexed="9"/>
        <bgColor indexed="64"/>
      </patternFill>
    </fill>
    <fill>
      <patternFill patternType="solid">
        <fgColor rgb="FFFFFF99"/>
        <bgColor indexed="64"/>
      </patternFill>
    </fill>
    <fill>
      <patternFill patternType="solid">
        <fgColor indexed="43"/>
        <bgColor indexed="64"/>
      </patternFill>
    </fill>
    <fill>
      <patternFill patternType="solid">
        <fgColor theme="0"/>
        <bgColor indexed="64"/>
      </patternFill>
    </fill>
    <fill>
      <patternFill patternType="solid">
        <fgColor indexed="42"/>
        <bgColor indexed="64"/>
      </patternFill>
    </fill>
    <fill>
      <patternFill patternType="solid">
        <fgColor rgb="FFC0C0C0"/>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theme="2" tint="-0.249977111117893"/>
        <bgColor indexed="64"/>
      </patternFill>
    </fill>
  </fills>
  <borders count="66">
    <border>
      <left/>
      <right/>
      <top/>
      <bottom/>
      <diagonal/>
    </border>
    <border>
      <left/>
      <right style="thin">
        <color indexed="64"/>
      </right>
      <top/>
      <bottom style="medium">
        <color indexed="64"/>
      </bottom>
      <diagonal/>
    </border>
    <border>
      <left/>
      <right/>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rgb="FF999999"/>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diagonal/>
    </border>
    <border>
      <left style="thin">
        <color indexed="64"/>
      </left>
      <right style="medium">
        <color indexed="64"/>
      </right>
      <top/>
      <bottom style="thin">
        <color indexed="64"/>
      </bottom>
      <diagonal/>
    </border>
  </borders>
  <cellStyleXfs count="14">
    <xf numFmtId="0" fontId="0" fillId="0" borderId="0"/>
    <xf numFmtId="9" fontId="4" fillId="0" borderId="0" applyFont="0" applyFill="0" applyBorder="0" applyAlignment="0" applyProtection="0"/>
    <xf numFmtId="0" fontId="20" fillId="0" borderId="0"/>
    <xf numFmtId="0" fontId="8" fillId="0" borderId="0"/>
    <xf numFmtId="164" fontId="4" fillId="0" borderId="0" applyFont="0" applyFill="0" applyBorder="0" applyAlignment="0" applyProtection="0"/>
    <xf numFmtId="0" fontId="2" fillId="0" borderId="0"/>
    <xf numFmtId="164" fontId="4" fillId="0" borderId="0" applyFont="0" applyFill="0" applyBorder="0" applyAlignment="0" applyProtection="0"/>
    <xf numFmtId="164" fontId="4" fillId="0" borderId="0" applyFont="0" applyFill="0" applyBorder="0" applyAlignment="0" applyProtection="0"/>
    <xf numFmtId="0" fontId="14" fillId="0" borderId="0"/>
    <xf numFmtId="0" fontId="18" fillId="0" borderId="0"/>
    <xf numFmtId="0" fontId="19" fillId="0" borderId="0"/>
    <xf numFmtId="0" fontId="14" fillId="0" borderId="0"/>
    <xf numFmtId="0" fontId="40" fillId="0" borderId="0"/>
    <xf numFmtId="0" fontId="43" fillId="0" borderId="0"/>
  </cellStyleXfs>
  <cellXfs count="588">
    <xf numFmtId="0" fontId="0" fillId="0" borderId="0" xfId="0"/>
    <xf numFmtId="0" fontId="5" fillId="0" borderId="1" xfId="0" applyFont="1" applyBorder="1" applyAlignment="1">
      <alignment horizontal="center"/>
    </xf>
    <xf numFmtId="0" fontId="7" fillId="0" borderId="2" xfId="0" applyFont="1" applyBorder="1"/>
    <xf numFmtId="0" fontId="5" fillId="0" borderId="0" xfId="0" applyFont="1" applyAlignment="1">
      <alignment horizontal="center"/>
    </xf>
    <xf numFmtId="0" fontId="7" fillId="0" borderId="0" xfId="0" applyFont="1"/>
    <xf numFmtId="0" fontId="5" fillId="0" borderId="0" xfId="0" applyFont="1"/>
    <xf numFmtId="0" fontId="8"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0" xfId="0" applyFont="1" applyBorder="1" applyAlignment="1">
      <alignment vertical="center"/>
    </xf>
    <xf numFmtId="0" fontId="8" fillId="0" borderId="0" xfId="0" applyFont="1" applyAlignment="1">
      <alignment horizontal="righ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9" fillId="3" borderId="0" xfId="0" applyFont="1" applyFill="1" applyAlignment="1"/>
    <xf numFmtId="0" fontId="8" fillId="0" borderId="0" xfId="0" applyFont="1" applyAlignment="1"/>
    <xf numFmtId="0" fontId="11" fillId="0" borderId="0" xfId="0" applyFont="1" applyAlignment="1"/>
    <xf numFmtId="0" fontId="8" fillId="0" borderId="0" xfId="0" applyFont="1"/>
    <xf numFmtId="0" fontId="7" fillId="0" borderId="0" xfId="0" applyFont="1" applyFill="1"/>
    <xf numFmtId="0" fontId="5" fillId="0" borderId="0" xfId="0" applyFont="1" applyAlignment="1">
      <alignment horizontal="center" vertical="center"/>
    </xf>
    <xf numFmtId="0" fontId="5" fillId="0" borderId="0" xfId="0" applyFont="1" applyAlignment="1">
      <alignment horizontal="center" wrapText="1"/>
    </xf>
    <xf numFmtId="0" fontId="5" fillId="0" borderId="0" xfId="0" applyFont="1" applyAlignment="1">
      <alignment wrapText="1"/>
    </xf>
    <xf numFmtId="0" fontId="5" fillId="0" borderId="0" xfId="0" applyFont="1" applyAlignment="1">
      <alignment vertical="center"/>
    </xf>
    <xf numFmtId="0" fontId="5" fillId="0" borderId="0" xfId="0" applyFont="1" applyAlignment="1">
      <alignment horizontal="center"/>
    </xf>
    <xf numFmtId="0" fontId="5" fillId="0" borderId="0" xfId="0" applyFont="1" applyAlignment="1">
      <alignment horizontal="center" vertical="center"/>
    </xf>
    <xf numFmtId="3" fontId="5" fillId="0" borderId="0" xfId="0" applyNumberFormat="1" applyFont="1" applyFill="1" applyBorder="1" applyAlignment="1">
      <alignment horizontal="right" vertical="center" wrapText="1"/>
    </xf>
    <xf numFmtId="0" fontId="5"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xf>
    <xf numFmtId="0" fontId="5" fillId="0" borderId="0" xfId="0" applyFont="1" applyFill="1"/>
    <xf numFmtId="0" fontId="5" fillId="0" borderId="0" xfId="0" applyFont="1" applyAlignment="1">
      <alignment horizontal="center"/>
    </xf>
    <xf numFmtId="0" fontId="5" fillId="0" borderId="0" xfId="0" applyFont="1" applyAlignment="1">
      <alignment horizontal="center"/>
    </xf>
    <xf numFmtId="0" fontId="2" fillId="0" borderId="0" xfId="0" applyFont="1" applyBorder="1" applyAlignment="1">
      <alignment vertical="center"/>
    </xf>
    <xf numFmtId="0" fontId="17" fillId="0" borderId="0" xfId="0" applyFont="1" applyAlignment="1">
      <alignment horizontal="center"/>
    </xf>
    <xf numFmtId="0" fontId="23" fillId="0" borderId="0" xfId="0" applyFont="1"/>
    <xf numFmtId="0" fontId="8" fillId="0" borderId="0" xfId="0" applyFont="1" applyFill="1" applyAlignment="1">
      <alignment horizontal="justify" vertical="top" wrapText="1"/>
    </xf>
    <xf numFmtId="0" fontId="8" fillId="0" borderId="0" xfId="0" applyFont="1" applyFill="1" applyAlignment="1">
      <alignment horizontal="justify" vertical="top" wrapText="1"/>
    </xf>
    <xf numFmtId="0" fontId="9" fillId="0" borderId="0" xfId="0" applyFont="1" applyFill="1" applyAlignment="1"/>
    <xf numFmtId="0" fontId="8" fillId="0" borderId="0" xfId="0" applyFont="1" applyFill="1" applyBorder="1" applyAlignment="1">
      <alignment horizontal="center" vertical="center"/>
    </xf>
    <xf numFmtId="0" fontId="23" fillId="0" borderId="0" xfId="0" applyFont="1" applyFill="1"/>
    <xf numFmtId="0" fontId="5" fillId="0" borderId="0" xfId="0" applyFont="1" applyFill="1" applyBorder="1" applyAlignment="1">
      <alignment vertical="center"/>
    </xf>
    <xf numFmtId="0" fontId="5" fillId="0" borderId="0" xfId="0" applyFont="1" applyFill="1" applyAlignment="1">
      <alignment wrapText="1"/>
    </xf>
    <xf numFmtId="0" fontId="5" fillId="0" borderId="0" xfId="0" applyFont="1" applyFill="1" applyAlignment="1">
      <alignment vertical="center"/>
    </xf>
    <xf numFmtId="0" fontId="8" fillId="0" borderId="0" xfId="0" applyFont="1" applyFill="1" applyAlignment="1">
      <alignment horizontal="justify" vertical="top" wrapText="1"/>
    </xf>
    <xf numFmtId="0" fontId="8" fillId="0" borderId="0" xfId="0" applyFont="1" applyFill="1" applyAlignment="1">
      <alignment horizontal="justify" vertical="top"/>
    </xf>
    <xf numFmtId="0" fontId="6" fillId="0" borderId="0" xfId="0" applyFont="1" applyFill="1" applyBorder="1" applyAlignment="1">
      <alignment horizontal="left" vertical="center"/>
    </xf>
    <xf numFmtId="3" fontId="6" fillId="0" borderId="0" xfId="0" applyNumberFormat="1" applyFont="1" applyFill="1" applyBorder="1" applyAlignment="1">
      <alignment horizontal="right" vertical="center"/>
    </xf>
    <xf numFmtId="0" fontId="5" fillId="0" borderId="0" xfId="0" applyFont="1" applyFill="1" applyBorder="1" applyAlignment="1">
      <alignment horizontal="center" vertical="center"/>
    </xf>
    <xf numFmtId="0" fontId="5" fillId="0" borderId="0" xfId="0" applyFont="1" applyFill="1" applyBorder="1" applyAlignment="1">
      <alignment horizontal="right" vertical="center"/>
    </xf>
    <xf numFmtId="0" fontId="5" fillId="0" borderId="0" xfId="0" applyFont="1" applyFill="1" applyBorder="1" applyAlignment="1">
      <alignment horizontal="right" vertical="center" wrapText="1"/>
    </xf>
    <xf numFmtId="3" fontId="5" fillId="0" borderId="0" xfId="0" applyNumberFormat="1" applyFont="1" applyFill="1" applyBorder="1" applyAlignment="1">
      <alignment horizontal="center" vertical="center"/>
    </xf>
    <xf numFmtId="3" fontId="5" fillId="0" borderId="0" xfId="0" applyNumberFormat="1" applyFont="1" applyFill="1" applyBorder="1" applyAlignment="1">
      <alignment horizontal="right" vertical="center"/>
    </xf>
    <xf numFmtId="0" fontId="2" fillId="0" borderId="0" xfId="0" applyFont="1" applyFill="1"/>
    <xf numFmtId="0" fontId="8" fillId="0" borderId="0" xfId="0" applyFont="1" applyFill="1"/>
    <xf numFmtId="0" fontId="13" fillId="0" borderId="0" xfId="0" applyFont="1" applyFill="1" applyAlignment="1"/>
    <xf numFmtId="0" fontId="7" fillId="0" borderId="2" xfId="0" applyFont="1" applyFill="1" applyBorder="1"/>
    <xf numFmtId="0" fontId="5" fillId="0" borderId="0" xfId="0" applyFont="1" applyFill="1" applyAlignment="1">
      <alignment horizontal="center"/>
    </xf>
    <xf numFmtId="0" fontId="8" fillId="0" borderId="0" xfId="0" applyFont="1" applyFill="1" applyAlignment="1">
      <alignment horizontal="left" wrapText="1"/>
    </xf>
    <xf numFmtId="0" fontId="7" fillId="0" borderId="0" xfId="0" applyFont="1" applyFill="1" applyAlignment="1">
      <alignment horizontal="justify" vertical="top"/>
    </xf>
    <xf numFmtId="0" fontId="5" fillId="0" borderId="0" xfId="0" applyFont="1" applyFill="1" applyAlignment="1"/>
    <xf numFmtId="0" fontId="8" fillId="0" borderId="0" xfId="0" applyFont="1" applyFill="1" applyAlignment="1"/>
    <xf numFmtId="0" fontId="5" fillId="0" borderId="13" xfId="0" applyFont="1" applyFill="1" applyBorder="1" applyAlignment="1"/>
    <xf numFmtId="0" fontId="6" fillId="0" borderId="0" xfId="0" applyFont="1" applyFill="1" applyBorder="1" applyAlignment="1">
      <alignment horizontal="left" vertical="center" wrapText="1"/>
    </xf>
    <xf numFmtId="0" fontId="5" fillId="0" borderId="0" xfId="0" applyFont="1" applyAlignment="1">
      <alignment horizontal="center"/>
    </xf>
    <xf numFmtId="0" fontId="7" fillId="0" borderId="0" xfId="0" applyFont="1"/>
    <xf numFmtId="0" fontId="5" fillId="0" borderId="0" xfId="0" applyFont="1"/>
    <xf numFmtId="0" fontId="7" fillId="0" borderId="0" xfId="0" applyFont="1" applyFill="1"/>
    <xf numFmtId="3" fontId="5" fillId="0" borderId="0" xfId="0" applyNumberFormat="1" applyFont="1" applyFill="1" applyBorder="1" applyAlignment="1">
      <alignment horizontal="right" vertical="center"/>
    </xf>
    <xf numFmtId="3" fontId="5" fillId="0" borderId="0" xfId="0" applyNumberFormat="1" applyFont="1" applyFill="1" applyBorder="1" applyAlignment="1">
      <alignment horizontal="right" vertical="center" wrapText="1"/>
    </xf>
    <xf numFmtId="3" fontId="6" fillId="0" borderId="0" xfId="0" applyNumberFormat="1" applyFont="1" applyFill="1" applyBorder="1" applyAlignment="1">
      <alignment horizontal="right" vertical="center"/>
    </xf>
    <xf numFmtId="0" fontId="2" fillId="0" borderId="0" xfId="0" applyFont="1" applyFill="1" applyAlignment="1"/>
    <xf numFmtId="0" fontId="5" fillId="0" borderId="13" xfId="0" applyFont="1" applyFill="1" applyBorder="1" applyAlignment="1"/>
    <xf numFmtId="0" fontId="5" fillId="0" borderId="0" xfId="0" applyFont="1" applyFill="1" applyAlignment="1"/>
    <xf numFmtId="0" fontId="5" fillId="0" borderId="0" xfId="0" applyFont="1" applyFill="1"/>
    <xf numFmtId="0" fontId="14" fillId="0" borderId="0" xfId="0" applyFont="1" applyFill="1" applyAlignment="1">
      <alignment horizontal="justify" vertical="top"/>
    </xf>
    <xf numFmtId="0" fontId="14" fillId="0" borderId="0" xfId="0" applyFont="1" applyFill="1" applyAlignment="1">
      <alignment vertical="top"/>
    </xf>
    <xf numFmtId="0" fontId="16" fillId="0" borderId="0" xfId="0" applyFont="1" applyFill="1"/>
    <xf numFmtId="0" fontId="14" fillId="0" borderId="0" xfId="0" applyFont="1" applyFill="1" applyAlignment="1">
      <alignment horizontal="justify" vertical="top" wrapText="1"/>
    </xf>
    <xf numFmtId="3" fontId="5" fillId="0" borderId="0" xfId="0" applyNumberFormat="1" applyFont="1"/>
    <xf numFmtId="0" fontId="17" fillId="0" borderId="0" xfId="0" applyFont="1" applyFill="1" applyBorder="1" applyAlignment="1">
      <alignment vertical="center" wrapText="1"/>
    </xf>
    <xf numFmtId="0" fontId="6" fillId="0" borderId="0" xfId="0" applyFont="1" applyFill="1" applyBorder="1" applyAlignment="1">
      <alignment horizontal="left"/>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0" xfId="0" applyFont="1" applyAlignment="1">
      <alignment horizontal="center"/>
    </xf>
    <xf numFmtId="0" fontId="6" fillId="0" borderId="0" xfId="0" applyFont="1"/>
    <xf numFmtId="0" fontId="6" fillId="0" borderId="0" xfId="0" applyFont="1" applyFill="1"/>
    <xf numFmtId="0" fontId="5" fillId="0" borderId="0" xfId="0" applyFont="1" applyFill="1" applyAlignment="1">
      <alignment horizontal="center"/>
    </xf>
    <xf numFmtId="0" fontId="8" fillId="0" borderId="0" xfId="0" applyFont="1" applyFill="1" applyAlignment="1">
      <alignment horizontal="justify" vertical="top" wrapText="1"/>
    </xf>
    <xf numFmtId="0" fontId="5" fillId="0" borderId="0" xfId="0" applyFont="1" applyFill="1" applyAlignment="1">
      <alignment horizontal="center"/>
    </xf>
    <xf numFmtId="0" fontId="24" fillId="0" borderId="0" xfId="9" applyFont="1" applyAlignment="1">
      <alignment horizontal="left"/>
    </xf>
    <xf numFmtId="0" fontId="25" fillId="0" borderId="0" xfId="10" applyFont="1" applyFill="1" applyAlignment="1">
      <alignment horizontal="center"/>
    </xf>
    <xf numFmtId="0" fontId="26" fillId="0" borderId="0" xfId="9" applyFont="1"/>
    <xf numFmtId="0" fontId="27" fillId="0" borderId="0" xfId="9" applyFont="1"/>
    <xf numFmtId="0" fontId="28" fillId="0" borderId="0" xfId="9" applyFont="1" applyAlignment="1">
      <alignment horizontal="center"/>
    </xf>
    <xf numFmtId="0" fontId="29" fillId="0" borderId="0" xfId="9" applyFont="1" applyAlignment="1">
      <alignment horizontal="center"/>
    </xf>
    <xf numFmtId="0" fontId="26" fillId="0" borderId="0" xfId="9" applyFont="1" applyAlignment="1">
      <alignment horizontal="center"/>
    </xf>
    <xf numFmtId="0" fontId="31" fillId="0" borderId="0" xfId="9" applyFont="1" applyAlignment="1">
      <alignment horizontal="left"/>
    </xf>
    <xf numFmtId="0" fontId="30" fillId="0" borderId="0" xfId="9" applyFont="1" applyBorder="1" applyAlignment="1">
      <alignment horizontal="center"/>
    </xf>
    <xf numFmtId="0" fontId="33" fillId="0" borderId="0" xfId="9" applyFont="1" applyFill="1" applyBorder="1" applyAlignment="1">
      <alignment horizontal="left"/>
    </xf>
    <xf numFmtId="0" fontId="33" fillId="0" borderId="0" xfId="9" applyFont="1"/>
    <xf numFmtId="166" fontId="32" fillId="4" borderId="28" xfId="0" applyNumberFormat="1" applyFont="1" applyFill="1" applyBorder="1" applyAlignment="1" applyProtection="1">
      <alignment horizontal="center"/>
    </xf>
    <xf numFmtId="166" fontId="32" fillId="4" borderId="20" xfId="0" applyNumberFormat="1" applyFont="1" applyFill="1" applyBorder="1" applyAlignment="1" applyProtection="1">
      <alignment horizontal="center"/>
    </xf>
    <xf numFmtId="0" fontId="32" fillId="4" borderId="27" xfId="0" applyFont="1" applyFill="1" applyBorder="1" applyAlignment="1" applyProtection="1">
      <alignment horizontal="left" vertical="center"/>
    </xf>
    <xf numFmtId="167" fontId="34" fillId="0" borderId="5" xfId="9" applyNumberFormat="1" applyFont="1" applyFill="1" applyBorder="1" applyAlignment="1">
      <alignment horizontal="right" wrapText="1"/>
    </xf>
    <xf numFmtId="0" fontId="32" fillId="5" borderId="36" xfId="2" applyFont="1" applyFill="1" applyBorder="1" applyAlignment="1" applyProtection="1">
      <alignment horizontal="left" wrapText="1"/>
    </xf>
    <xf numFmtId="167" fontId="32" fillId="6" borderId="55" xfId="9" applyNumberFormat="1" applyFont="1" applyFill="1" applyBorder="1" applyAlignment="1">
      <alignment horizontal="right" vertical="center" wrapText="1"/>
    </xf>
    <xf numFmtId="0" fontId="26" fillId="0" borderId="35" xfId="9" applyFont="1" applyFill="1" applyBorder="1" applyAlignment="1">
      <alignment horizontal="left"/>
    </xf>
    <xf numFmtId="0" fontId="26" fillId="0" borderId="36" xfId="9" applyFont="1" applyFill="1" applyBorder="1" applyAlignment="1">
      <alignment horizontal="left"/>
    </xf>
    <xf numFmtId="167" fontId="26" fillId="7" borderId="36" xfId="9" applyNumberFormat="1" applyFont="1" applyFill="1" applyBorder="1" applyAlignment="1">
      <alignment horizontal="right"/>
    </xf>
    <xf numFmtId="0" fontId="26" fillId="0" borderId="35" xfId="9" applyFont="1" applyBorder="1" applyAlignment="1">
      <alignment horizontal="left"/>
    </xf>
    <xf numFmtId="0" fontId="26" fillId="0" borderId="36" xfId="9" applyFont="1" applyBorder="1" applyAlignment="1">
      <alignment horizontal="left" wrapText="1"/>
    </xf>
    <xf numFmtId="167" fontId="29" fillId="7" borderId="36" xfId="9" applyNumberFormat="1" applyFont="1" applyFill="1" applyBorder="1" applyAlignment="1">
      <alignment horizontal="right" vertical="center"/>
    </xf>
    <xf numFmtId="0" fontId="26" fillId="0" borderId="36" xfId="9" applyFont="1" applyBorder="1" applyAlignment="1">
      <alignment horizontal="left"/>
    </xf>
    <xf numFmtId="167" fontId="26" fillId="0" borderId="36" xfId="9" applyNumberFormat="1" applyFont="1" applyBorder="1" applyAlignment="1">
      <alignment horizontal="right"/>
    </xf>
    <xf numFmtId="0" fontId="34" fillId="0" borderId="36" xfId="9" applyFont="1" applyBorder="1" applyAlignment="1">
      <alignment horizontal="left" wrapText="1"/>
    </xf>
    <xf numFmtId="0" fontId="32" fillId="5" borderId="28" xfId="5" applyFont="1" applyFill="1" applyBorder="1" applyAlignment="1" applyProtection="1">
      <alignment horizontal="left" vertical="center" wrapText="1"/>
    </xf>
    <xf numFmtId="0" fontId="34" fillId="0" borderId="35" xfId="9" applyFont="1" applyBorder="1" applyAlignment="1">
      <alignment horizontal="left" wrapText="1"/>
    </xf>
    <xf numFmtId="0" fontId="34" fillId="0" borderId="28" xfId="5" applyFont="1" applyFill="1" applyBorder="1" applyAlignment="1" applyProtection="1">
      <alignment horizontal="left" wrapText="1"/>
    </xf>
    <xf numFmtId="0" fontId="32" fillId="0" borderId="28" xfId="5" applyFont="1" applyFill="1" applyBorder="1" applyAlignment="1" applyProtection="1">
      <alignment horizontal="left" wrapText="1"/>
    </xf>
    <xf numFmtId="0" fontId="29" fillId="0" borderId="35" xfId="9" applyFont="1" applyFill="1" applyBorder="1" applyAlignment="1">
      <alignment horizontal="left" vertical="center"/>
    </xf>
    <xf numFmtId="167" fontId="29" fillId="6" borderId="36" xfId="9" applyNumberFormat="1" applyFont="1" applyFill="1" applyBorder="1" applyAlignment="1">
      <alignment horizontal="right" vertical="center"/>
    </xf>
    <xf numFmtId="0" fontId="35" fillId="0" borderId="0" xfId="9" applyFont="1" applyFill="1"/>
    <xf numFmtId="0" fontId="32" fillId="7" borderId="35" xfId="9" applyFont="1" applyFill="1" applyBorder="1" applyAlignment="1">
      <alignment horizontal="left" vertical="center" wrapText="1"/>
    </xf>
    <xf numFmtId="0" fontId="32" fillId="7" borderId="14" xfId="5" applyFont="1" applyFill="1" applyBorder="1" applyAlignment="1" applyProtection="1">
      <alignment horizontal="left" vertical="center" wrapText="1"/>
    </xf>
    <xf numFmtId="167" fontId="29" fillId="7" borderId="36" xfId="11" applyNumberFormat="1" applyFont="1" applyFill="1" applyBorder="1" applyAlignment="1">
      <alignment horizontal="right" vertical="center"/>
    </xf>
    <xf numFmtId="0" fontId="32" fillId="4" borderId="27" xfId="5" applyFont="1" applyFill="1" applyBorder="1" applyAlignment="1" applyProtection="1">
      <alignment horizontal="left" vertical="center" wrapText="1"/>
    </xf>
    <xf numFmtId="0" fontId="34" fillId="0" borderId="35" xfId="9" applyFont="1" applyFill="1" applyBorder="1" applyAlignment="1">
      <alignment horizontal="left" wrapText="1"/>
    </xf>
    <xf numFmtId="0" fontId="34" fillId="0" borderId="36" xfId="9" applyFont="1" applyFill="1" applyBorder="1" applyAlignment="1">
      <alignment horizontal="left" wrapText="1"/>
    </xf>
    <xf numFmtId="167" fontId="26" fillId="0" borderId="36" xfId="9" applyNumberFormat="1" applyFont="1" applyFill="1" applyBorder="1" applyAlignment="1">
      <alignment horizontal="right"/>
    </xf>
    <xf numFmtId="0" fontId="32" fillId="0" borderId="35" xfId="9" applyFont="1" applyFill="1" applyBorder="1" applyAlignment="1">
      <alignment horizontal="left" vertical="center" wrapText="1"/>
    </xf>
    <xf numFmtId="0" fontId="32" fillId="7" borderId="36" xfId="9" applyFont="1" applyFill="1" applyBorder="1" applyAlignment="1">
      <alignment horizontal="left" vertical="center" wrapText="1"/>
    </xf>
    <xf numFmtId="0" fontId="32" fillId="7" borderId="36" xfId="5" applyFont="1" applyFill="1" applyBorder="1" applyAlignment="1" applyProtection="1">
      <alignment horizontal="left" vertical="center" wrapText="1"/>
    </xf>
    <xf numFmtId="0" fontId="32" fillId="4" borderId="36" xfId="5" applyFont="1" applyFill="1" applyBorder="1" applyAlignment="1" applyProtection="1">
      <alignment horizontal="left" vertical="center" wrapText="1"/>
    </xf>
    <xf numFmtId="167" fontId="26" fillId="0" borderId="36" xfId="11" applyNumberFormat="1" applyFont="1" applyFill="1" applyBorder="1" applyAlignment="1">
      <alignment horizontal="right" vertical="center"/>
    </xf>
    <xf numFmtId="167" fontId="26" fillId="4" borderId="36" xfId="11" applyNumberFormat="1" applyFont="1" applyFill="1" applyBorder="1" applyAlignment="1">
      <alignment horizontal="right" vertical="center"/>
    </xf>
    <xf numFmtId="0" fontId="32" fillId="5" borderId="36" xfId="9" applyFont="1" applyFill="1" applyBorder="1" applyAlignment="1">
      <alignment horizontal="left" vertical="center" wrapText="1"/>
    </xf>
    <xf numFmtId="3" fontId="32" fillId="5" borderId="36" xfId="9" applyNumberFormat="1" applyFont="1" applyFill="1" applyBorder="1" applyAlignment="1">
      <alignment vertical="center" wrapText="1"/>
    </xf>
    <xf numFmtId="167" fontId="29" fillId="5" borderId="36" xfId="9" applyNumberFormat="1" applyFont="1" applyFill="1" applyBorder="1" applyAlignment="1">
      <alignment horizontal="right" vertical="center"/>
    </xf>
    <xf numFmtId="0" fontId="32" fillId="0" borderId="38" xfId="9" applyFont="1" applyFill="1" applyBorder="1" applyAlignment="1">
      <alignment horizontal="left" vertical="center" wrapText="1"/>
    </xf>
    <xf numFmtId="3" fontId="32" fillId="5" borderId="39" xfId="9" applyNumberFormat="1" applyFont="1" applyFill="1" applyBorder="1" applyAlignment="1">
      <alignment vertical="center" wrapText="1"/>
    </xf>
    <xf numFmtId="3" fontId="33" fillId="0" borderId="0" xfId="9" applyNumberFormat="1" applyFont="1" applyFill="1" applyBorder="1"/>
    <xf numFmtId="3" fontId="26" fillId="0" borderId="0" xfId="9" applyNumberFormat="1" applyFont="1" applyFill="1" applyBorder="1"/>
    <xf numFmtId="0" fontId="33" fillId="0" borderId="0" xfId="9" applyFont="1" applyFill="1" applyAlignment="1">
      <alignment horizontal="left"/>
    </xf>
    <xf numFmtId="0" fontId="33" fillId="0" borderId="0" xfId="9" applyFont="1" applyFill="1"/>
    <xf numFmtId="3" fontId="26" fillId="0" borderId="0" xfId="9" applyNumberFormat="1" applyFont="1" applyFill="1"/>
    <xf numFmtId="0" fontId="36" fillId="8" borderId="0" xfId="9" applyFont="1" applyFill="1"/>
    <xf numFmtId="3" fontId="37" fillId="8" borderId="0" xfId="9" applyNumberFormat="1" applyFont="1" applyFill="1"/>
    <xf numFmtId="0" fontId="26" fillId="0" borderId="0" xfId="9" applyFont="1" applyFill="1"/>
    <xf numFmtId="0" fontId="24" fillId="0" borderId="0" xfId="9" applyFont="1" applyFill="1" applyAlignment="1">
      <alignment horizontal="left"/>
    </xf>
    <xf numFmtId="0" fontId="24" fillId="0" borderId="0" xfId="9" applyFont="1" applyFill="1"/>
    <xf numFmtId="0" fontId="24" fillId="0" borderId="0" xfId="9" applyFont="1"/>
    <xf numFmtId="3" fontId="7" fillId="0" borderId="0" xfId="0" applyNumberFormat="1" applyFont="1"/>
    <xf numFmtId="3" fontId="5" fillId="0" borderId="0" xfId="0" applyNumberFormat="1" applyFont="1" applyFill="1"/>
    <xf numFmtId="4" fontId="38" fillId="10" borderId="58" xfId="0" applyNumberFormat="1" applyFont="1" applyFill="1" applyBorder="1"/>
    <xf numFmtId="4" fontId="38" fillId="0" borderId="58" xfId="0" applyNumberFormat="1" applyFont="1" applyBorder="1"/>
    <xf numFmtId="4" fontId="38" fillId="11" borderId="58" xfId="0" applyNumberFormat="1" applyFont="1" applyFill="1" applyBorder="1"/>
    <xf numFmtId="49" fontId="39" fillId="9" borderId="57" xfId="0" applyNumberFormat="1" applyFont="1" applyFill="1" applyBorder="1"/>
    <xf numFmtId="49" fontId="39" fillId="9" borderId="58" xfId="0" applyNumberFormat="1" applyFont="1" applyFill="1" applyBorder="1"/>
    <xf numFmtId="49" fontId="39" fillId="9" borderId="59" xfId="0" applyNumberFormat="1" applyFont="1" applyFill="1" applyBorder="1"/>
    <xf numFmtId="0" fontId="40" fillId="0" borderId="0" xfId="0" applyFont="1"/>
    <xf numFmtId="3" fontId="0" fillId="0" borderId="0" xfId="0" applyNumberFormat="1"/>
    <xf numFmtId="3" fontId="0" fillId="0" borderId="0" xfId="0" applyNumberFormat="1" applyFill="1"/>
    <xf numFmtId="0" fontId="1" fillId="0" borderId="0" xfId="0" applyFont="1" applyFill="1"/>
    <xf numFmtId="3" fontId="5" fillId="0" borderId="5" xfId="0" applyNumberFormat="1" applyFont="1" applyFill="1" applyBorder="1" applyAlignment="1">
      <alignment horizontal="right" vertical="center"/>
    </xf>
    <xf numFmtId="3" fontId="5" fillId="0" borderId="24" xfId="0" applyNumberFormat="1" applyFont="1" applyFill="1" applyBorder="1" applyAlignment="1">
      <alignment horizontal="right" vertical="center"/>
    </xf>
    <xf numFmtId="3" fontId="5" fillId="0" borderId="25" xfId="0" applyNumberFormat="1" applyFont="1" applyFill="1" applyBorder="1" applyAlignment="1">
      <alignment horizontal="right" vertical="center"/>
    </xf>
    <xf numFmtId="0" fontId="0" fillId="0" borderId="0" xfId="0" applyAlignment="1">
      <alignment horizontal="right"/>
    </xf>
    <xf numFmtId="0" fontId="0" fillId="0" borderId="0" xfId="0" pivotButton="1"/>
    <xf numFmtId="0" fontId="0" fillId="0" borderId="0" xfId="0" applyAlignment="1">
      <alignment horizontal="left"/>
    </xf>
    <xf numFmtId="0" fontId="40" fillId="0" borderId="0" xfId="12"/>
    <xf numFmtId="49" fontId="40" fillId="0" borderId="0" xfId="12" applyNumberFormat="1"/>
    <xf numFmtId="3" fontId="40" fillId="0" borderId="0" xfId="12" applyNumberFormat="1"/>
    <xf numFmtId="49" fontId="40" fillId="0" borderId="0" xfId="12" applyNumberFormat="1" applyFill="1"/>
    <xf numFmtId="3" fontId="40" fillId="0" borderId="0" xfId="12" applyNumberFormat="1" applyFill="1"/>
    <xf numFmtId="0" fontId="45" fillId="0" borderId="0" xfId="13" applyFont="1"/>
    <xf numFmtId="0" fontId="44" fillId="9" borderId="0" xfId="13" applyFont="1" applyFill="1" applyAlignment="1">
      <alignment horizontal="left" wrapText="1"/>
    </xf>
    <xf numFmtId="0" fontId="45" fillId="0" borderId="0" xfId="13" applyFont="1" applyAlignment="1">
      <alignment horizontal="left"/>
    </xf>
    <xf numFmtId="3" fontId="45" fillId="0" borderId="0" xfId="13" applyNumberFormat="1" applyFont="1" applyAlignment="1">
      <alignment horizontal="right"/>
    </xf>
    <xf numFmtId="3" fontId="45" fillId="0" borderId="0" xfId="13" applyNumberFormat="1" applyFont="1" applyFill="1" applyAlignment="1">
      <alignment horizontal="right"/>
    </xf>
    <xf numFmtId="0" fontId="45" fillId="0" borderId="0" xfId="13" applyFont="1" applyFill="1" applyAlignment="1">
      <alignment horizontal="left"/>
    </xf>
    <xf numFmtId="0" fontId="8" fillId="0" borderId="0" xfId="0" applyFont="1" applyAlignment="1">
      <alignment horizontal="left" vertical="top"/>
    </xf>
    <xf numFmtId="0" fontId="1" fillId="0" borderId="0" xfId="0" applyFont="1" applyFill="1"/>
    <xf numFmtId="0" fontId="9" fillId="0" borderId="0" xfId="0" applyFont="1" applyFill="1" applyAlignment="1"/>
    <xf numFmtId="0" fontId="45" fillId="0" borderId="0" xfId="13" applyFont="1" applyFill="1"/>
    <xf numFmtId="3" fontId="40" fillId="0" borderId="0" xfId="12" applyNumberFormat="1" applyFont="1" applyFill="1"/>
    <xf numFmtId="167" fontId="29" fillId="0" borderId="36" xfId="9" applyNumberFormat="1" applyFont="1" applyFill="1" applyBorder="1" applyAlignment="1">
      <alignment horizontal="right" vertical="center"/>
    </xf>
    <xf numFmtId="167" fontId="29" fillId="0" borderId="36" xfId="11" applyNumberFormat="1" applyFont="1" applyFill="1" applyBorder="1" applyAlignment="1">
      <alignment horizontal="right" vertical="center"/>
    </xf>
    <xf numFmtId="0" fontId="33" fillId="0" borderId="0" xfId="9" applyFont="1" applyFill="1" applyBorder="1"/>
    <xf numFmtId="167" fontId="33" fillId="0" borderId="0" xfId="9" applyNumberFormat="1" applyFont="1" applyFill="1" applyBorder="1"/>
    <xf numFmtId="0" fontId="35" fillId="0" borderId="0" xfId="9" applyFont="1" applyFill="1" applyBorder="1"/>
    <xf numFmtId="0" fontId="38" fillId="0" borderId="57" xfId="0" applyNumberFormat="1" applyFont="1" applyFill="1" applyBorder="1"/>
    <xf numFmtId="49" fontId="38" fillId="0" borderId="58" xfId="0" applyNumberFormat="1" applyFont="1" applyFill="1" applyBorder="1"/>
    <xf numFmtId="4" fontId="38" fillId="0" borderId="58" xfId="0" applyNumberFormat="1" applyFont="1" applyFill="1" applyBorder="1"/>
    <xf numFmtId="49" fontId="38" fillId="0" borderId="57" xfId="0" applyNumberFormat="1" applyFont="1" applyFill="1" applyBorder="1"/>
    <xf numFmtId="4" fontId="38" fillId="0" borderId="59" xfId="0" applyNumberFormat="1" applyFont="1" applyFill="1" applyBorder="1"/>
    <xf numFmtId="0" fontId="0" fillId="0" borderId="0" xfId="0" applyFill="1"/>
    <xf numFmtId="0" fontId="0" fillId="0" borderId="0" xfId="0" applyFill="1" applyAlignment="1">
      <alignment horizontal="right"/>
    </xf>
    <xf numFmtId="49" fontId="40" fillId="12" borderId="0" xfId="12" applyNumberFormat="1" applyFill="1"/>
    <xf numFmtId="49" fontId="42" fillId="12" borderId="0" xfId="12" applyNumberFormat="1" applyFont="1" applyFill="1"/>
    <xf numFmtId="3" fontId="42" fillId="12" borderId="0" xfId="12" applyNumberFormat="1" applyFont="1" applyFill="1"/>
    <xf numFmtId="49" fontId="45" fillId="0" borderId="0" xfId="13" applyNumberFormat="1" applyFont="1" applyAlignment="1">
      <alignment horizontal="center"/>
    </xf>
    <xf numFmtId="0" fontId="45" fillId="0" borderId="0" xfId="13" applyFont="1" applyAlignment="1">
      <alignment horizontal="center"/>
    </xf>
    <xf numFmtId="3" fontId="42" fillId="12" borderId="0" xfId="12" applyNumberFormat="1" applyFont="1" applyFill="1" applyAlignment="1">
      <alignment horizontal="center"/>
    </xf>
    <xf numFmtId="0" fontId="2" fillId="0" borderId="0" xfId="0" applyFont="1" applyFill="1" applyAlignment="1">
      <alignment horizontal="left" vertical="top"/>
    </xf>
    <xf numFmtId="0" fontId="2" fillId="0" borderId="0" xfId="0" applyFont="1" applyFill="1" applyAlignment="1">
      <alignment horizontal="justify" vertical="top" wrapText="1"/>
    </xf>
    <xf numFmtId="0" fontId="22" fillId="0" borderId="0" xfId="0" applyFont="1" applyFill="1" applyAlignment="1">
      <alignment horizontal="left" vertical="center"/>
    </xf>
    <xf numFmtId="0" fontId="22" fillId="0" borderId="53" xfId="0" applyFont="1" applyFill="1" applyBorder="1" applyAlignment="1">
      <alignment horizontal="left" vertical="center"/>
    </xf>
    <xf numFmtId="3" fontId="5" fillId="0" borderId="24" xfId="0" applyNumberFormat="1" applyFont="1" applyFill="1" applyBorder="1" applyAlignment="1">
      <alignment horizontal="right" vertical="center"/>
    </xf>
    <xf numFmtId="3" fontId="5" fillId="0" borderId="5" xfId="0" applyNumberFormat="1" applyFont="1" applyFill="1" applyBorder="1" applyAlignment="1">
      <alignment horizontal="right" vertical="center"/>
    </xf>
    <xf numFmtId="3" fontId="5" fillId="0" borderId="25" xfId="0" applyNumberFormat="1" applyFont="1" applyFill="1" applyBorder="1" applyAlignment="1">
      <alignment horizontal="right" vertical="center"/>
    </xf>
    <xf numFmtId="0" fontId="5" fillId="0" borderId="2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25" xfId="0" applyFont="1" applyFill="1" applyBorder="1" applyAlignment="1">
      <alignment horizontal="left" vertical="center" wrapText="1"/>
    </xf>
    <xf numFmtId="3" fontId="5" fillId="0" borderId="11" xfId="0" applyNumberFormat="1" applyFont="1" applyFill="1" applyBorder="1" applyAlignment="1">
      <alignment horizontal="right" vertical="center"/>
    </xf>
    <xf numFmtId="3" fontId="5" fillId="0" borderId="3" xfId="0" applyNumberFormat="1" applyFont="1" applyFill="1" applyBorder="1" applyAlignment="1">
      <alignment horizontal="right" vertical="center"/>
    </xf>
    <xf numFmtId="3" fontId="5" fillId="0" borderId="12" xfId="0" applyNumberFormat="1" applyFont="1" applyFill="1" applyBorder="1" applyAlignment="1">
      <alignment horizontal="right" vertical="center"/>
    </xf>
    <xf numFmtId="0" fontId="22" fillId="0" borderId="20" xfId="0" applyFont="1" applyFill="1" applyBorder="1" applyAlignment="1">
      <alignment horizontal="left" vertical="center"/>
    </xf>
    <xf numFmtId="3" fontId="5" fillId="0" borderId="36" xfId="0" applyNumberFormat="1" applyFont="1" applyFill="1" applyBorder="1" applyAlignment="1">
      <alignment horizontal="right"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1"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17" fillId="0" borderId="9" xfId="0" applyFont="1" applyFill="1" applyBorder="1" applyAlignment="1">
      <alignment horizontal="left" vertical="center" wrapText="1"/>
    </xf>
    <xf numFmtId="3" fontId="5" fillId="0" borderId="9" xfId="0" applyNumberFormat="1" applyFont="1" applyFill="1" applyBorder="1" applyAlignment="1">
      <alignment horizontal="right" vertical="center" wrapText="1"/>
    </xf>
    <xf numFmtId="3" fontId="5" fillId="0" borderId="4" xfId="0" applyNumberFormat="1" applyFont="1" applyFill="1" applyBorder="1" applyAlignment="1">
      <alignment horizontal="right" vertical="center"/>
    </xf>
    <xf numFmtId="3" fontId="5" fillId="0" borderId="6" xfId="0" applyNumberFormat="1" applyFont="1" applyFill="1" applyBorder="1" applyAlignment="1">
      <alignment horizontal="right" vertical="center"/>
    </xf>
    <xf numFmtId="0" fontId="5" fillId="0" borderId="36" xfId="0" applyFont="1" applyFill="1" applyBorder="1" applyAlignment="1">
      <alignment horizontal="center" vertical="center"/>
    </xf>
    <xf numFmtId="0" fontId="22" fillId="0" borderId="51" xfId="0" applyFont="1" applyFill="1" applyBorder="1" applyAlignment="1">
      <alignment horizontal="left" vertical="center"/>
    </xf>
    <xf numFmtId="0" fontId="22" fillId="0" borderId="52" xfId="0" applyFont="1" applyFill="1" applyBorder="1" applyAlignment="1">
      <alignment horizontal="left" vertical="center"/>
    </xf>
    <xf numFmtId="0" fontId="21" fillId="0" borderId="53" xfId="0" applyFont="1" applyFill="1" applyBorder="1" applyAlignment="1">
      <alignment horizontal="left"/>
    </xf>
    <xf numFmtId="0" fontId="21" fillId="0" borderId="0" xfId="0" applyFont="1" applyFill="1" applyAlignment="1">
      <alignment horizontal="left"/>
    </xf>
    <xf numFmtId="3" fontId="6" fillId="0" borderId="4" xfId="0" applyNumberFormat="1" applyFont="1" applyFill="1" applyBorder="1" applyAlignment="1">
      <alignment horizontal="right" vertical="center"/>
    </xf>
    <xf numFmtId="3" fontId="6" fillId="0" borderId="5" xfId="0" applyNumberFormat="1" applyFont="1" applyFill="1" applyBorder="1" applyAlignment="1">
      <alignment horizontal="right" vertical="center"/>
    </xf>
    <xf numFmtId="3" fontId="6" fillId="0" borderId="6" xfId="0" applyNumberFormat="1" applyFont="1" applyFill="1" applyBorder="1" applyAlignment="1">
      <alignment horizontal="right"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22" fillId="0" borderId="27" xfId="0" applyFont="1" applyFill="1" applyBorder="1" applyAlignment="1">
      <alignment horizontal="left" vertical="center"/>
    </xf>
    <xf numFmtId="0" fontId="22" fillId="0" borderId="14" xfId="0" applyFont="1" applyFill="1" applyBorder="1" applyAlignment="1">
      <alignment horizontal="left" vertical="center"/>
    </xf>
    <xf numFmtId="0" fontId="22" fillId="0" borderId="28" xfId="0" applyFont="1" applyFill="1" applyBorder="1" applyAlignment="1">
      <alignment horizontal="left" vertical="center"/>
    </xf>
    <xf numFmtId="0" fontId="5" fillId="0" borderId="9" xfId="0" applyFont="1" applyFill="1" applyBorder="1" applyAlignment="1">
      <alignment horizontal="left" vertical="center" wrapText="1"/>
    </xf>
    <xf numFmtId="3" fontId="6" fillId="0" borderId="8" xfId="0" applyNumberFormat="1" applyFont="1" applyFill="1" applyBorder="1" applyAlignment="1">
      <alignment horizontal="right" vertical="center" wrapText="1"/>
    </xf>
    <xf numFmtId="0" fontId="1" fillId="0" borderId="24" xfId="0" applyFont="1" applyFill="1" applyBorder="1" applyAlignment="1">
      <alignment horizontal="center"/>
    </xf>
    <xf numFmtId="0" fontId="5" fillId="0" borderId="5" xfId="0" applyFont="1" applyFill="1" applyBorder="1" applyAlignment="1">
      <alignment horizontal="center"/>
    </xf>
    <xf numFmtId="0" fontId="5" fillId="0" borderId="25" xfId="0" applyFont="1" applyFill="1" applyBorder="1" applyAlignment="1">
      <alignment horizontal="center"/>
    </xf>
    <xf numFmtId="0" fontId="5" fillId="0" borderId="24" xfId="0" applyFont="1" applyFill="1" applyBorder="1" applyAlignment="1">
      <alignment horizontal="center"/>
    </xf>
    <xf numFmtId="3" fontId="1" fillId="0" borderId="9" xfId="0" applyNumberFormat="1" applyFont="1" applyFill="1" applyBorder="1" applyAlignment="1">
      <alignment horizontal="right" vertical="center" wrapText="1"/>
    </xf>
    <xf numFmtId="3" fontId="6" fillId="0" borderId="9" xfId="0" applyNumberFormat="1" applyFont="1" applyFill="1" applyBorder="1" applyAlignment="1">
      <alignment horizontal="right" vertical="center" wrapText="1"/>
    </xf>
    <xf numFmtId="0" fontId="6" fillId="0" borderId="9"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17" xfId="0" applyFont="1" applyFill="1" applyBorder="1" applyAlignment="1">
      <alignment horizontal="left" vertical="center" wrapText="1"/>
    </xf>
    <xf numFmtId="3" fontId="5" fillId="0" borderId="10" xfId="0" applyNumberFormat="1" applyFont="1" applyFill="1" applyBorder="1" applyAlignment="1">
      <alignment horizontal="right" vertical="center"/>
    </xf>
    <xf numFmtId="0" fontId="5" fillId="0" borderId="9" xfId="0" applyFont="1" applyFill="1" applyBorder="1" applyAlignment="1">
      <alignment horizontal="left" vertical="center"/>
    </xf>
    <xf numFmtId="3" fontId="5" fillId="0" borderId="9" xfId="0" applyNumberFormat="1" applyFont="1" applyFill="1" applyBorder="1" applyAlignment="1">
      <alignment horizontal="right" vertical="center"/>
    </xf>
    <xf numFmtId="0" fontId="5" fillId="0" borderId="24" xfId="0" applyFont="1" applyFill="1" applyBorder="1" applyAlignment="1">
      <alignment horizontal="left" vertical="center"/>
    </xf>
    <xf numFmtId="0" fontId="5" fillId="0" borderId="5" xfId="0" applyFont="1" applyFill="1" applyBorder="1" applyAlignment="1">
      <alignment horizontal="left" vertical="center"/>
    </xf>
    <xf numFmtId="0" fontId="5" fillId="0" borderId="25" xfId="0" applyFont="1" applyFill="1" applyBorder="1" applyAlignment="1">
      <alignment horizontal="left" vertical="center"/>
    </xf>
    <xf numFmtId="0" fontId="5" fillId="0" borderId="7" xfId="0" applyFont="1" applyFill="1" applyBorder="1" applyAlignment="1">
      <alignment horizontal="left" vertical="center"/>
    </xf>
    <xf numFmtId="0" fontId="6" fillId="0" borderId="21" xfId="0" applyFont="1" applyFill="1" applyBorder="1" applyAlignment="1">
      <alignment horizontal="left" vertical="center" wrapText="1"/>
    </xf>
    <xf numFmtId="0" fontId="6" fillId="0" borderId="22" xfId="0" applyFont="1" applyFill="1" applyBorder="1" applyAlignment="1">
      <alignment horizontal="left" vertical="center" wrapText="1"/>
    </xf>
    <xf numFmtId="0" fontId="6" fillId="0" borderId="23" xfId="0" applyFont="1" applyFill="1" applyBorder="1" applyAlignment="1">
      <alignment horizontal="left" vertical="center" wrapText="1"/>
    </xf>
    <xf numFmtId="3" fontId="5" fillId="0" borderId="21" xfId="0" applyNumberFormat="1" applyFont="1" applyFill="1" applyBorder="1" applyAlignment="1">
      <alignment horizontal="right" vertical="center"/>
    </xf>
    <xf numFmtId="3" fontId="5" fillId="0" borderId="22" xfId="0" applyNumberFormat="1" applyFont="1" applyFill="1" applyBorder="1" applyAlignment="1">
      <alignment horizontal="right" vertical="center"/>
    </xf>
    <xf numFmtId="3" fontId="5" fillId="0" borderId="23" xfId="0" applyNumberFormat="1" applyFont="1" applyFill="1" applyBorder="1" applyAlignment="1">
      <alignment horizontal="right" vertical="center"/>
    </xf>
    <xf numFmtId="3" fontId="1" fillId="0" borderId="24" xfId="0" applyNumberFormat="1" applyFont="1" applyFill="1" applyBorder="1" applyAlignment="1">
      <alignment horizontal="right" vertical="center" wrapText="1"/>
    </xf>
    <xf numFmtId="3" fontId="1" fillId="0" borderId="5" xfId="0" applyNumberFormat="1" applyFont="1" applyFill="1" applyBorder="1" applyAlignment="1">
      <alignment horizontal="right" vertical="center" wrapText="1"/>
    </xf>
    <xf numFmtId="3" fontId="1" fillId="0" borderId="25" xfId="0" applyNumberFormat="1" applyFont="1" applyFill="1" applyBorder="1" applyAlignment="1">
      <alignment horizontal="right" vertical="center" wrapText="1"/>
    </xf>
    <xf numFmtId="0" fontId="5" fillId="0" borderId="0" xfId="0" applyFont="1" applyFill="1" applyAlignment="1">
      <alignment horizontal="center"/>
    </xf>
    <xf numFmtId="0" fontId="6" fillId="0" borderId="7" xfId="0" applyFont="1" applyFill="1" applyBorder="1" applyAlignment="1">
      <alignment horizontal="center" vertical="center" wrapText="1"/>
    </xf>
    <xf numFmtId="0" fontId="6" fillId="0" borderId="8" xfId="0" applyFont="1" applyFill="1" applyBorder="1" applyAlignment="1">
      <alignment horizontal="left" vertical="center" wrapText="1"/>
    </xf>
    <xf numFmtId="3" fontId="5" fillId="0" borderId="8" xfId="0" applyNumberFormat="1" applyFont="1" applyFill="1" applyBorder="1" applyAlignment="1">
      <alignment horizontal="right" vertical="center"/>
    </xf>
    <xf numFmtId="0" fontId="8" fillId="0" borderId="0" xfId="0" applyFont="1" applyFill="1" applyAlignment="1">
      <alignment horizontal="justify" vertical="top" wrapText="1"/>
    </xf>
    <xf numFmtId="0" fontId="6" fillId="0" borderId="10" xfId="0" applyFont="1" applyFill="1" applyBorder="1" applyAlignment="1">
      <alignment horizontal="left" vertical="center" wrapText="1"/>
    </xf>
    <xf numFmtId="0" fontId="6" fillId="0" borderId="15"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9" xfId="0" applyFont="1" applyFill="1" applyBorder="1" applyAlignment="1">
      <alignment horizontal="center" vertical="center" wrapText="1"/>
    </xf>
    <xf numFmtId="3" fontId="6" fillId="0" borderId="24" xfId="0" applyNumberFormat="1" applyFont="1" applyFill="1" applyBorder="1" applyAlignment="1">
      <alignment horizontal="right" vertical="center"/>
    </xf>
    <xf numFmtId="3" fontId="6" fillId="0" borderId="25" xfId="0" applyNumberFormat="1" applyFont="1" applyFill="1" applyBorder="1" applyAlignment="1">
      <alignment horizontal="right" vertical="center"/>
    </xf>
    <xf numFmtId="0" fontId="6" fillId="0" borderId="26" xfId="0" applyFont="1" applyFill="1" applyBorder="1" applyAlignment="1">
      <alignment horizontal="left" vertical="center" wrapText="1"/>
    </xf>
    <xf numFmtId="3" fontId="5" fillId="0" borderId="26" xfId="0" applyNumberFormat="1" applyFont="1" applyFill="1" applyBorder="1" applyAlignment="1">
      <alignment horizontal="right" vertical="center"/>
    </xf>
    <xf numFmtId="0" fontId="6" fillId="0" borderId="11"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2" xfId="0" applyFont="1" applyFill="1" applyBorder="1" applyAlignment="1">
      <alignment horizontal="center" wrapText="1"/>
    </xf>
    <xf numFmtId="0" fontId="9" fillId="0" borderId="0" xfId="0" applyFont="1" applyFill="1" applyAlignment="1">
      <alignment horizontal="left"/>
    </xf>
    <xf numFmtId="0" fontId="2" fillId="0" borderId="0" xfId="0" applyFont="1" applyFill="1" applyAlignment="1">
      <alignment horizontal="left" vertical="top" wrapText="1"/>
    </xf>
    <xf numFmtId="0" fontId="8" fillId="0" borderId="0" xfId="0" applyFont="1" applyFill="1" applyAlignment="1">
      <alignment horizontal="left" vertical="top" wrapText="1"/>
    </xf>
    <xf numFmtId="0" fontId="6" fillId="0" borderId="29"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31" xfId="0" applyFont="1" applyFill="1" applyBorder="1" applyAlignment="1">
      <alignment horizontal="center" vertical="center"/>
    </xf>
    <xf numFmtId="0" fontId="5" fillId="2" borderId="2" xfId="0" applyFont="1" applyFill="1" applyBorder="1" applyAlignment="1">
      <alignment horizontal="center"/>
    </xf>
    <xf numFmtId="0" fontId="5" fillId="2" borderId="1" xfId="0" applyFont="1" applyFill="1" applyBorder="1" applyAlignment="1">
      <alignment horizontal="center"/>
    </xf>
    <xf numFmtId="0" fontId="2" fillId="0" borderId="0" xfId="0" applyFont="1" applyAlignment="1">
      <alignment horizontal="justify" vertical="top" wrapText="1"/>
    </xf>
    <xf numFmtId="0" fontId="8" fillId="0" borderId="0" xfId="0" applyFont="1" applyAlignment="1">
      <alignment horizontal="justify" vertical="top" wrapText="1"/>
    </xf>
    <xf numFmtId="0" fontId="6" fillId="0" borderId="7"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165" fontId="5" fillId="0" borderId="26" xfId="0" applyNumberFormat="1" applyFont="1" applyFill="1" applyBorder="1" applyAlignment="1">
      <alignment horizontal="right" vertical="center"/>
    </xf>
    <xf numFmtId="10" fontId="5" fillId="0" borderId="8" xfId="0" applyNumberFormat="1" applyFont="1" applyFill="1" applyBorder="1" applyAlignment="1">
      <alignment horizontal="right" vertical="center"/>
    </xf>
    <xf numFmtId="3" fontId="5" fillId="0" borderId="10" xfId="0" applyNumberFormat="1" applyFont="1" applyFill="1" applyBorder="1" applyAlignment="1">
      <alignment horizontal="center" vertical="center" wrapText="1"/>
    </xf>
    <xf numFmtId="0" fontId="5" fillId="0" borderId="10" xfId="0" applyNumberFormat="1" applyFont="1" applyFill="1" applyBorder="1" applyAlignment="1">
      <alignment horizontal="left" vertical="center" wrapText="1"/>
    </xf>
    <xf numFmtId="0" fontId="5" fillId="0" borderId="14" xfId="0" applyFont="1" applyFill="1" applyBorder="1" applyAlignment="1">
      <alignment horizontal="center"/>
    </xf>
    <xf numFmtId="0" fontId="1" fillId="0" borderId="8" xfId="0" applyFont="1" applyFill="1" applyBorder="1" applyAlignment="1">
      <alignment horizontal="center" vertical="center" wrapText="1"/>
    </xf>
    <xf numFmtId="10" fontId="1" fillId="0" borderId="8" xfId="0" applyNumberFormat="1" applyFont="1" applyFill="1" applyBorder="1" applyAlignment="1">
      <alignment horizontal="right" vertical="center"/>
    </xf>
    <xf numFmtId="0" fontId="5" fillId="0" borderId="8" xfId="0" applyNumberFormat="1" applyFont="1" applyFill="1" applyBorder="1" applyAlignment="1">
      <alignment horizontal="left" vertical="center" wrapText="1"/>
    </xf>
    <xf numFmtId="3" fontId="5" fillId="0" borderId="8" xfId="0" applyNumberFormat="1" applyFont="1" applyFill="1" applyBorder="1" applyAlignment="1">
      <alignment horizontal="center" vertical="center" wrapText="1"/>
    </xf>
    <xf numFmtId="0" fontId="5" fillId="0" borderId="9" xfId="0" applyNumberFormat="1" applyFont="1" applyFill="1" applyBorder="1" applyAlignment="1">
      <alignment horizontal="left" vertical="center" wrapText="1"/>
    </xf>
    <xf numFmtId="3" fontId="5" fillId="0" borderId="9" xfId="0" applyNumberFormat="1" applyFont="1" applyFill="1" applyBorder="1" applyAlignment="1">
      <alignment horizontal="center" vertical="center" wrapText="1"/>
    </xf>
    <xf numFmtId="0" fontId="6" fillId="0" borderId="0" xfId="0" applyFont="1" applyFill="1" applyAlignment="1">
      <alignment horizontal="center"/>
    </xf>
    <xf numFmtId="0" fontId="5" fillId="0" borderId="0" xfId="0" applyFont="1" applyFill="1" applyAlignment="1">
      <alignment horizontal="left"/>
    </xf>
    <xf numFmtId="0" fontId="6" fillId="0" borderId="7" xfId="0" applyFont="1" applyFill="1" applyBorder="1" applyAlignment="1">
      <alignment horizontal="center" vertical="center"/>
    </xf>
    <xf numFmtId="0" fontId="2" fillId="0" borderId="0" xfId="0" applyFont="1" applyFill="1" applyAlignment="1">
      <alignment horizontal="justify" vertical="top"/>
    </xf>
    <xf numFmtId="0" fontId="8" fillId="0" borderId="0" xfId="0" applyFont="1" applyFill="1" applyAlignment="1">
      <alignment horizontal="justify" vertical="top"/>
    </xf>
    <xf numFmtId="0" fontId="5" fillId="0" borderId="14" xfId="0" applyFont="1" applyFill="1" applyBorder="1" applyAlignment="1">
      <alignment horizontal="left"/>
    </xf>
    <xf numFmtId="3" fontId="1" fillId="0" borderId="9" xfId="0" applyNumberFormat="1" applyFont="1" applyBorder="1" applyAlignment="1">
      <alignment horizontal="right" vertical="center"/>
    </xf>
    <xf numFmtId="3" fontId="1" fillId="0" borderId="8" xfId="0" applyNumberFormat="1" applyFont="1" applyBorder="1" applyAlignment="1">
      <alignment horizontal="right" vertical="center"/>
    </xf>
    <xf numFmtId="3" fontId="1" fillId="0" borderId="24" xfId="0" applyNumberFormat="1" applyFont="1" applyBorder="1" applyAlignment="1">
      <alignment horizontal="right" vertical="center"/>
    </xf>
    <xf numFmtId="3" fontId="1" fillId="0" borderId="5" xfId="0" applyNumberFormat="1" applyFont="1" applyBorder="1" applyAlignment="1">
      <alignment horizontal="right" vertical="center"/>
    </xf>
    <xf numFmtId="3" fontId="1" fillId="0" borderId="25" xfId="0" applyNumberFormat="1" applyFont="1" applyBorder="1" applyAlignment="1">
      <alignment horizontal="right" vertical="center"/>
    </xf>
    <xf numFmtId="3" fontId="1" fillId="0" borderId="21" xfId="0" applyNumberFormat="1" applyFont="1" applyBorder="1" applyAlignment="1">
      <alignment horizontal="right" vertical="center"/>
    </xf>
    <xf numFmtId="3" fontId="1" fillId="0" borderId="22" xfId="0" applyNumberFormat="1" applyFont="1" applyBorder="1" applyAlignment="1">
      <alignment horizontal="right" vertical="center"/>
    </xf>
    <xf numFmtId="3" fontId="1" fillId="0" borderId="23" xfId="0" applyNumberFormat="1" applyFont="1" applyBorder="1" applyAlignment="1">
      <alignment horizontal="right" vertical="center"/>
    </xf>
    <xf numFmtId="0" fontId="5" fillId="0" borderId="29" xfId="0" applyFont="1" applyFill="1" applyBorder="1" applyAlignment="1">
      <alignment horizontal="left" vertical="center"/>
    </xf>
    <xf numFmtId="0" fontId="5" fillId="0" borderId="30" xfId="0" applyFont="1" applyFill="1" applyBorder="1" applyAlignment="1">
      <alignment horizontal="left" vertical="center"/>
    </xf>
    <xf numFmtId="0" fontId="5" fillId="0" borderId="31" xfId="0" applyFont="1" applyFill="1" applyBorder="1" applyAlignment="1">
      <alignment horizontal="left" vertical="center"/>
    </xf>
    <xf numFmtId="3" fontId="5" fillId="0" borderId="8" xfId="0" applyNumberFormat="1" applyFont="1" applyFill="1" applyBorder="1" applyAlignment="1">
      <alignment horizontal="right" vertical="center" wrapText="1"/>
    </xf>
    <xf numFmtId="3" fontId="5" fillId="0" borderId="10" xfId="0" applyNumberFormat="1" applyFont="1" applyFill="1" applyBorder="1" applyAlignment="1">
      <alignment horizontal="right" vertical="center" wrapText="1"/>
    </xf>
    <xf numFmtId="3" fontId="5" fillId="0" borderId="26" xfId="0" applyNumberFormat="1" applyFont="1" applyFill="1" applyBorder="1" applyAlignment="1">
      <alignment horizontal="right" vertical="center" wrapText="1"/>
    </xf>
    <xf numFmtId="0" fontId="14" fillId="0" borderId="0" xfId="0" applyFont="1" applyFill="1" applyAlignment="1">
      <alignment horizontal="justify" vertical="top" wrapText="1"/>
    </xf>
    <xf numFmtId="0" fontId="5" fillId="0" borderId="7" xfId="0" applyFont="1" applyFill="1" applyBorder="1" applyAlignment="1">
      <alignment horizontal="left" vertical="center" wrapText="1"/>
    </xf>
    <xf numFmtId="3" fontId="5" fillId="0" borderId="35" xfId="0" applyNumberFormat="1" applyFont="1" applyFill="1" applyBorder="1" applyAlignment="1">
      <alignment horizontal="right" vertical="center"/>
    </xf>
    <xf numFmtId="3" fontId="5" fillId="0" borderId="37" xfId="0" applyNumberFormat="1" applyFont="1" applyFill="1" applyBorder="1" applyAlignment="1">
      <alignment horizontal="right" vertical="center"/>
    </xf>
    <xf numFmtId="3" fontId="5" fillId="0" borderId="32" xfId="0" applyNumberFormat="1" applyFont="1" applyFill="1" applyBorder="1" applyAlignment="1">
      <alignment horizontal="right" vertical="center"/>
    </xf>
    <xf numFmtId="3" fontId="5" fillId="0" borderId="33" xfId="0" applyNumberFormat="1" applyFont="1" applyFill="1" applyBorder="1" applyAlignment="1">
      <alignment horizontal="right" vertical="center"/>
    </xf>
    <xf numFmtId="3" fontId="5" fillId="0" borderId="34" xfId="0" applyNumberFormat="1" applyFont="1" applyFill="1" applyBorder="1" applyAlignment="1">
      <alignment horizontal="right" vertical="center"/>
    </xf>
    <xf numFmtId="0" fontId="6" fillId="0" borderId="7" xfId="0" applyFont="1" applyFill="1" applyBorder="1" applyAlignment="1">
      <alignment horizontal="left" vertical="center" wrapText="1"/>
    </xf>
    <xf numFmtId="3" fontId="6" fillId="0" borderId="38" xfId="0" applyNumberFormat="1" applyFont="1" applyFill="1" applyBorder="1" applyAlignment="1">
      <alignment horizontal="right" vertical="center"/>
    </xf>
    <xf numFmtId="3" fontId="6" fillId="0" borderId="39" xfId="0" applyNumberFormat="1" applyFont="1" applyFill="1" applyBorder="1" applyAlignment="1">
      <alignment horizontal="right" vertical="center"/>
    </xf>
    <xf numFmtId="3" fontId="6" fillId="0" borderId="40" xfId="0" applyNumberFormat="1" applyFont="1" applyFill="1" applyBorder="1" applyAlignment="1">
      <alignment horizontal="right" vertical="center"/>
    </xf>
    <xf numFmtId="0" fontId="5" fillId="0" borderId="21"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5" fillId="0" borderId="23" xfId="0" applyFont="1" applyFill="1" applyBorder="1" applyAlignment="1">
      <alignment horizontal="left" vertical="center" wrapText="1"/>
    </xf>
    <xf numFmtId="3" fontId="5" fillId="0" borderId="44" xfId="0" applyNumberFormat="1" applyFont="1" applyFill="1" applyBorder="1" applyAlignment="1">
      <alignment horizontal="right" vertical="center"/>
    </xf>
    <xf numFmtId="0" fontId="8" fillId="0" borderId="0" xfId="0" applyFont="1" applyFill="1" applyAlignment="1">
      <alignment horizontal="left"/>
    </xf>
    <xf numFmtId="9" fontId="14" fillId="0" borderId="0" xfId="0" applyNumberFormat="1" applyFont="1" applyFill="1" applyAlignment="1">
      <alignment horizontal="center" vertical="top"/>
    </xf>
    <xf numFmtId="0" fontId="14" fillId="0" borderId="0" xfId="0" applyFont="1" applyFill="1" applyAlignment="1">
      <alignment horizontal="justify" vertical="top"/>
    </xf>
    <xf numFmtId="0" fontId="14" fillId="0" borderId="0" xfId="0" applyFont="1" applyFill="1" applyAlignment="1">
      <alignment horizontal="left" vertical="top"/>
    </xf>
    <xf numFmtId="3" fontId="14" fillId="0" borderId="0" xfId="0" applyNumberFormat="1" applyFont="1" applyFill="1" applyAlignment="1">
      <alignment horizontal="right" vertical="top"/>
    </xf>
    <xf numFmtId="0" fontId="5" fillId="0" borderId="10" xfId="0" applyFont="1" applyFill="1" applyBorder="1" applyAlignment="1">
      <alignment horizontal="left" vertical="center" wrapText="1"/>
    </xf>
    <xf numFmtId="0" fontId="6" fillId="0" borderId="7" xfId="0" applyFont="1" applyFill="1" applyBorder="1" applyAlignment="1">
      <alignment horizontal="left" vertical="center"/>
    </xf>
    <xf numFmtId="3" fontId="6" fillId="0" borderId="10" xfId="0" applyNumberFormat="1" applyFont="1" applyFill="1" applyBorder="1" applyAlignment="1">
      <alignment horizontal="right" vertical="center"/>
    </xf>
    <xf numFmtId="0" fontId="5" fillId="0" borderId="8" xfId="0" applyFont="1" applyFill="1" applyBorder="1" applyAlignment="1">
      <alignment horizontal="left" vertical="center" wrapText="1"/>
    </xf>
    <xf numFmtId="0" fontId="8" fillId="0" borderId="0" xfId="0" applyFont="1" applyFill="1" applyAlignment="1">
      <alignment horizontal="left" vertical="top"/>
    </xf>
    <xf numFmtId="0" fontId="6" fillId="0" borderId="29" xfId="0" applyFont="1" applyFill="1" applyBorder="1" applyAlignment="1">
      <alignment horizontal="center" vertical="center" wrapText="1"/>
    </xf>
    <xf numFmtId="0" fontId="6" fillId="0" borderId="30" xfId="0" applyFont="1" applyFill="1" applyBorder="1" applyAlignment="1">
      <alignment horizontal="center" vertical="center" wrapText="1"/>
    </xf>
    <xf numFmtId="0" fontId="6" fillId="0" borderId="31" xfId="0" applyFont="1" applyFill="1" applyBorder="1" applyAlignment="1">
      <alignment horizontal="center" vertical="center" wrapText="1"/>
    </xf>
    <xf numFmtId="0" fontId="5" fillId="0" borderId="41"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42" xfId="0" applyFont="1" applyFill="1" applyBorder="1" applyAlignment="1">
      <alignment horizontal="left" vertical="center" wrapText="1"/>
    </xf>
    <xf numFmtId="3" fontId="5" fillId="0" borderId="42" xfId="0" applyNumberFormat="1" applyFont="1" applyFill="1" applyBorder="1" applyAlignment="1">
      <alignment horizontal="right" vertical="center"/>
    </xf>
    <xf numFmtId="3" fontId="5" fillId="0" borderId="43" xfId="0" applyNumberFormat="1" applyFont="1" applyFill="1" applyBorder="1" applyAlignment="1">
      <alignment horizontal="right" vertical="center"/>
    </xf>
    <xf numFmtId="0" fontId="6" fillId="0" borderId="29" xfId="0" applyFont="1" applyFill="1" applyBorder="1" applyAlignment="1">
      <alignment horizontal="left" vertical="center" wrapText="1"/>
    </xf>
    <xf numFmtId="0" fontId="6" fillId="0" borderId="30" xfId="0" applyFont="1" applyFill="1" applyBorder="1" applyAlignment="1">
      <alignment horizontal="left" vertical="center" wrapText="1"/>
    </xf>
    <xf numFmtId="0" fontId="6" fillId="0" borderId="31" xfId="0" applyFont="1" applyFill="1" applyBorder="1" applyAlignment="1">
      <alignment horizontal="left" vertical="center" wrapText="1"/>
    </xf>
    <xf numFmtId="3" fontId="6" fillId="0" borderId="29" xfId="0" applyNumberFormat="1" applyFont="1" applyFill="1" applyBorder="1" applyAlignment="1">
      <alignment horizontal="center" vertical="center"/>
    </xf>
    <xf numFmtId="3" fontId="6" fillId="0" borderId="30" xfId="0" applyNumberFormat="1" applyFont="1" applyFill="1" applyBorder="1" applyAlignment="1">
      <alignment horizontal="center" vertical="center"/>
    </xf>
    <xf numFmtId="3" fontId="6" fillId="0" borderId="31" xfId="0" applyNumberFormat="1" applyFont="1" applyFill="1" applyBorder="1" applyAlignment="1">
      <alignment horizontal="center" vertical="center"/>
    </xf>
    <xf numFmtId="3" fontId="6" fillId="0" borderId="19" xfId="0" applyNumberFormat="1" applyFont="1" applyFill="1" applyBorder="1" applyAlignment="1">
      <alignment horizontal="right" vertical="center"/>
    </xf>
    <xf numFmtId="3" fontId="5" fillId="0" borderId="21" xfId="0" applyNumberFormat="1" applyFont="1" applyFill="1" applyBorder="1" applyAlignment="1">
      <alignment horizontal="center"/>
    </xf>
    <xf numFmtId="3" fontId="5" fillId="0" borderId="22" xfId="0" applyNumberFormat="1" applyFont="1" applyFill="1" applyBorder="1" applyAlignment="1">
      <alignment horizontal="center"/>
    </xf>
    <xf numFmtId="3" fontId="5" fillId="0" borderId="44" xfId="0" applyNumberFormat="1" applyFont="1" applyFill="1" applyBorder="1" applyAlignment="1">
      <alignment horizontal="center"/>
    </xf>
    <xf numFmtId="3" fontId="5" fillId="0" borderId="9" xfId="0" applyNumberFormat="1" applyFont="1" applyFill="1" applyBorder="1" applyAlignment="1">
      <alignment horizontal="center" vertical="center"/>
    </xf>
    <xf numFmtId="0" fontId="5" fillId="0" borderId="26" xfId="0" applyFont="1" applyFill="1" applyBorder="1" applyAlignment="1">
      <alignment horizontal="left" vertical="center"/>
    </xf>
    <xf numFmtId="3" fontId="5" fillId="0" borderId="26" xfId="0" applyNumberFormat="1" applyFont="1" applyFill="1" applyBorder="1" applyAlignment="1">
      <alignment horizontal="center" vertical="center"/>
    </xf>
    <xf numFmtId="0" fontId="5" fillId="0" borderId="45" xfId="0" applyFont="1" applyFill="1" applyBorder="1" applyAlignment="1">
      <alignment horizontal="left" vertical="center" wrapText="1"/>
    </xf>
    <xf numFmtId="3" fontId="5" fillId="0" borderId="45" xfId="0" applyNumberFormat="1" applyFont="1" applyFill="1" applyBorder="1" applyAlignment="1">
      <alignment horizontal="center"/>
    </xf>
    <xf numFmtId="3" fontId="5" fillId="0" borderId="38" xfId="0" applyNumberFormat="1" applyFont="1" applyFill="1" applyBorder="1" applyAlignment="1">
      <alignment horizontal="center"/>
    </xf>
    <xf numFmtId="0" fontId="6" fillId="0" borderId="45" xfId="0" applyFont="1" applyFill="1" applyBorder="1" applyAlignment="1">
      <alignment horizontal="left" vertical="center"/>
    </xf>
    <xf numFmtId="3" fontId="5" fillId="0" borderId="11" xfId="0" applyNumberFormat="1" applyFont="1" applyFill="1" applyBorder="1" applyAlignment="1">
      <alignment horizontal="center" vertical="center"/>
    </xf>
    <xf numFmtId="3" fontId="5" fillId="0" borderId="3" xfId="0" applyNumberFormat="1" applyFont="1" applyFill="1" applyBorder="1" applyAlignment="1">
      <alignment horizontal="center" vertical="center"/>
    </xf>
    <xf numFmtId="3" fontId="5" fillId="0" borderId="12" xfId="0" applyNumberFormat="1" applyFont="1" applyFill="1" applyBorder="1" applyAlignment="1">
      <alignment horizontal="center" vertical="center"/>
    </xf>
    <xf numFmtId="0" fontId="6" fillId="0" borderId="29" xfId="0" applyFont="1" applyFill="1" applyBorder="1" applyAlignment="1">
      <alignment horizontal="center"/>
    </xf>
    <xf numFmtId="0" fontId="6" fillId="0" borderId="30" xfId="0" applyFont="1" applyFill="1" applyBorder="1" applyAlignment="1">
      <alignment horizontal="center"/>
    </xf>
    <xf numFmtId="0" fontId="6" fillId="0" borderId="31" xfId="0" applyFont="1" applyFill="1" applyBorder="1" applyAlignment="1">
      <alignment horizontal="center"/>
    </xf>
    <xf numFmtId="3" fontId="5" fillId="0" borderId="24" xfId="0" applyNumberFormat="1" applyFont="1" applyFill="1" applyBorder="1" applyAlignment="1">
      <alignment horizontal="center" vertical="center"/>
    </xf>
    <xf numFmtId="3" fontId="5" fillId="0" borderId="5" xfId="0" applyNumberFormat="1" applyFont="1" applyFill="1" applyBorder="1" applyAlignment="1">
      <alignment horizontal="center" vertical="center"/>
    </xf>
    <xf numFmtId="3" fontId="5" fillId="0" borderId="25" xfId="0" applyNumberFormat="1" applyFont="1" applyFill="1" applyBorder="1" applyAlignment="1">
      <alignment horizontal="center" vertical="center"/>
    </xf>
    <xf numFmtId="0" fontId="5" fillId="0" borderId="24" xfId="0" applyFont="1" applyFill="1" applyBorder="1" applyAlignment="1">
      <alignment horizontal="left"/>
    </xf>
    <xf numFmtId="0" fontId="5" fillId="0" borderId="5" xfId="0" applyFont="1" applyFill="1" applyBorder="1" applyAlignment="1">
      <alignment horizontal="left"/>
    </xf>
    <xf numFmtId="0" fontId="5" fillId="0" borderId="25" xfId="0" applyFont="1" applyFill="1" applyBorder="1" applyAlignment="1">
      <alignment horizontal="left"/>
    </xf>
    <xf numFmtId="0" fontId="6" fillId="0" borderId="11" xfId="0" applyFont="1" applyFill="1" applyBorder="1" applyAlignment="1">
      <alignment horizontal="left"/>
    </xf>
    <xf numFmtId="0" fontId="6" fillId="0" borderId="3" xfId="0" applyFont="1" applyFill="1" applyBorder="1" applyAlignment="1">
      <alignment horizontal="left"/>
    </xf>
    <xf numFmtId="0" fontId="6" fillId="0" borderId="12" xfId="0" applyFont="1" applyFill="1" applyBorder="1" applyAlignment="1">
      <alignment horizontal="left"/>
    </xf>
    <xf numFmtId="0" fontId="6" fillId="0" borderId="29" xfId="0" applyFont="1" applyFill="1" applyBorder="1" applyAlignment="1">
      <alignment horizontal="left"/>
    </xf>
    <xf numFmtId="0" fontId="6" fillId="0" borderId="30" xfId="0" applyFont="1" applyFill="1" applyBorder="1" applyAlignment="1">
      <alignment horizontal="left"/>
    </xf>
    <xf numFmtId="0" fontId="6" fillId="0" borderId="31" xfId="0" applyFont="1" applyFill="1" applyBorder="1" applyAlignment="1">
      <alignment horizontal="left"/>
    </xf>
    <xf numFmtId="164" fontId="6" fillId="0" borderId="29" xfId="4" applyFont="1" applyFill="1" applyBorder="1" applyAlignment="1">
      <alignment horizontal="center" vertical="center"/>
    </xf>
    <xf numFmtId="164" fontId="6" fillId="0" borderId="30" xfId="4" applyFont="1" applyFill="1" applyBorder="1" applyAlignment="1">
      <alignment horizontal="center" vertical="center"/>
    </xf>
    <xf numFmtId="164" fontId="6" fillId="0" borderId="31" xfId="4" applyFont="1" applyFill="1" applyBorder="1" applyAlignment="1">
      <alignment horizontal="center" vertical="center"/>
    </xf>
    <xf numFmtId="0" fontId="5" fillId="0" borderId="21" xfId="0" applyFont="1" applyFill="1" applyBorder="1" applyAlignment="1">
      <alignment horizontal="left"/>
    </xf>
    <xf numFmtId="0" fontId="5" fillId="0" borderId="22" xfId="0" applyFont="1" applyFill="1" applyBorder="1" applyAlignment="1">
      <alignment horizontal="left"/>
    </xf>
    <xf numFmtId="0" fontId="5" fillId="0" borderId="23" xfId="0" applyFont="1" applyFill="1" applyBorder="1" applyAlignment="1">
      <alignment horizontal="left"/>
    </xf>
    <xf numFmtId="3" fontId="5" fillId="0" borderId="21" xfId="0" applyNumberFormat="1" applyFont="1" applyFill="1" applyBorder="1" applyAlignment="1">
      <alignment horizontal="center" vertical="center"/>
    </xf>
    <xf numFmtId="3" fontId="5" fillId="0" borderId="22" xfId="0" applyNumberFormat="1" applyFont="1" applyFill="1" applyBorder="1" applyAlignment="1">
      <alignment horizontal="center" vertical="center"/>
    </xf>
    <xf numFmtId="3" fontId="5" fillId="0" borderId="23" xfId="0" applyNumberFormat="1" applyFont="1" applyFill="1" applyBorder="1" applyAlignment="1">
      <alignment horizontal="center" vertical="center"/>
    </xf>
    <xf numFmtId="0" fontId="6" fillId="0" borderId="35" xfId="0" applyFont="1" applyFill="1" applyBorder="1" applyAlignment="1">
      <alignment horizontal="left" vertical="center" wrapText="1"/>
    </xf>
    <xf numFmtId="0" fontId="6" fillId="0" borderId="36" xfId="0" applyFont="1" applyFill="1" applyBorder="1" applyAlignment="1">
      <alignment horizontal="left" vertical="center" wrapText="1"/>
    </xf>
    <xf numFmtId="0" fontId="6" fillId="0" borderId="32"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36" xfId="0" applyFont="1" applyFill="1" applyBorder="1" applyAlignment="1">
      <alignment horizontal="center" vertical="center" wrapText="1"/>
    </xf>
    <xf numFmtId="0" fontId="6" fillId="0" borderId="37" xfId="0" applyFont="1" applyFill="1" applyBorder="1" applyAlignment="1">
      <alignment horizontal="center" vertical="center" wrapText="1"/>
    </xf>
    <xf numFmtId="0" fontId="5" fillId="0" borderId="35" xfId="0" applyFont="1" applyFill="1" applyBorder="1" applyAlignment="1">
      <alignment horizontal="left" vertical="center" wrapText="1"/>
    </xf>
    <xf numFmtId="0" fontId="5" fillId="0" borderId="3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39" xfId="0" applyFont="1" applyFill="1" applyBorder="1" applyAlignment="1">
      <alignment horizontal="left" vertical="center" wrapText="1"/>
    </xf>
    <xf numFmtId="3" fontId="5" fillId="0" borderId="39" xfId="0" applyNumberFormat="1" applyFont="1" applyFill="1" applyBorder="1" applyAlignment="1">
      <alignment horizontal="right" vertical="center"/>
    </xf>
    <xf numFmtId="3" fontId="5" fillId="0" borderId="40" xfId="0" applyNumberFormat="1" applyFont="1" applyFill="1" applyBorder="1" applyAlignment="1">
      <alignment horizontal="right" vertical="center"/>
    </xf>
    <xf numFmtId="3" fontId="5" fillId="0" borderId="36" xfId="0" applyNumberFormat="1" applyFont="1" applyBorder="1" applyAlignment="1">
      <alignment horizontal="right" vertical="center"/>
    </xf>
    <xf numFmtId="3" fontId="5" fillId="0" borderId="37" xfId="0" applyNumberFormat="1" applyFont="1" applyBorder="1" applyAlignment="1">
      <alignment horizontal="right" vertical="center"/>
    </xf>
    <xf numFmtId="3" fontId="1" fillId="0" borderId="36" xfId="0" applyNumberFormat="1" applyFont="1" applyBorder="1" applyAlignment="1">
      <alignment horizontal="right" vertical="center"/>
    </xf>
    <xf numFmtId="3" fontId="5" fillId="0" borderId="4" xfId="0" applyNumberFormat="1" applyFont="1" applyBorder="1" applyAlignment="1">
      <alignment horizontal="right" vertical="center"/>
    </xf>
    <xf numFmtId="3" fontId="5" fillId="0" borderId="5" xfId="0" applyNumberFormat="1" applyFont="1" applyBorder="1" applyAlignment="1">
      <alignment horizontal="right" vertical="center"/>
    </xf>
    <xf numFmtId="3" fontId="5" fillId="0" borderId="6" xfId="0" applyNumberFormat="1" applyFont="1" applyBorder="1" applyAlignment="1">
      <alignment horizontal="right" vertical="center"/>
    </xf>
    <xf numFmtId="3" fontId="1" fillId="0" borderId="39" xfId="0" applyNumberFormat="1" applyFont="1" applyBorder="1" applyAlignment="1">
      <alignment horizontal="right" vertical="center"/>
    </xf>
    <xf numFmtId="3" fontId="5" fillId="0" borderId="39" xfId="0" applyNumberFormat="1" applyFont="1" applyBorder="1" applyAlignment="1">
      <alignment horizontal="right" vertical="center"/>
    </xf>
    <xf numFmtId="3" fontId="5" fillId="0" borderId="40" xfId="0" applyNumberFormat="1" applyFont="1" applyBorder="1" applyAlignment="1">
      <alignment horizontal="right" vertical="center"/>
    </xf>
    <xf numFmtId="3" fontId="6" fillId="0" borderId="8" xfId="0" applyNumberFormat="1" applyFont="1" applyFill="1" applyBorder="1" applyAlignment="1">
      <alignment horizontal="right" vertical="center"/>
    </xf>
    <xf numFmtId="3" fontId="6" fillId="0" borderId="9" xfId="0" applyNumberFormat="1" applyFont="1" applyFill="1" applyBorder="1" applyAlignment="1">
      <alignment horizontal="right" vertical="center"/>
    </xf>
    <xf numFmtId="9" fontId="6" fillId="0" borderId="9" xfId="1" applyFont="1" applyFill="1" applyBorder="1" applyAlignment="1">
      <alignment horizontal="right" vertical="center"/>
    </xf>
    <xf numFmtId="0" fontId="3" fillId="0" borderId="0" xfId="0" applyFont="1" applyFill="1" applyAlignment="1">
      <alignment horizontal="justify" vertical="top"/>
    </xf>
    <xf numFmtId="0" fontId="6" fillId="0" borderId="24" xfId="0" applyFont="1" applyFill="1" applyBorder="1" applyAlignment="1">
      <alignment horizontal="left" vertical="center"/>
    </xf>
    <xf numFmtId="0" fontId="6" fillId="0" borderId="5" xfId="0" applyFont="1" applyFill="1" applyBorder="1" applyAlignment="1">
      <alignment horizontal="left" vertical="center"/>
    </xf>
    <xf numFmtId="0" fontId="6" fillId="0" borderId="25" xfId="0" applyFont="1" applyFill="1" applyBorder="1" applyAlignment="1">
      <alignment horizontal="left" vertical="center"/>
    </xf>
    <xf numFmtId="0" fontId="6" fillId="0" borderId="21" xfId="0" applyFont="1" applyFill="1" applyBorder="1" applyAlignment="1">
      <alignment horizontal="left" vertical="center"/>
    </xf>
    <xf numFmtId="0" fontId="6" fillId="0" borderId="22" xfId="0" applyFont="1" applyFill="1" applyBorder="1" applyAlignment="1">
      <alignment horizontal="left" vertical="center"/>
    </xf>
    <xf numFmtId="0" fontId="6" fillId="0" borderId="23" xfId="0" applyFont="1" applyFill="1" applyBorder="1" applyAlignment="1">
      <alignment horizontal="left" vertical="center"/>
    </xf>
    <xf numFmtId="0" fontId="6" fillId="0" borderId="11" xfId="0" applyFont="1" applyFill="1" applyBorder="1" applyAlignment="1">
      <alignment horizontal="left" vertical="center"/>
    </xf>
    <xf numFmtId="0" fontId="6" fillId="0" borderId="3" xfId="0" applyFont="1" applyFill="1" applyBorder="1" applyAlignment="1">
      <alignment horizontal="left" vertical="center"/>
    </xf>
    <xf numFmtId="0" fontId="6" fillId="0" borderId="12" xfId="0" applyFont="1" applyFill="1" applyBorder="1" applyAlignment="1">
      <alignment horizontal="left" vertical="center"/>
    </xf>
    <xf numFmtId="0" fontId="6" fillId="0" borderId="8" xfId="0" applyFont="1" applyFill="1" applyBorder="1" applyAlignment="1">
      <alignment horizontal="left" vertical="center"/>
    </xf>
    <xf numFmtId="0" fontId="6" fillId="0" borderId="8" xfId="0" applyFont="1" applyFill="1" applyBorder="1" applyAlignment="1">
      <alignment horizontal="center" vertical="center" wrapText="1"/>
    </xf>
    <xf numFmtId="3" fontId="6" fillId="0" borderId="7" xfId="0" applyNumberFormat="1" applyFont="1" applyFill="1" applyBorder="1" applyAlignment="1">
      <alignment horizontal="right" vertical="center"/>
    </xf>
    <xf numFmtId="0" fontId="5" fillId="0" borderId="43" xfId="0" applyFont="1" applyFill="1" applyBorder="1" applyAlignment="1">
      <alignment horizontal="left" vertical="center" wrapText="1"/>
    </xf>
    <xf numFmtId="3" fontId="5" fillId="0" borderId="21" xfId="0" applyNumberFormat="1" applyFont="1" applyFill="1" applyBorder="1" applyAlignment="1">
      <alignment horizontal="right" vertical="center" wrapText="1"/>
    </xf>
    <xf numFmtId="3" fontId="5" fillId="0" borderId="22" xfId="0" applyNumberFormat="1" applyFont="1" applyFill="1" applyBorder="1" applyAlignment="1">
      <alignment horizontal="right" vertical="center" wrapText="1"/>
    </xf>
    <xf numFmtId="3" fontId="5" fillId="0" borderId="23" xfId="0" applyNumberFormat="1" applyFont="1" applyFill="1" applyBorder="1" applyAlignment="1">
      <alignment horizontal="right" vertical="center" wrapText="1"/>
    </xf>
    <xf numFmtId="0" fontId="5" fillId="0" borderId="8" xfId="0" applyFont="1" applyFill="1" applyBorder="1" applyAlignment="1">
      <alignment horizontal="center"/>
    </xf>
    <xf numFmtId="0" fontId="6" fillId="0" borderId="24" xfId="0" applyFont="1" applyFill="1" applyBorder="1" applyAlignment="1">
      <alignment horizontal="center"/>
    </xf>
    <xf numFmtId="0" fontId="6" fillId="0" borderId="5" xfId="0" applyFont="1" applyFill="1" applyBorder="1" applyAlignment="1">
      <alignment horizontal="center"/>
    </xf>
    <xf numFmtId="0" fontId="6" fillId="0" borderId="25" xfId="0" applyFont="1" applyFill="1" applyBorder="1" applyAlignment="1">
      <alignment horizontal="center"/>
    </xf>
    <xf numFmtId="0" fontId="6" fillId="0" borderId="18"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19" xfId="0" applyFont="1" applyFill="1" applyBorder="1" applyAlignment="1">
      <alignment horizontal="left" vertical="center" wrapText="1"/>
    </xf>
    <xf numFmtId="3" fontId="5" fillId="0" borderId="45" xfId="0" applyNumberFormat="1" applyFont="1" applyFill="1" applyBorder="1" applyAlignment="1">
      <alignment horizontal="right" vertical="center" wrapText="1"/>
    </xf>
    <xf numFmtId="0" fontId="5" fillId="0" borderId="15" xfId="0" applyFont="1" applyFill="1" applyBorder="1" applyAlignment="1">
      <alignment horizontal="left" vertical="center" wrapText="1"/>
    </xf>
    <xf numFmtId="0" fontId="5" fillId="0" borderId="16" xfId="0" applyFont="1" applyFill="1" applyBorder="1" applyAlignment="1">
      <alignment horizontal="left" vertical="center" wrapText="1"/>
    </xf>
    <xf numFmtId="0" fontId="5" fillId="0" borderId="17" xfId="0" applyFont="1" applyFill="1" applyBorder="1" applyAlignment="1">
      <alignment horizontal="left" vertical="center" wrapText="1"/>
    </xf>
    <xf numFmtId="3" fontId="5" fillId="0" borderId="24" xfId="0" applyNumberFormat="1" applyFont="1" applyFill="1" applyBorder="1" applyAlignment="1">
      <alignment horizontal="right" vertical="center" wrapText="1"/>
    </xf>
    <xf numFmtId="3" fontId="5" fillId="0" borderId="5" xfId="0" applyNumberFormat="1" applyFont="1" applyFill="1" applyBorder="1" applyAlignment="1">
      <alignment horizontal="right" vertical="center" wrapText="1"/>
    </xf>
    <xf numFmtId="3" fontId="5" fillId="0" borderId="25" xfId="0" applyNumberFormat="1" applyFont="1" applyFill="1" applyBorder="1" applyAlignment="1">
      <alignment horizontal="right" vertical="center" wrapText="1"/>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9" xfId="0" applyFont="1" applyFill="1" applyBorder="1" applyAlignment="1">
      <alignment horizontal="center" vertical="center"/>
    </xf>
    <xf numFmtId="0" fontId="17" fillId="0" borderId="24"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7" fillId="0" borderId="25" xfId="0" applyFont="1" applyFill="1" applyBorder="1" applyAlignment="1">
      <alignment horizontal="left" vertical="center" wrapText="1"/>
    </xf>
    <xf numFmtId="0" fontId="6" fillId="0" borderId="2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25" xfId="0" applyFont="1" applyFill="1" applyBorder="1" applyAlignment="1">
      <alignment horizontal="left" vertical="center" wrapText="1"/>
    </xf>
    <xf numFmtId="3" fontId="6" fillId="0" borderId="21" xfId="0" applyNumberFormat="1" applyFont="1" applyFill="1" applyBorder="1" applyAlignment="1">
      <alignment horizontal="right" vertical="center" wrapText="1"/>
    </xf>
    <xf numFmtId="3" fontId="6" fillId="0" borderId="22" xfId="0" applyNumberFormat="1" applyFont="1" applyFill="1" applyBorder="1" applyAlignment="1">
      <alignment horizontal="right" vertical="center" wrapText="1"/>
    </xf>
    <xf numFmtId="3" fontId="6" fillId="0" borderId="23" xfId="0" applyNumberFormat="1" applyFont="1" applyFill="1" applyBorder="1" applyAlignment="1">
      <alignment horizontal="right" vertical="center" wrapText="1"/>
    </xf>
    <xf numFmtId="0" fontId="5" fillId="0" borderId="1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24" xfId="0" applyFont="1" applyFill="1" applyBorder="1" applyAlignment="1">
      <alignment horizontal="center" vertical="center"/>
    </xf>
    <xf numFmtId="9" fontId="5" fillId="0" borderId="4" xfId="0" applyNumberFormat="1" applyFont="1" applyFill="1" applyBorder="1" applyAlignment="1">
      <alignment horizontal="right" vertical="center"/>
    </xf>
    <xf numFmtId="9" fontId="5" fillId="0" borderId="5" xfId="0" applyNumberFormat="1" applyFont="1" applyFill="1" applyBorder="1" applyAlignment="1">
      <alignment horizontal="right" vertical="center"/>
    </xf>
    <xf numFmtId="9" fontId="5" fillId="0" borderId="25" xfId="0" applyNumberFormat="1" applyFont="1" applyFill="1" applyBorder="1" applyAlignment="1">
      <alignment horizontal="right" vertical="center"/>
    </xf>
    <xf numFmtId="3" fontId="5" fillId="0" borderId="15" xfId="0" applyNumberFormat="1" applyFont="1" applyFill="1" applyBorder="1" applyAlignment="1">
      <alignment horizontal="right" vertical="center"/>
    </xf>
    <xf numFmtId="0" fontId="5" fillId="0" borderId="46" xfId="0" applyFont="1" applyFill="1" applyBorder="1" applyAlignment="1">
      <alignment horizontal="center" vertical="center"/>
    </xf>
    <xf numFmtId="0" fontId="5" fillId="0" borderId="47" xfId="0" applyFont="1" applyFill="1" applyBorder="1" applyAlignment="1">
      <alignment horizontal="center" vertical="center"/>
    </xf>
    <xf numFmtId="0" fontId="5" fillId="0" borderId="4" xfId="0" applyFont="1" applyFill="1" applyBorder="1" applyAlignment="1">
      <alignment horizontal="right" vertical="center"/>
    </xf>
    <xf numFmtId="0" fontId="5" fillId="0" borderId="5" xfId="0" applyFont="1" applyFill="1" applyBorder="1" applyAlignment="1">
      <alignment horizontal="right" vertical="center"/>
    </xf>
    <xf numFmtId="0" fontId="5" fillId="0" borderId="25" xfId="0" applyFont="1" applyFill="1" applyBorder="1" applyAlignment="1">
      <alignment horizontal="right" vertical="center"/>
    </xf>
    <xf numFmtId="3" fontId="5" fillId="0" borderId="48" xfId="0" applyNumberFormat="1" applyFont="1" applyFill="1" applyBorder="1" applyAlignment="1">
      <alignment horizontal="right" vertical="center"/>
    </xf>
    <xf numFmtId="3" fontId="5" fillId="0" borderId="49" xfId="0" applyNumberFormat="1" applyFont="1" applyFill="1" applyBorder="1" applyAlignment="1">
      <alignment horizontal="right" vertical="center"/>
    </xf>
    <xf numFmtId="15" fontId="22" fillId="0" borderId="53" xfId="0" applyNumberFormat="1" applyFont="1" applyFill="1" applyBorder="1" applyAlignment="1">
      <alignment horizontal="left" vertical="center"/>
    </xf>
    <xf numFmtId="15" fontId="22" fillId="0" borderId="0" xfId="0" applyNumberFormat="1" applyFont="1" applyFill="1" applyAlignment="1">
      <alignment horizontal="left" vertical="center"/>
    </xf>
    <xf numFmtId="0" fontId="22" fillId="0" borderId="50" xfId="0" applyFont="1" applyFill="1" applyBorder="1" applyAlignment="1">
      <alignment horizontal="left" vertical="center"/>
    </xf>
    <xf numFmtId="0" fontId="5" fillId="0" borderId="45" xfId="0" applyFont="1" applyFill="1" applyBorder="1" applyAlignment="1">
      <alignment horizontal="center" vertical="center"/>
    </xf>
    <xf numFmtId="0" fontId="5" fillId="0" borderId="11" xfId="0" applyFont="1" applyFill="1" applyBorder="1" applyAlignment="1">
      <alignment horizontal="center" vertical="center"/>
    </xf>
    <xf numFmtId="3" fontId="5" fillId="0" borderId="45" xfId="0" applyNumberFormat="1" applyFont="1" applyFill="1" applyBorder="1" applyAlignment="1">
      <alignment horizontal="right" vertical="center"/>
    </xf>
    <xf numFmtId="3" fontId="5" fillId="0" borderId="38" xfId="0" applyNumberFormat="1" applyFont="1" applyFill="1" applyBorder="1" applyAlignment="1">
      <alignment horizontal="right" vertical="center"/>
    </xf>
    <xf numFmtId="9" fontId="5" fillId="0" borderId="56" xfId="0" applyNumberFormat="1" applyFont="1" applyFill="1" applyBorder="1" applyAlignment="1">
      <alignment horizontal="right" vertical="center"/>
    </xf>
    <xf numFmtId="9" fontId="5" fillId="0" borderId="3" xfId="0" applyNumberFormat="1" applyFont="1" applyFill="1" applyBorder="1" applyAlignment="1">
      <alignment horizontal="right" vertical="center"/>
    </xf>
    <xf numFmtId="9" fontId="5" fillId="0" borderId="12" xfId="0" applyNumberFormat="1" applyFont="1" applyFill="1" applyBorder="1" applyAlignment="1">
      <alignment horizontal="right" vertical="center"/>
    </xf>
    <xf numFmtId="3" fontId="6" fillId="0" borderId="36" xfId="0" applyNumberFormat="1" applyFont="1" applyFill="1" applyBorder="1" applyAlignment="1">
      <alignment horizontal="right" vertical="center"/>
    </xf>
    <xf numFmtId="3" fontId="5" fillId="7" borderId="4" xfId="0" applyNumberFormat="1" applyFont="1" applyFill="1" applyBorder="1" applyAlignment="1">
      <alignment horizontal="right" vertical="center"/>
    </xf>
    <xf numFmtId="3" fontId="5" fillId="7" borderId="5" xfId="0" applyNumberFormat="1" applyFont="1" applyFill="1" applyBorder="1" applyAlignment="1">
      <alignment horizontal="right" vertical="center"/>
    </xf>
    <xf numFmtId="3" fontId="5" fillId="7" borderId="6" xfId="0" applyNumberFormat="1" applyFont="1" applyFill="1" applyBorder="1" applyAlignment="1">
      <alignment horizontal="right" vertical="center"/>
    </xf>
    <xf numFmtId="0" fontId="9" fillId="0" borderId="0" xfId="0" applyFont="1" applyFill="1" applyAlignment="1">
      <alignment horizontal="left" vertical="top"/>
    </xf>
    <xf numFmtId="0" fontId="5" fillId="0" borderId="0" xfId="0" applyFont="1"/>
    <xf numFmtId="0" fontId="8" fillId="0" borderId="0" xfId="0" applyFont="1" applyAlignment="1">
      <alignment horizontal="left" vertical="top"/>
    </xf>
    <xf numFmtId="3" fontId="1" fillId="0" borderId="35" xfId="0" applyNumberFormat="1" applyFont="1" applyBorder="1" applyAlignment="1">
      <alignment horizontal="right" vertical="center"/>
    </xf>
    <xf numFmtId="0" fontId="6" fillId="0" borderId="50" xfId="0" applyFont="1" applyFill="1" applyBorder="1" applyAlignment="1">
      <alignment horizontal="center" vertical="center"/>
    </xf>
    <xf numFmtId="0" fontId="6" fillId="0" borderId="51" xfId="0" applyFont="1" applyFill="1" applyBorder="1" applyAlignment="1">
      <alignment horizontal="center" vertical="center"/>
    </xf>
    <xf numFmtId="0" fontId="6" fillId="0" borderId="52"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50" xfId="0" applyFont="1" applyFill="1" applyBorder="1" applyAlignment="1">
      <alignment horizontal="center" vertical="center" wrapText="1"/>
    </xf>
    <xf numFmtId="0" fontId="6" fillId="0" borderId="51" xfId="0" applyFont="1" applyFill="1" applyBorder="1" applyAlignment="1">
      <alignment horizontal="center" vertical="center" wrapText="1"/>
    </xf>
    <xf numFmtId="0" fontId="6" fillId="0" borderId="52" xfId="0" applyFont="1" applyFill="1" applyBorder="1" applyAlignment="1">
      <alignment horizontal="center" vertical="center" wrapText="1"/>
    </xf>
    <xf numFmtId="0" fontId="6" fillId="0" borderId="27"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28"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2" fillId="4" borderId="54" xfId="0" applyFont="1" applyFill="1" applyBorder="1" applyAlignment="1" applyProtection="1">
      <alignment horizontal="center" vertical="center" wrapText="1"/>
    </xf>
    <xf numFmtId="0" fontId="32" fillId="4" borderId="55" xfId="0" applyFont="1" applyFill="1" applyBorder="1" applyAlignment="1" applyProtection="1">
      <alignment horizontal="center" vertical="center" wrapText="1"/>
    </xf>
    <xf numFmtId="0" fontId="32" fillId="4" borderId="47" xfId="0" applyFont="1" applyFill="1" applyBorder="1" applyAlignment="1" applyProtection="1">
      <alignment horizontal="center" vertical="center" wrapText="1"/>
    </xf>
    <xf numFmtId="0" fontId="32" fillId="4" borderId="60" xfId="0" applyFont="1" applyFill="1" applyBorder="1" applyAlignment="1" applyProtection="1">
      <alignment horizontal="center" vertical="center" wrapText="1"/>
    </xf>
    <xf numFmtId="166" fontId="32" fillId="0" borderId="61" xfId="0" applyNumberFormat="1" applyFont="1" applyFill="1" applyBorder="1" applyAlignment="1" applyProtection="1">
      <alignment horizontal="center"/>
    </xf>
    <xf numFmtId="166" fontId="32" fillId="0" borderId="23" xfId="0" applyNumberFormat="1" applyFont="1" applyFill="1" applyBorder="1" applyAlignment="1" applyProtection="1">
      <alignment horizontal="center"/>
    </xf>
    <xf numFmtId="0" fontId="32" fillId="4" borderId="62" xfId="0" applyFont="1" applyFill="1" applyBorder="1" applyAlignment="1" applyProtection="1">
      <alignment horizontal="center" vertical="center" wrapText="1"/>
    </xf>
    <xf numFmtId="166" fontId="32" fillId="4" borderId="42" xfId="0" applyNumberFormat="1" applyFont="1" applyFill="1" applyBorder="1" applyAlignment="1" applyProtection="1">
      <alignment horizontal="center"/>
    </xf>
    <xf numFmtId="0" fontId="32" fillId="4" borderId="63" xfId="0" applyFont="1" applyFill="1" applyBorder="1" applyAlignment="1" applyProtection="1">
      <alignment horizontal="center" vertical="center" wrapText="1"/>
    </xf>
    <xf numFmtId="166" fontId="32" fillId="4" borderId="64" xfId="0" applyNumberFormat="1" applyFont="1" applyFill="1" applyBorder="1" applyAlignment="1" applyProtection="1">
      <alignment horizontal="center"/>
    </xf>
    <xf numFmtId="0" fontId="33" fillId="0" borderId="35" xfId="9" applyFont="1" applyBorder="1"/>
    <xf numFmtId="167" fontId="34" fillId="0" borderId="25" xfId="9" applyNumberFormat="1" applyFont="1" applyFill="1" applyBorder="1" applyAlignment="1">
      <alignment horizontal="right" wrapText="1"/>
    </xf>
    <xf numFmtId="0" fontId="32" fillId="5" borderId="63" xfId="2" applyFont="1" applyFill="1" applyBorder="1" applyAlignment="1" applyProtection="1">
      <alignment horizontal="left" wrapText="1"/>
    </xf>
    <xf numFmtId="167" fontId="32" fillId="6" borderId="65" xfId="9" applyNumberFormat="1" applyFont="1" applyFill="1" applyBorder="1" applyAlignment="1">
      <alignment horizontal="right" vertical="center" wrapText="1"/>
    </xf>
    <xf numFmtId="167" fontId="26" fillId="7" borderId="37" xfId="9" applyNumberFormat="1" applyFont="1" applyFill="1" applyBorder="1" applyAlignment="1">
      <alignment horizontal="right"/>
    </xf>
    <xf numFmtId="167" fontId="29" fillId="0" borderId="37" xfId="9" applyNumberFormat="1" applyFont="1" applyFill="1" applyBorder="1" applyAlignment="1">
      <alignment horizontal="right" vertical="center"/>
    </xf>
    <xf numFmtId="167" fontId="26" fillId="0" borderId="37" xfId="9" applyNumberFormat="1" applyFont="1" applyFill="1" applyBorder="1" applyAlignment="1">
      <alignment horizontal="right"/>
    </xf>
    <xf numFmtId="167" fontId="26" fillId="0" borderId="37" xfId="9" applyNumberFormat="1" applyFont="1" applyBorder="1" applyAlignment="1">
      <alignment horizontal="right"/>
    </xf>
    <xf numFmtId="167" fontId="32" fillId="6" borderId="37" xfId="9" applyNumberFormat="1" applyFont="1" applyFill="1" applyBorder="1" applyAlignment="1">
      <alignment horizontal="right" vertical="center" wrapText="1"/>
    </xf>
    <xf numFmtId="167" fontId="29" fillId="6" borderId="37" xfId="9" applyNumberFormat="1" applyFont="1" applyFill="1" applyBorder="1" applyAlignment="1">
      <alignment horizontal="right" vertical="center"/>
    </xf>
    <xf numFmtId="167" fontId="29" fillId="7" borderId="37" xfId="11" applyNumberFormat="1" applyFont="1" applyFill="1" applyBorder="1" applyAlignment="1">
      <alignment horizontal="right" vertical="center"/>
    </xf>
    <xf numFmtId="167" fontId="29" fillId="0" borderId="37" xfId="11" applyNumberFormat="1" applyFont="1" applyFill="1" applyBorder="1" applyAlignment="1">
      <alignment horizontal="right" vertical="center"/>
    </xf>
    <xf numFmtId="167" fontId="26" fillId="0" borderId="37" xfId="11" applyNumberFormat="1" applyFont="1" applyFill="1" applyBorder="1" applyAlignment="1">
      <alignment horizontal="right" vertical="center"/>
    </xf>
    <xf numFmtId="167" fontId="26" fillId="4" borderId="37" xfId="11" applyNumberFormat="1" applyFont="1" applyFill="1" applyBorder="1" applyAlignment="1">
      <alignment horizontal="right" vertical="center"/>
    </xf>
    <xf numFmtId="167" fontId="29" fillId="7" borderId="37" xfId="9" applyNumberFormat="1" applyFont="1" applyFill="1" applyBorder="1" applyAlignment="1">
      <alignment horizontal="right" vertical="center"/>
    </xf>
    <xf numFmtId="167" fontId="29" fillId="5" borderId="37" xfId="9" applyNumberFormat="1" applyFont="1" applyFill="1" applyBorder="1" applyAlignment="1">
      <alignment horizontal="right" vertical="center"/>
    </xf>
    <xf numFmtId="167" fontId="29" fillId="6" borderId="39" xfId="9" applyNumberFormat="1" applyFont="1" applyFill="1" applyBorder="1" applyAlignment="1">
      <alignment horizontal="right" vertical="center"/>
    </xf>
    <xf numFmtId="167" fontId="29" fillId="6" borderId="40" xfId="9" applyNumberFormat="1" applyFont="1" applyFill="1" applyBorder="1" applyAlignment="1">
      <alignment horizontal="right" vertical="center"/>
    </xf>
    <xf numFmtId="0" fontId="32" fillId="0" borderId="35" xfId="9" applyFont="1" applyBorder="1" applyAlignment="1">
      <alignment horizontal="left" wrapText="1"/>
    </xf>
    <xf numFmtId="167" fontId="29" fillId="0" borderId="36" xfId="9" applyNumberFormat="1" applyFont="1" applyFill="1" applyBorder="1" applyAlignment="1">
      <alignment horizontal="right"/>
    </xf>
    <xf numFmtId="167" fontId="29" fillId="0" borderId="37" xfId="9" applyNumberFormat="1" applyFont="1" applyFill="1" applyBorder="1" applyAlignment="1">
      <alignment horizontal="right"/>
    </xf>
    <xf numFmtId="0" fontId="35" fillId="0" borderId="0" xfId="9" applyFont="1"/>
    <xf numFmtId="0" fontId="46" fillId="0" borderId="35" xfId="9" applyFont="1" applyBorder="1" applyAlignment="1">
      <alignment horizontal="left"/>
    </xf>
    <xf numFmtId="0" fontId="46" fillId="0" borderId="36" xfId="9" applyFont="1" applyBorder="1" applyAlignment="1">
      <alignment horizontal="left" wrapText="1"/>
    </xf>
    <xf numFmtId="167" fontId="46" fillId="0" borderId="36" xfId="9" applyNumberFormat="1" applyFont="1" applyFill="1" applyBorder="1" applyAlignment="1">
      <alignment horizontal="right" vertical="center"/>
    </xf>
    <xf numFmtId="167" fontId="46" fillId="0" borderId="37" xfId="9" applyNumberFormat="1" applyFont="1" applyFill="1" applyBorder="1" applyAlignment="1">
      <alignment horizontal="right" vertical="center"/>
    </xf>
    <xf numFmtId="0" fontId="47" fillId="0" borderId="0" xfId="9" applyFont="1" applyFill="1" applyBorder="1"/>
    <xf numFmtId="0" fontId="47" fillId="0" borderId="0" xfId="9" applyFont="1"/>
    <xf numFmtId="165" fontId="1" fillId="0" borderId="8" xfId="0" applyNumberFormat="1" applyFont="1" applyFill="1" applyBorder="1" applyAlignment="1">
      <alignment horizontal="right" vertical="center"/>
    </xf>
    <xf numFmtId="165" fontId="5" fillId="0" borderId="7" xfId="0" applyNumberFormat="1" applyFont="1" applyFill="1" applyBorder="1" applyAlignment="1">
      <alignment horizontal="right" vertical="center"/>
    </xf>
    <xf numFmtId="9" fontId="5" fillId="0" borderId="29" xfId="1" applyFont="1" applyFill="1" applyBorder="1" applyAlignment="1">
      <alignment horizontal="right" vertical="center"/>
    </xf>
    <xf numFmtId="9" fontId="5" fillId="0" borderId="30" xfId="1" applyFont="1" applyFill="1" applyBorder="1" applyAlignment="1">
      <alignment horizontal="right" vertical="center"/>
    </xf>
    <xf numFmtId="9" fontId="5" fillId="0" borderId="31" xfId="1" applyFont="1" applyFill="1" applyBorder="1" applyAlignment="1">
      <alignment horizontal="right" vertical="center"/>
    </xf>
    <xf numFmtId="0" fontId="6" fillId="0" borderId="45" xfId="0" applyFont="1" applyFill="1" applyBorder="1" applyAlignment="1">
      <alignment horizontal="left" vertical="center" wrapText="1"/>
    </xf>
    <xf numFmtId="0" fontId="5" fillId="0" borderId="38" xfId="0" applyFont="1" applyFill="1" applyBorder="1" applyAlignment="1">
      <alignment horizontal="center" vertical="center"/>
    </xf>
    <xf numFmtId="0" fontId="5" fillId="0" borderId="39" xfId="0" applyFont="1" applyFill="1" applyBorder="1" applyAlignment="1">
      <alignment horizontal="center" vertical="center"/>
    </xf>
    <xf numFmtId="2" fontId="5" fillId="0" borderId="39" xfId="0" applyNumberFormat="1" applyFont="1" applyFill="1" applyBorder="1" applyAlignment="1">
      <alignment horizontal="center" vertical="center" wrapText="1"/>
    </xf>
    <xf numFmtId="3" fontId="5" fillId="0" borderId="39" xfId="0" applyNumberFormat="1" applyFont="1" applyFill="1" applyBorder="1" applyAlignment="1">
      <alignment horizontal="center" vertical="center"/>
    </xf>
    <xf numFmtId="3" fontId="5" fillId="0" borderId="40" xfId="0" applyNumberFormat="1" applyFont="1" applyFill="1" applyBorder="1" applyAlignment="1">
      <alignment horizontal="center" vertical="center"/>
    </xf>
    <xf numFmtId="0" fontId="1" fillId="0" borderId="45" xfId="0" applyFont="1" applyFill="1" applyBorder="1" applyAlignment="1">
      <alignment horizontal="left" vertical="center" wrapText="1"/>
    </xf>
  </cellXfs>
  <cellStyles count="14">
    <cellStyle name="Čiarka" xfId="4" builtinId="3"/>
    <cellStyle name="Čiarka 2" xfId="6" xr:uid="{00000000-0005-0000-0000-000001000000}"/>
    <cellStyle name="Čiarka 2 2" xfId="7" xr:uid="{00000000-0005-0000-0000-000002000000}"/>
    <cellStyle name="Normal 2" xfId="8" xr:uid="{00000000-0005-0000-0000-000003000000}"/>
    <cellStyle name="Normal 5" xfId="3" xr:uid="{00000000-0005-0000-0000-000004000000}"/>
    <cellStyle name="Normal 5 2" xfId="2" xr:uid="{00000000-0005-0000-0000-000005000000}"/>
    <cellStyle name="Normal 5 3" xfId="5" xr:uid="{00000000-0005-0000-0000-000006000000}"/>
    <cellStyle name="Normal_FS Conoco Slovakia final 2001-rounding" xfId="11" xr:uid="{00000000-0005-0000-0000-000007000000}"/>
    <cellStyle name="Normal_Notes to FS1234" xfId="10" xr:uid="{00000000-0005-0000-0000-000008000000}"/>
    <cellStyle name="Normal_Slovak statutory FS2004(Slovak)" xfId="9" xr:uid="{00000000-0005-0000-0000-000009000000}"/>
    <cellStyle name="Normálna" xfId="0" builtinId="0"/>
    <cellStyle name="Normálna 2" xfId="12" xr:uid="{3392E358-C8B9-4B34-9AB6-DDD5C55CB0EA}"/>
    <cellStyle name="Normálna 3" xfId="13" xr:uid="{3563E008-D9A8-49E0-9433-C16275924EA9}"/>
    <cellStyle name="Percentá" xfId="1" builtinId="5"/>
  </cellStyles>
  <dxfs count="4">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externalLink" Target="externalLinks/externalLink10.xml"/><Relationship Id="rId10" Type="http://schemas.openxmlformats.org/officeDocument/2006/relationships/externalLink" Target="externalLinks/externalLink5.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mrnkp\LOCALS~1\Temp\notes42C9D0\smigi\testik.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Otvoren&#233;%20polo&#382;ky%20dod&#225;vate&#318;ov%20k%20d&#225;tumu%2031.12.2020%20-%20SKUPINA.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N&#225;kupy+Prodeje%20ve%20skupin&#283;%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tvoren&#233;%20polo&#382;ky%20z&#225;kazn&#237;kov%20k%20d&#225;tumu%2031.12.2020%20-%20MIMO%20SKUP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Otvoren&#233;%20polo&#382;ky%20z&#225;kazn&#237;kov%20k%20d&#225;tumu%2031.12.2020%20-%20SKUPIN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23100%20Kr&#225;tkodob&#233;%20rezervy.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NANCE/2020-12/DzP%20PO/V&#253;po&#269;et%20splatnej%20a%20odlo&#382;enej%20dane%20za%20zda&#328;ovacie%20obdobie%202020%20-%20audit%20upravy.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84100%20V&#253;nosy%20bud&#250;cich%20obdob&#23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Obchodn&#225;%20anal&#253;za%20top%20z&#225;kazn&#237;kov%20za%20rok%202020%20-%20SPOLU.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Obchodn&#225;%20anal&#253;za%20top%20z&#225;kazn&#237;kov%20za%20rok%202020%20-%20ZAHRANICIE.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518520%20&#218;&#269;tovn&#233;,da&#328;ov&#233;%20a%20audit.slu&#382;by&#218;&#269;tovn&#233;,da&#328;ov&#233;%20a%20audit.slu&#382;b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 val="SEP US GAAP JV"/>
      <sheetName val="Konsolid. (2)"/>
      <sheetName val="character chart"/>
      <sheetName val="ValueList_Helper"/>
      <sheetName val="Invest_"/>
      <sheetName val="Konsolid__(2)"/>
      <sheetName val="SEP_US_GAAP_JV"/>
      <sheetName val="character_chart"/>
      <sheetName val="Cover"/>
      <sheetName val="VB"/>
      <sheetName val="Help_sheet"/>
      <sheetName val="Invest_1"/>
      <sheetName val="SEP_US_GAAP_JV1"/>
      <sheetName val="Konsolid__(2)1"/>
      <sheetName val="character_chart1"/>
      <sheetName val=" Financial asset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refreshError="1"/>
      <sheetData sheetId="17"/>
      <sheetData sheetId="18"/>
      <sheetData sheetId="19"/>
      <sheetData sheetId="20"/>
      <sheetData sheetId="2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13">
          <cell r="AK13">
            <v>-1835.15</v>
          </cell>
        </row>
        <row r="17">
          <cell r="AK17">
            <v>-59224.54</v>
          </cell>
        </row>
        <row r="21">
          <cell r="AK21">
            <v>-50444.15</v>
          </cell>
        </row>
        <row r="25">
          <cell r="AK25">
            <v>-9227.07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PB"/>
      <sheetName val="APZ"/>
      <sheetName val="APS"/>
      <sheetName val="APR"/>
      <sheetName val="APV"/>
      <sheetName val="APBr"/>
      <sheetName val="APPA"/>
      <sheetName val="APBA"/>
      <sheetName val="ABCZ"/>
      <sheetName val="MMSK"/>
      <sheetName val="MMCZ"/>
      <sheetName val="APP"/>
      <sheetName val="APSK"/>
      <sheetName val="summary"/>
    </sheetNames>
    <sheetDataSet>
      <sheetData sheetId="0"/>
      <sheetData sheetId="1"/>
      <sheetData sheetId="2"/>
      <sheetData sheetId="3"/>
      <sheetData sheetId="4"/>
      <sheetData sheetId="5"/>
      <sheetData sheetId="6"/>
      <sheetData sheetId="7"/>
      <sheetData sheetId="8">
        <row r="4">
          <cell r="B4" t="str">
            <v>AutoBinckBeheer nv</v>
          </cell>
          <cell r="C4"/>
          <cell r="D4"/>
          <cell r="E4"/>
          <cell r="F4"/>
          <cell r="G4"/>
          <cell r="H4"/>
          <cell r="I4">
            <v>0</v>
          </cell>
          <cell r="J4">
            <v>0</v>
          </cell>
          <cell r="K4"/>
          <cell r="L4"/>
          <cell r="M4"/>
          <cell r="N4"/>
          <cell r="O4"/>
          <cell r="P4"/>
          <cell r="Q4">
            <v>0</v>
          </cell>
          <cell r="R4">
            <v>0</v>
          </cell>
        </row>
        <row r="5">
          <cell r="B5" t="str">
            <v>AutoBinckGroup NV</v>
          </cell>
          <cell r="C5"/>
          <cell r="D5"/>
          <cell r="E5"/>
          <cell r="F5"/>
          <cell r="G5"/>
          <cell r="H5"/>
          <cell r="I5">
            <v>0</v>
          </cell>
          <cell r="J5">
            <v>0</v>
          </cell>
          <cell r="K5"/>
          <cell r="L5"/>
          <cell r="M5"/>
          <cell r="N5"/>
          <cell r="O5"/>
          <cell r="P5"/>
          <cell r="Q5">
            <v>0</v>
          </cell>
          <cell r="R5">
            <v>0</v>
          </cell>
        </row>
        <row r="6">
          <cell r="B6" t="str">
            <v>AutoBinck Shared Services Kft.</v>
          </cell>
          <cell r="C6"/>
          <cell r="D6"/>
          <cell r="E6"/>
          <cell r="F6"/>
          <cell r="G6"/>
          <cell r="H6"/>
          <cell r="I6">
            <v>0</v>
          </cell>
          <cell r="J6">
            <v>0</v>
          </cell>
          <cell r="K6"/>
          <cell r="L6"/>
          <cell r="M6"/>
          <cell r="N6"/>
          <cell r="O6"/>
          <cell r="P6"/>
          <cell r="Q6">
            <v>0</v>
          </cell>
          <cell r="R6">
            <v>0</v>
          </cell>
        </row>
        <row r="7">
          <cell r="B7" t="str">
            <v>Business Lease Group s.r.o.</v>
          </cell>
          <cell r="C7"/>
          <cell r="D7"/>
          <cell r="E7"/>
          <cell r="F7"/>
          <cell r="G7"/>
          <cell r="H7"/>
          <cell r="I7">
            <v>0</v>
          </cell>
          <cell r="J7">
            <v>0</v>
          </cell>
          <cell r="K7"/>
          <cell r="L7"/>
          <cell r="M7"/>
          <cell r="N7"/>
          <cell r="O7"/>
          <cell r="P7"/>
          <cell r="Q7">
            <v>0</v>
          </cell>
          <cell r="R7">
            <v>0</v>
          </cell>
        </row>
        <row r="8">
          <cell r="B8" t="str">
            <v>ACT</v>
          </cell>
          <cell r="C8"/>
          <cell r="D8"/>
          <cell r="E8"/>
          <cell r="F8"/>
          <cell r="G8"/>
          <cell r="H8"/>
          <cell r="I8">
            <v>0</v>
          </cell>
          <cell r="J8">
            <v>0</v>
          </cell>
          <cell r="K8"/>
          <cell r="L8"/>
          <cell r="M8"/>
          <cell r="N8"/>
          <cell r="O8"/>
          <cell r="P8"/>
          <cell r="Q8">
            <v>0</v>
          </cell>
          <cell r="R8">
            <v>0</v>
          </cell>
        </row>
        <row r="9">
          <cell r="B9" t="str">
            <v>AutoBinck Car Distribution and Retail B.V</v>
          </cell>
          <cell r="C9"/>
          <cell r="D9"/>
          <cell r="E9"/>
          <cell r="F9"/>
          <cell r="G9"/>
          <cell r="H9"/>
          <cell r="I9">
            <v>0</v>
          </cell>
          <cell r="J9">
            <v>0</v>
          </cell>
          <cell r="K9"/>
          <cell r="L9"/>
          <cell r="M9"/>
          <cell r="N9"/>
          <cell r="O9"/>
          <cell r="P9"/>
          <cell r="Q9">
            <v>0</v>
          </cell>
          <cell r="R9">
            <v>0</v>
          </cell>
        </row>
        <row r="10">
          <cell r="B10" t="str">
            <v>Hyundai AVTO Trade</v>
          </cell>
          <cell r="C10"/>
          <cell r="D10"/>
          <cell r="E10"/>
          <cell r="F10"/>
          <cell r="G10"/>
          <cell r="H10"/>
          <cell r="I10">
            <v>0</v>
          </cell>
          <cell r="J10">
            <v>0</v>
          </cell>
          <cell r="K10"/>
          <cell r="L10"/>
          <cell r="M10"/>
          <cell r="N10"/>
          <cell r="O10"/>
          <cell r="P10"/>
          <cell r="Q10">
            <v>0</v>
          </cell>
          <cell r="R10">
            <v>0</v>
          </cell>
        </row>
        <row r="11">
          <cell r="B11" t="str">
            <v>Business Lease Czech sro</v>
          </cell>
          <cell r="C11"/>
          <cell r="D11"/>
          <cell r="E11"/>
          <cell r="F11"/>
          <cell r="G11"/>
          <cell r="H11"/>
          <cell r="I11">
            <v>0</v>
          </cell>
          <cell r="J11">
            <v>0</v>
          </cell>
          <cell r="K11"/>
          <cell r="L11">
            <v>9567.39</v>
          </cell>
          <cell r="M11"/>
          <cell r="N11"/>
          <cell r="O11"/>
          <cell r="P11"/>
          <cell r="Q11">
            <v>252833.44506314996</v>
          </cell>
          <cell r="R11">
            <v>9567.39</v>
          </cell>
        </row>
        <row r="12">
          <cell r="B12" t="str">
            <v>Hyundai Holding Hungary kft</v>
          </cell>
          <cell r="C12"/>
          <cell r="D12"/>
          <cell r="E12"/>
          <cell r="F12"/>
          <cell r="G12"/>
          <cell r="H12"/>
          <cell r="I12">
            <v>0</v>
          </cell>
          <cell r="J12">
            <v>0</v>
          </cell>
          <cell r="K12"/>
          <cell r="L12"/>
          <cell r="M12"/>
          <cell r="N12"/>
          <cell r="O12"/>
          <cell r="P12"/>
          <cell r="Q12">
            <v>0</v>
          </cell>
          <cell r="R12">
            <v>0</v>
          </cell>
        </row>
        <row r="13">
          <cell r="B13" t="str">
            <v>Business Lease Slovaki sro</v>
          </cell>
          <cell r="C13"/>
          <cell r="D13">
            <v>111720.37</v>
          </cell>
          <cell r="E13"/>
          <cell r="F13"/>
          <cell r="G13"/>
          <cell r="H13"/>
          <cell r="I13">
            <v>2952387.8540364499</v>
          </cell>
          <cell r="J13">
            <v>111720.37</v>
          </cell>
          <cell r="K13"/>
          <cell r="L13">
            <v>596153.82999999996</v>
          </cell>
          <cell r="M13"/>
          <cell r="N13"/>
          <cell r="O13"/>
          <cell r="P13"/>
          <cell r="Q13">
            <v>15754309.861570548</v>
          </cell>
          <cell r="R13">
            <v>596153.82999999996</v>
          </cell>
        </row>
        <row r="14">
          <cell r="B14" t="str">
            <v>Auto-Palace Praha ks</v>
          </cell>
          <cell r="C14"/>
          <cell r="D14"/>
          <cell r="E14"/>
          <cell r="F14"/>
          <cell r="G14"/>
          <cell r="H14"/>
          <cell r="I14">
            <v>0</v>
          </cell>
          <cell r="J14">
            <v>0</v>
          </cell>
          <cell r="K14"/>
          <cell r="L14"/>
          <cell r="M14"/>
          <cell r="N14"/>
          <cell r="O14"/>
          <cell r="P14"/>
          <cell r="Q14">
            <v>0</v>
          </cell>
          <cell r="R14">
            <v>0</v>
          </cell>
        </row>
        <row r="15">
          <cell r="B15" t="str">
            <v>AutoBinck CZ sro</v>
          </cell>
          <cell r="C15">
            <v>9961472.1899999995</v>
          </cell>
          <cell r="D15"/>
          <cell r="E15"/>
          <cell r="F15"/>
          <cell r="G15"/>
          <cell r="H15"/>
          <cell r="I15">
            <v>9961472.1899999995</v>
          </cell>
          <cell r="J15">
            <v>376948.90164582367</v>
          </cell>
          <cell r="K15"/>
          <cell r="L15"/>
          <cell r="M15"/>
          <cell r="N15"/>
          <cell r="O15"/>
          <cell r="P15"/>
          <cell r="Q15">
            <v>0</v>
          </cell>
          <cell r="R15">
            <v>0</v>
          </cell>
        </row>
        <row r="16">
          <cell r="B16" t="str">
            <v>Mitsubishi Motors CZ sro</v>
          </cell>
          <cell r="C16"/>
          <cell r="D16"/>
          <cell r="E16"/>
          <cell r="F16"/>
          <cell r="G16"/>
          <cell r="H16"/>
          <cell r="I16">
            <v>0</v>
          </cell>
          <cell r="J16">
            <v>0</v>
          </cell>
          <cell r="K16"/>
          <cell r="L16">
            <v>8580.82</v>
          </cell>
          <cell r="M16"/>
          <cell r="N16"/>
          <cell r="O16"/>
          <cell r="P16"/>
          <cell r="Q16">
            <v>226761.76909969997</v>
          </cell>
          <cell r="R16">
            <v>8580.82</v>
          </cell>
        </row>
        <row r="17">
          <cell r="B17" t="str">
            <v>Auto-Palace Spořilov sro</v>
          </cell>
          <cell r="C17">
            <v>75092</v>
          </cell>
          <cell r="D17">
            <v>18440.41</v>
          </cell>
          <cell r="E17"/>
          <cell r="F17"/>
          <cell r="G17"/>
          <cell r="H17"/>
          <cell r="I17">
            <v>562409.06229984993</v>
          </cell>
          <cell r="J17">
            <v>21281.942494645067</v>
          </cell>
          <cell r="K17"/>
          <cell r="L17">
            <v>918983.08</v>
          </cell>
          <cell r="M17"/>
          <cell r="N17"/>
          <cell r="O17"/>
          <cell r="P17"/>
          <cell r="Q17">
            <v>24285584.4771818</v>
          </cell>
          <cell r="R17">
            <v>918983.08</v>
          </cell>
        </row>
        <row r="18">
          <cell r="B18" t="str">
            <v>Auto-Palace Infiniti</v>
          </cell>
          <cell r="C18"/>
          <cell r="D18"/>
          <cell r="E18"/>
          <cell r="F18"/>
          <cell r="G18"/>
          <cell r="H18"/>
          <cell r="I18">
            <v>0</v>
          </cell>
          <cell r="J18">
            <v>0</v>
          </cell>
          <cell r="K18"/>
          <cell r="L18">
            <v>676.83</v>
          </cell>
          <cell r="M18"/>
          <cell r="N18"/>
          <cell r="O18"/>
          <cell r="P18"/>
          <cell r="Q18">
            <v>17886.30552555</v>
          </cell>
          <cell r="R18">
            <v>676.83</v>
          </cell>
        </row>
        <row r="19">
          <cell r="B19" t="str">
            <v>Auto-Palace Butovice sro</v>
          </cell>
          <cell r="C19"/>
          <cell r="D19"/>
          <cell r="E19"/>
          <cell r="F19"/>
          <cell r="G19"/>
          <cell r="H19"/>
          <cell r="I19">
            <v>0</v>
          </cell>
          <cell r="J19">
            <v>0</v>
          </cell>
          <cell r="K19"/>
          <cell r="L19">
            <v>879.83</v>
          </cell>
          <cell r="M19"/>
          <cell r="N19"/>
          <cell r="O19"/>
          <cell r="P19"/>
          <cell r="Q19">
            <v>23250.902280549999</v>
          </cell>
          <cell r="R19">
            <v>879.82999999999993</v>
          </cell>
        </row>
        <row r="20">
          <cell r="B20" t="str">
            <v>Auto-Palace Západ</v>
          </cell>
          <cell r="C20"/>
          <cell r="D20"/>
          <cell r="E20"/>
          <cell r="F20"/>
          <cell r="G20"/>
          <cell r="H20"/>
          <cell r="I20">
            <v>0</v>
          </cell>
          <cell r="J20">
            <v>0</v>
          </cell>
          <cell r="K20"/>
          <cell r="L20"/>
          <cell r="M20"/>
          <cell r="N20"/>
          <cell r="O20"/>
          <cell r="P20"/>
          <cell r="Q20">
            <v>0</v>
          </cell>
          <cell r="R20">
            <v>0</v>
          </cell>
        </row>
        <row r="21">
          <cell r="B21" t="str">
            <v>Auto-Palace Vysočany</v>
          </cell>
          <cell r="C21"/>
          <cell r="D21"/>
          <cell r="E21"/>
          <cell r="F21"/>
          <cell r="G21"/>
          <cell r="H21"/>
          <cell r="I21">
            <v>0</v>
          </cell>
          <cell r="J21">
            <v>0</v>
          </cell>
          <cell r="K21"/>
          <cell r="L21"/>
          <cell r="M21"/>
          <cell r="N21"/>
          <cell r="O21"/>
          <cell r="P21"/>
          <cell r="Q21">
            <v>0</v>
          </cell>
          <cell r="R21">
            <v>0</v>
          </cell>
        </row>
        <row r="22">
          <cell r="B22" t="str">
            <v>Auto-Palace Brno</v>
          </cell>
          <cell r="C22">
            <v>11774</v>
          </cell>
          <cell r="D22"/>
          <cell r="E22"/>
          <cell r="F22"/>
          <cell r="G22"/>
          <cell r="H22"/>
          <cell r="I22">
            <v>11774</v>
          </cell>
          <cell r="J22">
            <v>445.53619016607706</v>
          </cell>
          <cell r="K22"/>
          <cell r="L22">
            <v>1217.95</v>
          </cell>
          <cell r="M22"/>
          <cell r="N22"/>
          <cell r="O22"/>
          <cell r="P22"/>
          <cell r="Q22">
            <v>32186.259200749999</v>
          </cell>
          <cell r="R22">
            <v>1217.95</v>
          </cell>
        </row>
        <row r="23">
          <cell r="B23" t="str">
            <v>Auto Palace Slovakia sro</v>
          </cell>
          <cell r="C23"/>
          <cell r="D23">
            <v>730040</v>
          </cell>
          <cell r="E23"/>
          <cell r="F23"/>
          <cell r="G23"/>
          <cell r="H23"/>
          <cell r="I23">
            <v>19292464.113400001</v>
          </cell>
          <cell r="J23">
            <v>730040.00000000012</v>
          </cell>
          <cell r="K23"/>
          <cell r="L23"/>
          <cell r="M23"/>
          <cell r="N23"/>
          <cell r="O23"/>
          <cell r="P23"/>
          <cell r="Q23">
            <v>0</v>
          </cell>
          <cell r="R23">
            <v>0</v>
          </cell>
        </row>
        <row r="24">
          <cell r="B24" t="str">
            <v>Auto Palace Panónska</v>
          </cell>
          <cell r="C24"/>
          <cell r="D24">
            <v>350701.69</v>
          </cell>
          <cell r="E24"/>
          <cell r="F24"/>
          <cell r="G24"/>
          <cell r="H24"/>
          <cell r="I24">
            <v>9267848.0204286501</v>
          </cell>
          <cell r="J24">
            <v>350701.69</v>
          </cell>
          <cell r="K24"/>
          <cell r="L24">
            <v>415724.18</v>
          </cell>
          <cell r="M24"/>
          <cell r="N24"/>
          <cell r="O24"/>
          <cell r="P24"/>
          <cell r="Q24">
            <v>10986170.3793253</v>
          </cell>
          <cell r="R24">
            <v>415724.18000000005</v>
          </cell>
        </row>
        <row r="25">
          <cell r="B25" t="str">
            <v>Mitsubishi Motors SK sro</v>
          </cell>
          <cell r="C25"/>
          <cell r="D25"/>
          <cell r="E25"/>
          <cell r="F25"/>
          <cell r="G25"/>
          <cell r="H25"/>
          <cell r="I25">
            <v>0</v>
          </cell>
          <cell r="J25">
            <v>0</v>
          </cell>
          <cell r="K25"/>
          <cell r="L25">
            <v>4254.05</v>
          </cell>
          <cell r="M25"/>
          <cell r="N25"/>
          <cell r="O25"/>
          <cell r="P25"/>
          <cell r="Q25">
            <v>112420.01391925001</v>
          </cell>
          <cell r="R25">
            <v>4254.05</v>
          </cell>
        </row>
        <row r="26">
          <cell r="B26" t="str">
            <v>Auto-Palace Bratislava</v>
          </cell>
          <cell r="C26"/>
          <cell r="D26"/>
          <cell r="E26"/>
          <cell r="F26"/>
          <cell r="G26"/>
          <cell r="H26"/>
          <cell r="I26">
            <v>0</v>
          </cell>
          <cell r="J26">
            <v>0</v>
          </cell>
          <cell r="K26"/>
          <cell r="L26"/>
          <cell r="M26"/>
          <cell r="N26"/>
          <cell r="O26"/>
          <cell r="P26"/>
          <cell r="Q26">
            <v>0</v>
          </cell>
          <cell r="R26">
            <v>0</v>
          </cell>
        </row>
        <row r="27">
          <cell r="B27" t="str">
            <v>Suma</v>
          </cell>
          <cell r="C27">
            <v>10048338.189999999</v>
          </cell>
          <cell r="D27">
            <v>1210902.47</v>
          </cell>
          <cell r="E27">
            <v>0</v>
          </cell>
          <cell r="F27">
            <v>0</v>
          </cell>
          <cell r="G27">
            <v>0</v>
          </cell>
          <cell r="H27">
            <v>0</v>
          </cell>
          <cell r="I27">
            <v>42048355.24016495</v>
          </cell>
          <cell r="J27">
            <v>1591138.4403306348</v>
          </cell>
          <cell r="K27">
            <v>0</v>
          </cell>
          <cell r="L27">
            <v>1956037.96</v>
          </cell>
          <cell r="M27">
            <v>0</v>
          </cell>
          <cell r="N27">
            <v>0</v>
          </cell>
          <cell r="O27">
            <v>0</v>
          </cell>
          <cell r="P27">
            <v>0</v>
          </cell>
          <cell r="Q27">
            <v>51691403.413166597</v>
          </cell>
          <cell r="R27">
            <v>1956037.9600000002</v>
          </cell>
        </row>
      </sheetData>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23">
          <cell r="F23">
            <v>382466.6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17">
          <cell r="AI17">
            <v>292</v>
          </cell>
        </row>
        <row r="21">
          <cell r="AI21">
            <v>121348.95</v>
          </cell>
        </row>
        <row r="25">
          <cell r="AI25">
            <v>266</v>
          </cell>
        </row>
        <row r="29">
          <cell r="AI29">
            <v>170.22</v>
          </cell>
        </row>
        <row r="44">
          <cell r="AG44">
            <v>3723.23</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cné položky"/>
    </sheetNames>
    <sheetDataSet>
      <sheetData sheetId="0">
        <row r="9">
          <cell r="K9">
            <v>-1550</v>
          </cell>
        </row>
        <row r="10">
          <cell r="K10">
            <v>-196.08</v>
          </cell>
        </row>
        <row r="11">
          <cell r="K11">
            <v>-100</v>
          </cell>
        </row>
        <row r="12">
          <cell r="K12">
            <v>-200</v>
          </cell>
        </row>
        <row r="13">
          <cell r="K13">
            <v>-1000</v>
          </cell>
        </row>
        <row r="14">
          <cell r="K14">
            <v>-100</v>
          </cell>
        </row>
        <row r="15">
          <cell r="K15">
            <v>-500</v>
          </cell>
        </row>
        <row r="16">
          <cell r="K16">
            <v>-500</v>
          </cell>
        </row>
        <row r="17">
          <cell r="K17">
            <v>-300</v>
          </cell>
        </row>
        <row r="18">
          <cell r="K18">
            <v>-1000</v>
          </cell>
        </row>
        <row r="19">
          <cell r="K19">
            <v>-49.08</v>
          </cell>
        </row>
        <row r="20">
          <cell r="K20">
            <v>-164.58</v>
          </cell>
        </row>
        <row r="21">
          <cell r="K21">
            <v>-100</v>
          </cell>
        </row>
        <row r="22">
          <cell r="K22">
            <v>-100</v>
          </cell>
        </row>
        <row r="23">
          <cell r="K23">
            <v>-530</v>
          </cell>
        </row>
        <row r="24">
          <cell r="K24">
            <v>-1550</v>
          </cell>
        </row>
        <row r="25">
          <cell r="K25">
            <v>-148.83000000000001</v>
          </cell>
        </row>
        <row r="26">
          <cell r="K26">
            <v>-300</v>
          </cell>
        </row>
        <row r="27">
          <cell r="K27">
            <v>-1700</v>
          </cell>
        </row>
        <row r="28">
          <cell r="K28">
            <v>-250</v>
          </cell>
        </row>
        <row r="29">
          <cell r="K29">
            <v>-1200</v>
          </cell>
        </row>
        <row r="30">
          <cell r="K30">
            <v>-1000</v>
          </cell>
        </row>
        <row r="31">
          <cell r="K31">
            <v>-100</v>
          </cell>
        </row>
        <row r="32">
          <cell r="K32">
            <v>-100</v>
          </cell>
        </row>
        <row r="33">
          <cell r="K33">
            <v>-530</v>
          </cell>
        </row>
        <row r="34">
          <cell r="K34">
            <v>-1550</v>
          </cell>
        </row>
        <row r="35">
          <cell r="K35">
            <v>-300</v>
          </cell>
        </row>
        <row r="36">
          <cell r="K36">
            <v>-1700</v>
          </cell>
        </row>
        <row r="37">
          <cell r="K37">
            <v>-250</v>
          </cell>
        </row>
        <row r="38">
          <cell r="K38">
            <v>-1200</v>
          </cell>
        </row>
        <row r="39">
          <cell r="K39">
            <v>-1000</v>
          </cell>
        </row>
        <row r="40">
          <cell r="K40">
            <v>-530</v>
          </cell>
        </row>
        <row r="41">
          <cell r="K41">
            <v>-1550</v>
          </cell>
        </row>
        <row r="42">
          <cell r="K42">
            <v>-1000</v>
          </cell>
        </row>
        <row r="43">
          <cell r="K43">
            <v>-530</v>
          </cell>
        </row>
        <row r="44">
          <cell r="K44">
            <v>-1550</v>
          </cell>
        </row>
        <row r="45">
          <cell r="K45">
            <v>-1159</v>
          </cell>
        </row>
        <row r="46">
          <cell r="K46">
            <v>-530</v>
          </cell>
        </row>
        <row r="47">
          <cell r="K47">
            <v>-813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latná DzP PO"/>
      <sheetName val="Odložená daň"/>
      <sheetName val="Účtovná osnova 31.12.2020"/>
      <sheetName val="Dlhodobý majetok - účt. hodnota"/>
      <sheetName val="Vplyv DM na Daň"/>
      <sheetName val="Zoznam vozidiel"/>
    </sheetNames>
    <sheetDataSet>
      <sheetData sheetId="0">
        <row r="11">
          <cell r="H11">
            <v>1154424.4299999992</v>
          </cell>
        </row>
        <row r="43">
          <cell r="H43">
            <v>950122.81000000041</v>
          </cell>
        </row>
        <row r="82">
          <cell r="H82">
            <v>229015.19129999995</v>
          </cell>
        </row>
      </sheetData>
      <sheetData sheetId="1">
        <row r="121">
          <cell r="B121">
            <v>-13317.049999999814</v>
          </cell>
        </row>
        <row r="122">
          <cell r="B122">
            <v>0</v>
          </cell>
        </row>
        <row r="123">
          <cell r="B123">
            <v>463749.42</v>
          </cell>
        </row>
        <row r="124">
          <cell r="B124">
            <v>60821.43</v>
          </cell>
        </row>
        <row r="125">
          <cell r="B125">
            <v>333678.26</v>
          </cell>
        </row>
        <row r="126">
          <cell r="B126">
            <v>220874.49000000002</v>
          </cell>
        </row>
      </sheetData>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cné položky"/>
    </sheetNames>
    <sheetDataSet>
      <sheetData sheetId="0">
        <row r="2">
          <cell r="K2">
            <v>-73.400000000000006</v>
          </cell>
        </row>
        <row r="3">
          <cell r="K3">
            <v>-267.77999999999997</v>
          </cell>
        </row>
        <row r="4">
          <cell r="K4">
            <v>-5670.49</v>
          </cell>
        </row>
        <row r="5">
          <cell r="K5">
            <v>-8057.34</v>
          </cell>
        </row>
        <row r="6">
          <cell r="K6">
            <v>-964.05</v>
          </cell>
        </row>
        <row r="7">
          <cell r="K7">
            <v>-1908.47</v>
          </cell>
        </row>
        <row r="8">
          <cell r="K8">
            <v>-2137.5</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row r="4152">
          <cell r="U4152">
            <v>5321788.7699999996</v>
          </cell>
          <cell r="AA4152">
            <v>5037874.4000000004</v>
          </cell>
        </row>
      </sheetData>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hľad zákazníkov"/>
      <sheetName val="Sheet1"/>
      <sheetName val="Sheet2"/>
      <sheetName val="Data"/>
      <sheetName val="Pivot-KRAJINY"/>
    </sheetNames>
    <sheetDataSet>
      <sheetData sheetId="0"/>
      <sheetData sheetId="1"/>
      <sheetData sheetId="2"/>
      <sheetData sheetId="3"/>
      <sheetData sheetId="4">
        <row r="4">
          <cell r="A4" t="str">
            <v>CZ</v>
          </cell>
          <cell r="B4">
            <v>1983313.47</v>
          </cell>
          <cell r="C4">
            <v>133119.32</v>
          </cell>
          <cell r="D4">
            <v>43988.1</v>
          </cell>
        </row>
        <row r="5">
          <cell r="A5" t="str">
            <v>DE</v>
          </cell>
          <cell r="B5">
            <v>644815.82999999996</v>
          </cell>
          <cell r="C5">
            <v>0</v>
          </cell>
          <cell r="D5">
            <v>2941.3399999999997</v>
          </cell>
        </row>
        <row r="6">
          <cell r="A6" t="str">
            <v>HU</v>
          </cell>
          <cell r="B6">
            <v>489924.17</v>
          </cell>
          <cell r="C6">
            <v>2670.01</v>
          </cell>
          <cell r="D6">
            <v>671.86</v>
          </cell>
        </row>
        <row r="7">
          <cell r="A7" t="str">
            <v>RO</v>
          </cell>
          <cell r="B7">
            <v>144167</v>
          </cell>
          <cell r="C7">
            <v>4200</v>
          </cell>
          <cell r="D7">
            <v>633.24</v>
          </cell>
        </row>
        <row r="8">
          <cell r="A8" t="str">
            <v>NL</v>
          </cell>
          <cell r="B8">
            <v>133300</v>
          </cell>
          <cell r="C8">
            <v>169.56</v>
          </cell>
          <cell r="D8">
            <v>177.05</v>
          </cell>
        </row>
        <row r="9">
          <cell r="A9" t="str">
            <v>AT</v>
          </cell>
          <cell r="B9">
            <v>94079.2</v>
          </cell>
          <cell r="C9">
            <v>395.49</v>
          </cell>
          <cell r="D9">
            <v>6762.8</v>
          </cell>
        </row>
        <row r="10">
          <cell r="A10" t="str">
            <v>RS</v>
          </cell>
          <cell r="B10">
            <v>24166</v>
          </cell>
          <cell r="C10">
            <v>0</v>
          </cell>
          <cell r="D10">
            <v>0</v>
          </cell>
        </row>
        <row r="11">
          <cell r="A11" t="str">
            <v>FR</v>
          </cell>
          <cell r="B11">
            <v>23333.360000000001</v>
          </cell>
          <cell r="C11">
            <v>0</v>
          </cell>
          <cell r="D11">
            <v>0</v>
          </cell>
        </row>
        <row r="12">
          <cell r="A12" t="str">
            <v>UA</v>
          </cell>
          <cell r="B12">
            <v>426</v>
          </cell>
          <cell r="C12">
            <v>0</v>
          </cell>
          <cell r="D12">
            <v>0</v>
          </cell>
        </row>
        <row r="13">
          <cell r="A13" t="str">
            <v>SI</v>
          </cell>
          <cell r="B13">
            <v>0</v>
          </cell>
          <cell r="C13">
            <v>0</v>
          </cell>
          <cell r="D13">
            <v>256.8</v>
          </cell>
        </row>
        <row r="14">
          <cell r="A14" t="str">
            <v>GB</v>
          </cell>
          <cell r="B14">
            <v>0</v>
          </cell>
          <cell r="C14">
            <v>0</v>
          </cell>
          <cell r="D14">
            <v>623.07000000000005</v>
          </cell>
        </row>
        <row r="15">
          <cell r="A15" t="str">
            <v>BE</v>
          </cell>
          <cell r="B15">
            <v>0</v>
          </cell>
          <cell r="C15">
            <v>0</v>
          </cell>
          <cell r="D15">
            <v>12291.76</v>
          </cell>
        </row>
        <row r="16">
          <cell r="A16" t="str">
            <v>PL</v>
          </cell>
          <cell r="B16">
            <v>0</v>
          </cell>
          <cell r="C16">
            <v>0</v>
          </cell>
          <cell r="D16">
            <v>4770.9400000000005</v>
          </cell>
        </row>
        <row r="17">
          <cell r="A17" t="str">
            <v>IT</v>
          </cell>
          <cell r="B17">
            <v>0</v>
          </cell>
          <cell r="C17">
            <v>0</v>
          </cell>
          <cell r="D17">
            <v>305.64999999999998</v>
          </cell>
        </row>
        <row r="18">
          <cell r="A18" t="str">
            <v>CH</v>
          </cell>
          <cell r="B18">
            <v>0</v>
          </cell>
          <cell r="C18">
            <v>0</v>
          </cell>
          <cell r="D18">
            <v>533.27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cné položky"/>
    </sheetNames>
    <sheetDataSet>
      <sheetData sheetId="0">
        <row r="1">
          <cell r="L1" t="str">
            <v>Čiastka</v>
          </cell>
        </row>
        <row r="2">
          <cell r="L2">
            <v>1550</v>
          </cell>
        </row>
        <row r="3">
          <cell r="L3">
            <v>1350</v>
          </cell>
        </row>
        <row r="4">
          <cell r="L4">
            <v>530</v>
          </cell>
        </row>
        <row r="5">
          <cell r="L5">
            <v>25</v>
          </cell>
        </row>
        <row r="6">
          <cell r="L6">
            <v>10137</v>
          </cell>
        </row>
        <row r="7">
          <cell r="L7">
            <v>-8563</v>
          </cell>
        </row>
        <row r="8">
          <cell r="L8">
            <v>1550</v>
          </cell>
        </row>
        <row r="9">
          <cell r="L9">
            <v>1350</v>
          </cell>
        </row>
        <row r="10">
          <cell r="L10">
            <v>530</v>
          </cell>
        </row>
        <row r="11">
          <cell r="L11">
            <v>4050</v>
          </cell>
        </row>
        <row r="12">
          <cell r="L12">
            <v>-4050</v>
          </cell>
        </row>
        <row r="13">
          <cell r="L13">
            <v>1550</v>
          </cell>
        </row>
        <row r="14">
          <cell r="L14">
            <v>1350</v>
          </cell>
        </row>
        <row r="15">
          <cell r="L15">
            <v>530</v>
          </cell>
        </row>
        <row r="16">
          <cell r="L16">
            <v>1550</v>
          </cell>
        </row>
        <row r="17">
          <cell r="L17">
            <v>1350</v>
          </cell>
        </row>
        <row r="18">
          <cell r="L18">
            <v>530</v>
          </cell>
        </row>
        <row r="19">
          <cell r="L19">
            <v>1550</v>
          </cell>
        </row>
        <row r="20">
          <cell r="L20">
            <v>1350</v>
          </cell>
        </row>
        <row r="21">
          <cell r="L21">
            <v>530</v>
          </cell>
        </row>
        <row r="22">
          <cell r="L22">
            <v>4050</v>
          </cell>
        </row>
        <row r="23">
          <cell r="L23">
            <v>-4050</v>
          </cell>
        </row>
        <row r="24">
          <cell r="L24">
            <v>1550</v>
          </cell>
        </row>
        <row r="25">
          <cell r="L25">
            <v>1350</v>
          </cell>
        </row>
        <row r="26">
          <cell r="L26">
            <v>530</v>
          </cell>
        </row>
        <row r="27">
          <cell r="L27">
            <v>1550</v>
          </cell>
        </row>
        <row r="28">
          <cell r="L28">
            <v>1350</v>
          </cell>
        </row>
        <row r="29">
          <cell r="L29">
            <v>530</v>
          </cell>
        </row>
        <row r="30">
          <cell r="L30">
            <v>626.34</v>
          </cell>
        </row>
        <row r="31">
          <cell r="L31">
            <v>1550</v>
          </cell>
        </row>
        <row r="32">
          <cell r="L32">
            <v>1350</v>
          </cell>
        </row>
        <row r="33">
          <cell r="L33">
            <v>530</v>
          </cell>
        </row>
        <row r="34">
          <cell r="L34">
            <v>4050</v>
          </cell>
        </row>
        <row r="35">
          <cell r="L35">
            <v>-4050</v>
          </cell>
        </row>
        <row r="36">
          <cell r="L36">
            <v>1550</v>
          </cell>
        </row>
        <row r="37">
          <cell r="L37">
            <v>1350</v>
          </cell>
        </row>
        <row r="38">
          <cell r="L38">
            <v>530</v>
          </cell>
        </row>
        <row r="39">
          <cell r="L39">
            <v>1550</v>
          </cell>
        </row>
        <row r="40">
          <cell r="L40">
            <v>1350</v>
          </cell>
        </row>
        <row r="41">
          <cell r="L41">
            <v>530</v>
          </cell>
        </row>
        <row r="42">
          <cell r="L42">
            <v>392.09</v>
          </cell>
        </row>
        <row r="43">
          <cell r="L43">
            <v>3503.24</v>
          </cell>
        </row>
        <row r="44">
          <cell r="L44">
            <v>-4014.12</v>
          </cell>
        </row>
        <row r="45">
          <cell r="L45">
            <v>1550</v>
          </cell>
        </row>
        <row r="46">
          <cell r="L46">
            <v>1350</v>
          </cell>
        </row>
        <row r="47">
          <cell r="L47">
            <v>530</v>
          </cell>
        </row>
        <row r="48">
          <cell r="L48">
            <v>10037</v>
          </cell>
        </row>
        <row r="49">
          <cell r="L49">
            <v>4050</v>
          </cell>
        </row>
        <row r="50">
          <cell r="L50">
            <v>-10037</v>
          </cell>
        </row>
        <row r="51">
          <cell r="L51">
            <v>-4050</v>
          </cell>
        </row>
        <row r="52">
          <cell r="L52">
            <v>1550</v>
          </cell>
        </row>
        <row r="53">
          <cell r="L53">
            <v>1350</v>
          </cell>
        </row>
        <row r="54">
          <cell r="L54">
            <v>530</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účka Ondrej" refreshedDate="44239.654700810184" createdVersion="6" refreshedVersion="6" minRefreshableVersion="3" recordCount="1067" xr:uid="{5535313E-4498-4DB5-8CC6-D8DEDDAD25D4}">
  <cacheSource type="worksheet">
    <worksheetSource ref="A1:K1068" sheet="Účtovná osnova"/>
  </cacheSource>
  <cacheFields count="11">
    <cacheField name="Číslo" numFmtId="0">
      <sharedItems containsMixedTypes="1" containsNumber="1" containsInteger="1" minValue="13100" maxValue="999600"/>
    </cacheField>
    <cacheField name="Názov" numFmtId="49">
      <sharedItems/>
    </cacheField>
    <cacheField name="Výsledovka/Súvaha" numFmtId="49">
      <sharedItems/>
    </cacheField>
    <cacheField name="Typ konta" numFmtId="49">
      <sharedItems count="5">
        <s v="Konto"/>
        <s v="Od-súčet"/>
        <s v="Do-súčet"/>
        <s v="Súčet"/>
        <s v="Nadpis"/>
      </sharedItems>
    </cacheField>
    <cacheField name="Pohyb" numFmtId="4">
      <sharedItems containsSemiMixedTypes="0" containsString="0" containsNumber="1" minValue="-49694048.75" maxValue="49013264.789999999"/>
    </cacheField>
    <cacheField name="Saldo ku dňu" numFmtId="4">
      <sharedItems containsSemiMixedTypes="0" containsString="0" containsNumber="1" minValue="-49694048.75" maxValue="49013264.789999999"/>
    </cacheField>
    <cacheField name="Saldo" numFmtId="4">
      <sharedItems containsSemiMixedTypes="0" containsString="0" containsNumber="1" minValue="-54162217.75" maxValue="53423372.43"/>
    </cacheField>
    <cacheField name="MD čiastka" numFmtId="4">
      <sharedItems containsSemiMixedTypes="0" containsString="0" containsNumber="1" minValue="-30672.09" maxValue="203660984.74000001"/>
    </cacheField>
    <cacheField name="Dal čiastka" numFmtId="4">
      <sharedItems containsSemiMixedTypes="0" containsString="0" containsNumber="1" minValue="-8108.22" maxValue="201230460.66999999"/>
    </cacheField>
    <cacheField name="Otvárací stav" numFmtId="3">
      <sharedItems containsString="0" containsBlank="1" containsNumber="1" minValue="-7851336.7799999863" maxValue="9293613.3900000006"/>
    </cacheField>
    <cacheField name="Syntetika" numFmtId="0">
      <sharedItems containsBlank="1" count="233">
        <s v="013"/>
        <s v="021"/>
        <s v="022"/>
        <s v="028"/>
        <s v="029"/>
        <s v="041"/>
        <s v="042"/>
        <s v="073"/>
        <s v="081"/>
        <s v="082"/>
        <s v="089"/>
        <s v="092"/>
        <s v="099"/>
        <s v="100"/>
        <s v="130"/>
        <s v="131"/>
        <s v="132"/>
        <s v="139"/>
        <s v="191"/>
        <s v="192"/>
        <s v="193"/>
        <s v="194"/>
        <s v="195"/>
        <s v="196"/>
        <s v="199"/>
        <s v="200"/>
        <s v="210"/>
        <s v="211"/>
        <s v="213"/>
        <s v="221"/>
        <s v="231"/>
        <s v="261"/>
        <s v="291"/>
        <s v="299"/>
        <s v="300"/>
        <s v="310"/>
        <s v="311"/>
        <s v="312"/>
        <s v="313"/>
        <s v="314"/>
        <s v="315"/>
        <s v="320"/>
        <s v="321"/>
        <s v="322"/>
        <s v="323"/>
        <s v="324"/>
        <s v="325"/>
        <s v="326"/>
        <s v="329"/>
        <s v="330"/>
        <s v="331"/>
        <s v="333"/>
        <s v="335"/>
        <s v="336"/>
        <s v="340"/>
        <s v="341"/>
        <s v="342"/>
        <s v="343"/>
        <s v="345"/>
        <s v="346"/>
        <s v="347"/>
        <s v="349"/>
        <s v="350"/>
        <s v="351"/>
        <s v="353"/>
        <s v="354"/>
        <s v="355"/>
        <s v="358"/>
        <s v="360"/>
        <s v="361"/>
        <s v="364"/>
        <s v="365"/>
        <s v="366"/>
        <s v="367"/>
        <s v="368"/>
        <s v="370"/>
        <s v="371"/>
        <s v="372"/>
        <s v="373"/>
        <s v="374"/>
        <s v="375"/>
        <s v="376"/>
        <s v="377"/>
        <s v="378"/>
        <s v="379"/>
        <s v="380"/>
        <s v="381"/>
        <s v="382"/>
        <s v="383"/>
        <s v="384"/>
        <s v="385"/>
        <s v="390"/>
        <s v="391"/>
        <s v="395"/>
        <s v="398"/>
        <s v="399"/>
        <s v="400"/>
        <s v="410"/>
        <s v="411"/>
        <s v="412"/>
        <s v="413"/>
        <s v="414"/>
        <s v="415"/>
        <s v="416"/>
        <s v="417"/>
        <s v="418"/>
        <s v="419"/>
        <s v="420"/>
        <s v="421"/>
        <s v="422"/>
        <s v="423"/>
        <s v="427"/>
        <s v="428"/>
        <s v="429"/>
        <s v="430"/>
        <s v="431"/>
        <s v="470"/>
        <s v="471"/>
        <s v="472"/>
        <s v="473"/>
        <s v="474"/>
        <s v="475"/>
        <s v="476"/>
        <s v="478"/>
        <s v="479"/>
        <s v="480"/>
        <s v="481"/>
        <s v="491"/>
        <s v="499"/>
        <s v="500"/>
        <s v="501"/>
        <s v="502"/>
        <s v="503"/>
        <s v="504"/>
        <s v="505"/>
        <s v="510"/>
        <s v="511"/>
        <s v="512"/>
        <s v="513"/>
        <s v="518"/>
        <s v="520"/>
        <s v="521"/>
        <s v="522"/>
        <s v="523"/>
        <s v="524"/>
        <s v="525"/>
        <s v="526"/>
        <s v="527"/>
        <s v="528"/>
        <s v="529"/>
        <s v="530"/>
        <s v="531"/>
        <s v="532"/>
        <s v="538"/>
        <s v="539"/>
        <s v="540"/>
        <s v="541"/>
        <s v="542"/>
        <s v="543"/>
        <s v="544"/>
        <s v="545"/>
        <s v="546"/>
        <s v="547"/>
        <s v="548"/>
        <s v="549"/>
        <s v="550"/>
        <s v="551"/>
        <s v="553"/>
        <s v="557"/>
        <s v="559"/>
        <s v="560"/>
        <s v="561"/>
        <s v="562"/>
        <s v="563"/>
        <s v="568"/>
        <s v="569"/>
        <s v="580"/>
        <s v="582"/>
        <s v="588"/>
        <s v="589"/>
        <s v="590"/>
        <s v="591"/>
        <s v="592"/>
        <s v="593"/>
        <s v="594"/>
        <s v="595"/>
        <s v="598"/>
        <s v="599"/>
        <s v="600"/>
        <s v="602"/>
        <s v="604"/>
        <s v="610"/>
        <s v="611"/>
        <s v="620"/>
        <s v="621"/>
        <s v="622"/>
        <s v="623"/>
        <s v="624"/>
        <s v="640"/>
        <s v="641"/>
        <s v="642"/>
        <s v="644"/>
        <s v="645"/>
        <s v="646"/>
        <s v="648"/>
        <s v="649"/>
        <s v="662"/>
        <s v="663"/>
        <s v="668"/>
        <s v="669"/>
        <s v="680"/>
        <s v="688"/>
        <s v="689"/>
        <s v="699"/>
        <s v="700"/>
        <s v="701"/>
        <s v="702"/>
        <s v="710"/>
        <s v="799"/>
        <m/>
        <s v="89" u="1"/>
        <s v="82" u="1"/>
        <s v="42" u="1"/>
        <s v="73" u="1"/>
        <s v="81" u="1"/>
        <s v="41" u="1"/>
        <s v="29" u="1"/>
        <s v="22" u="1"/>
        <s v="28" u="1"/>
        <s v="13" u="1"/>
        <s v="21" u="1"/>
        <s v="99" u="1"/>
        <s v="92"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67">
  <r>
    <n v="13100"/>
    <s v="Softvér"/>
    <s v="Súvaha"/>
    <x v="0"/>
    <n v="0"/>
    <n v="81044.36"/>
    <n v="81044.36"/>
    <n v="0"/>
    <n v="0"/>
    <n v="81044.36"/>
    <x v="0"/>
  </r>
  <r>
    <n v="21000"/>
    <s v="Stavby"/>
    <s v="Súvaha"/>
    <x v="1"/>
    <n v="0"/>
    <n v="0"/>
    <n v="0"/>
    <n v="0"/>
    <n v="0"/>
    <n v="0"/>
    <x v="1"/>
  </r>
  <r>
    <n v="21200"/>
    <s v="Budovy a stavby"/>
    <s v="Súvaha"/>
    <x v="0"/>
    <n v="0"/>
    <n v="15701.3"/>
    <n v="15701.3"/>
    <n v="0"/>
    <n v="0"/>
    <n v="15701.3"/>
    <x v="1"/>
  </r>
  <r>
    <n v="21999"/>
    <s v="Sumár - stavby"/>
    <s v="Súvaha"/>
    <x v="2"/>
    <n v="0"/>
    <n v="15701.3"/>
    <n v="15701.3"/>
    <n v="0"/>
    <n v="0"/>
    <n v="15701.3"/>
    <x v="1"/>
  </r>
  <r>
    <n v="22000"/>
    <s v="Samostat.hnut.veci a súbory hn"/>
    <s v="Súvaha"/>
    <x v="1"/>
    <n v="0"/>
    <n v="0"/>
    <n v="0"/>
    <n v="0"/>
    <n v="0"/>
    <n v="0"/>
    <x v="2"/>
  </r>
  <r>
    <n v="22400"/>
    <s v="Vozidlá v majetku"/>
    <s v="Súvaha"/>
    <x v="0"/>
    <n v="0"/>
    <n v="0"/>
    <n v="0"/>
    <n v="0"/>
    <n v="0"/>
    <n v="0"/>
    <x v="2"/>
  </r>
  <r>
    <n v="22401"/>
    <s v="Autá predvádzacie - DEMO"/>
    <s v="Súvaha"/>
    <x v="0"/>
    <n v="-3222.39"/>
    <n v="2222326.31"/>
    <n v="1829053.98"/>
    <n v="6475000.0300000003"/>
    <n v="6478222.4199999999"/>
    <n v="2225548.6999999993"/>
    <x v="2"/>
  </r>
  <r>
    <n v="22402"/>
    <s v="Autá servisné - NVS"/>
    <s v="Súvaha"/>
    <x v="0"/>
    <n v="36323.86"/>
    <n v="325619.21000000002"/>
    <n v="325619.21000000002"/>
    <n v="374625.52"/>
    <n v="338301.66"/>
    <n v="289295.34999999998"/>
    <x v="2"/>
  </r>
  <r>
    <n v="22403"/>
    <s v="Autá rent - požičovňa"/>
    <s v="Súvaha"/>
    <x v="0"/>
    <n v="0"/>
    <n v="0"/>
    <n v="0"/>
    <n v="0"/>
    <n v="0"/>
    <n v="0"/>
    <x v="2"/>
  </r>
  <r>
    <n v="22404"/>
    <s v="Autá ostatné"/>
    <s v="Súvaha"/>
    <x v="0"/>
    <n v="-37451.199999999997"/>
    <n v="116451"/>
    <n v="116451"/>
    <n v="0"/>
    <n v="37451.199999999997"/>
    <n v="153902.20000000001"/>
    <x v="2"/>
  </r>
  <r>
    <n v="22601"/>
    <s v="Hardware nad limit"/>
    <s v="Súvaha"/>
    <x v="0"/>
    <n v="0"/>
    <n v="25584.93"/>
    <n v="25584.93"/>
    <n v="0"/>
    <n v="0"/>
    <n v="25584.93"/>
    <x v="2"/>
  </r>
  <r>
    <n v="22603"/>
    <s v="Servisné vybavenie nad limit"/>
    <s v="Súvaha"/>
    <x v="0"/>
    <n v="105632.74"/>
    <n v="835002.05"/>
    <n v="835002.05"/>
    <n v="105632.74"/>
    <n v="0"/>
    <n v="729369.31"/>
    <x v="2"/>
  </r>
  <r>
    <n v="22604"/>
    <s v="Inventár nad limit"/>
    <s v="Súvaha"/>
    <x v="0"/>
    <n v="0"/>
    <n v="234930.43"/>
    <n v="234930.43"/>
    <n v="0"/>
    <n v="0"/>
    <n v="234930.43"/>
    <x v="2"/>
  </r>
  <r>
    <n v="22605"/>
    <s v="OCS značenie nad limit"/>
    <s v="Súvaha"/>
    <x v="0"/>
    <n v="0"/>
    <n v="27712.87"/>
    <n v="27712.87"/>
    <n v="0"/>
    <n v="0"/>
    <n v="27712.87"/>
    <x v="2"/>
  </r>
  <r>
    <n v="22701"/>
    <s v="Drobný Hardware"/>
    <s v="Súvaha"/>
    <x v="0"/>
    <n v="17344.37"/>
    <n v="75305.11"/>
    <n v="74722.61"/>
    <n v="23889.200000000001"/>
    <n v="6544.83"/>
    <n v="57960.740000000005"/>
    <x v="2"/>
  </r>
  <r>
    <n v="22702"/>
    <s v="Drobná kancelárska technika"/>
    <s v="Súvaha"/>
    <x v="0"/>
    <n v="9962.32"/>
    <n v="106211.58"/>
    <n v="105982.95"/>
    <n v="9962.32"/>
    <n v="0"/>
    <n v="96249.260000000009"/>
    <x v="2"/>
  </r>
  <r>
    <n v="22703"/>
    <s v="Drobné servisné vybavenie"/>
    <s v="Súvaha"/>
    <x v="0"/>
    <n v="24251.52"/>
    <n v="180030.95"/>
    <n v="184359.26"/>
    <n v="24251.52"/>
    <n v="0"/>
    <n v="155779.43000000002"/>
    <x v="2"/>
  </r>
  <r>
    <n v="22704"/>
    <s v="Drobný inventár"/>
    <s v="Súvaha"/>
    <x v="0"/>
    <n v="3510.96"/>
    <n v="345132.39"/>
    <n v="345132.39"/>
    <n v="3510.96"/>
    <n v="0"/>
    <n v="341621.43"/>
    <x v="2"/>
  </r>
  <r>
    <n v="22705"/>
    <s v="Drobné OCS značenie"/>
    <s v="Súvaha"/>
    <x v="0"/>
    <n v="0"/>
    <n v="10291.4"/>
    <n v="10291.4"/>
    <n v="0"/>
    <n v="0"/>
    <n v="10291.4"/>
    <x v="2"/>
  </r>
  <r>
    <n v="22710"/>
    <s v="Špeciálne náradie - servis"/>
    <s v="Súvaha"/>
    <x v="0"/>
    <n v="699.4"/>
    <n v="90801.17"/>
    <n v="90801.17"/>
    <n v="699.4"/>
    <n v="0"/>
    <n v="90101.77"/>
    <x v="2"/>
  </r>
  <r>
    <n v="22999"/>
    <s v="Sumár - sam.hn.veci a súbory"/>
    <s v="Súvaha"/>
    <x v="2"/>
    <n v="157051.57999999999"/>
    <n v="4595399.4000000004"/>
    <n v="4205644.25"/>
    <n v="7017571.6900000004"/>
    <n v="6860520.1100000003"/>
    <n v="4438347.82"/>
    <x v="2"/>
  </r>
  <r>
    <n v="28000"/>
    <s v="DHM"/>
    <s v="Súvaha"/>
    <x v="1"/>
    <n v="0"/>
    <n v="0"/>
    <n v="0"/>
    <n v="0"/>
    <n v="0"/>
    <n v="0"/>
    <x v="3"/>
  </r>
  <r>
    <n v="28200"/>
    <s v="DHM do 1700 EUR"/>
    <s v="Súvaha"/>
    <x v="0"/>
    <n v="0"/>
    <n v="0"/>
    <n v="0"/>
    <n v="0"/>
    <n v="0"/>
    <n v="0"/>
    <x v="3"/>
  </r>
  <r>
    <n v="28999"/>
    <s v="Sumár - DHM"/>
    <s v="Súvaha"/>
    <x v="2"/>
    <n v="0"/>
    <n v="0"/>
    <n v="0"/>
    <n v="0"/>
    <n v="0"/>
    <n v="0"/>
    <x v="3"/>
  </r>
  <r>
    <n v="29000"/>
    <s v="Ostatný majetok"/>
    <s v="Súvaha"/>
    <x v="1"/>
    <n v="0"/>
    <n v="0"/>
    <n v="0"/>
    <n v="0"/>
    <n v="0"/>
    <n v="0"/>
    <x v="4"/>
  </r>
  <r>
    <n v="29100"/>
    <s v="Ostatný HIM"/>
    <s v="Súvaha"/>
    <x v="0"/>
    <n v="1175.97"/>
    <n v="1175.97"/>
    <n v="1175.97"/>
    <n v="1175.97"/>
    <n v="0"/>
    <n v="0"/>
    <x v="4"/>
  </r>
  <r>
    <n v="29998"/>
    <s v="Sumár - ostatný majetok"/>
    <s v="Súvaha"/>
    <x v="2"/>
    <n v="1175.97"/>
    <n v="1175.97"/>
    <n v="1175.97"/>
    <n v="1175.97"/>
    <n v="0"/>
    <n v="0"/>
    <x v="4"/>
  </r>
  <r>
    <n v="29999"/>
    <s v="Sumár - DHIM odpisovaný"/>
    <s v="Súvaha"/>
    <x v="2"/>
    <n v="158227.54999999999"/>
    <n v="4612276.67"/>
    <n v="4222521.5199999996"/>
    <n v="7018747.6600000001"/>
    <n v="6860520.1100000003"/>
    <n v="4454049.12"/>
    <x v="4"/>
  </r>
  <r>
    <n v="41000"/>
    <s v="Obstaranie DNM"/>
    <s v="Súvaha"/>
    <x v="1"/>
    <n v="0"/>
    <n v="0"/>
    <n v="0"/>
    <n v="0"/>
    <n v="0"/>
    <n v="0"/>
    <x v="5"/>
  </r>
  <r>
    <n v="41100"/>
    <s v="Obstar.dlhodob.nehmot.majetku"/>
    <s v="Súvaha"/>
    <x v="0"/>
    <n v="19986.099999999999"/>
    <n v="26986.1"/>
    <n v="26986.1"/>
    <n v="19986.099999999999"/>
    <n v="0"/>
    <n v="7000"/>
    <x v="5"/>
  </r>
  <r>
    <n v="41999"/>
    <s v="Sumár - obstaranie DNM"/>
    <s v="Súvaha"/>
    <x v="2"/>
    <n v="19986.099999999999"/>
    <n v="26986.1"/>
    <n v="26986.1"/>
    <n v="19986.099999999999"/>
    <n v="0"/>
    <n v="7000"/>
    <x v="5"/>
  </r>
  <r>
    <n v="42000"/>
    <s v="Obstaranie DHM"/>
    <s v="Súvaha"/>
    <x v="1"/>
    <n v="0"/>
    <n v="0"/>
    <n v="0"/>
    <n v="0"/>
    <n v="0"/>
    <n v="0"/>
    <x v="6"/>
  </r>
  <r>
    <n v="42022"/>
    <s v="Obstaranie HIM - stroje a zar."/>
    <s v="Súvaha"/>
    <x v="0"/>
    <n v="0"/>
    <n v="0"/>
    <n v="0"/>
    <n v="109364.68"/>
    <n v="109364.68"/>
    <n v="0"/>
    <x v="6"/>
  </r>
  <r>
    <n v="42023"/>
    <s v="Obstaranie HIM - dopr. prostr."/>
    <s v="Súvaha"/>
    <x v="0"/>
    <n v="-198.4"/>
    <n v="0"/>
    <n v="2459.54"/>
    <n v="6796101.2800000003"/>
    <n v="6796299.6799999997"/>
    <n v="198.39999999944121"/>
    <x v="6"/>
  </r>
  <r>
    <n v="42024"/>
    <s v="Obstaranie HIM - inventár"/>
    <s v="Súvaha"/>
    <x v="0"/>
    <n v="-855"/>
    <n v="150"/>
    <n v="150"/>
    <n v="30676.59"/>
    <n v="31531.59"/>
    <n v="1005"/>
    <x v="6"/>
  </r>
  <r>
    <n v="42028"/>
    <s v="Obstaranie DHIM"/>
    <s v="Súvaha"/>
    <x v="0"/>
    <n v="0"/>
    <n v="0"/>
    <n v="0"/>
    <n v="13665.51"/>
    <n v="13665.51"/>
    <n v="0"/>
    <x v="6"/>
  </r>
  <r>
    <n v="42029"/>
    <s v="Obstaranie ostatný majetok"/>
    <s v="Súvaha"/>
    <x v="0"/>
    <n v="0"/>
    <n v="0"/>
    <n v="0"/>
    <n v="0"/>
    <n v="0"/>
    <n v="0"/>
    <x v="6"/>
  </r>
  <r>
    <n v="42900"/>
    <s v="Obstaranie technického zhod."/>
    <s v="Súvaha"/>
    <x v="0"/>
    <n v="0"/>
    <n v="0"/>
    <n v="0"/>
    <n v="14130"/>
    <n v="14130"/>
    <n v="0"/>
    <x v="6"/>
  </r>
  <r>
    <n v="42999"/>
    <s v="Sumár - obstaranie DHM"/>
    <s v="Súvaha"/>
    <x v="2"/>
    <n v="-1053.4000000000001"/>
    <n v="150"/>
    <n v="2609.54"/>
    <n v="6963938.0599999996"/>
    <n v="6964991.46"/>
    <n v="1203.4000000003725"/>
    <x v="6"/>
  </r>
  <r>
    <n v="73000"/>
    <s v="Oprávky k NIM -  softvér"/>
    <s v="Súvaha"/>
    <x v="1"/>
    <n v="0"/>
    <n v="0"/>
    <n v="0"/>
    <n v="0"/>
    <n v="0"/>
    <n v="0"/>
    <x v="7"/>
  </r>
  <r>
    <n v="73100"/>
    <s v="Oprávky k softvéru"/>
    <s v="Súvaha"/>
    <x v="0"/>
    <n v="-971.42"/>
    <n v="-78500.31"/>
    <n v="-78575.14"/>
    <n v="0"/>
    <n v="971.42"/>
    <n v="-77528.89"/>
    <x v="7"/>
  </r>
  <r>
    <n v="73999"/>
    <s v="Sumár - oprávky k NIM"/>
    <s v="Súvaha"/>
    <x v="2"/>
    <n v="-971.42"/>
    <n v="-78500.31"/>
    <n v="-78575.14"/>
    <n v="0"/>
    <n v="971.42"/>
    <n v="-77528.89"/>
    <x v="7"/>
  </r>
  <r>
    <n v="81000"/>
    <s v="Oprávky k stavbám"/>
    <s v="Súvaha"/>
    <x v="1"/>
    <n v="0"/>
    <n v="0"/>
    <n v="0"/>
    <n v="0"/>
    <n v="0"/>
    <n v="0"/>
    <x v="8"/>
  </r>
  <r>
    <n v="81100"/>
    <s v="Oprávky k budovám a stavbám"/>
    <s v="Súvaha"/>
    <x v="0"/>
    <n v="-1051.8599999999999"/>
    <n v="-4828.41"/>
    <n v="-4916.0600000000004"/>
    <n v="0"/>
    <n v="1051.8599999999999"/>
    <n v="-3776.55"/>
    <x v="8"/>
  </r>
  <r>
    <n v="81999"/>
    <s v="Sumár - oprávky k stavbám"/>
    <s v="Súvaha"/>
    <x v="2"/>
    <n v="-1051.8599999999999"/>
    <n v="-4828.41"/>
    <n v="-4916.0600000000004"/>
    <n v="0"/>
    <n v="1051.8599999999999"/>
    <n v="-3776.55"/>
    <x v="8"/>
  </r>
  <r>
    <n v="82000"/>
    <s v="Opr.k samostat.hnut.veciam"/>
    <s v="Súvaha"/>
    <x v="1"/>
    <n v="0"/>
    <n v="0"/>
    <n v="0"/>
    <n v="0"/>
    <n v="0"/>
    <n v="0"/>
    <x v="9"/>
  </r>
  <r>
    <n v="82401"/>
    <s v="Oprávky - autá predvádzacie"/>
    <s v="Súvaha"/>
    <x v="0"/>
    <n v="-3456.66"/>
    <n v="-72568.58"/>
    <n v="-83798.09"/>
    <n v="6442333.6500000004"/>
    <n v="6445790.3099999996"/>
    <n v="-69111.920000000857"/>
    <x v="9"/>
  </r>
  <r>
    <n v="82402"/>
    <s v="Oprávky - autá servisné - NVS"/>
    <s v="Súvaha"/>
    <x v="0"/>
    <n v="-3521.87"/>
    <n v="-44865.68"/>
    <n v="-52146.93"/>
    <n v="337049.79"/>
    <n v="340571.66"/>
    <n v="-41343.81"/>
    <x v="9"/>
  </r>
  <r>
    <n v="82404"/>
    <s v="Oprávky - autá ostatné"/>
    <s v="Súvaha"/>
    <x v="0"/>
    <n v="-23839.31"/>
    <n v="-86212.97"/>
    <n v="-88329.61"/>
    <n v="37451.199999999997"/>
    <n v="61290.51"/>
    <n v="-62373.659999999996"/>
    <x v="9"/>
  </r>
  <r>
    <n v="82601"/>
    <s v="Oprávky - Harware nad limit"/>
    <s v="Súvaha"/>
    <x v="0"/>
    <n v="0"/>
    <n v="-25584.93"/>
    <n v="-25584.93"/>
    <n v="0"/>
    <n v="0"/>
    <n v="-25584.93"/>
    <x v="9"/>
  </r>
  <r>
    <n v="82603"/>
    <s v="Oprávky - Servis. vyb. nad lim"/>
    <s v="Súvaha"/>
    <x v="0"/>
    <n v="-54459.55"/>
    <n v="-505883.77"/>
    <n v="-510337.97"/>
    <n v="0"/>
    <n v="54459.55"/>
    <n v="-451424.22000000003"/>
    <x v="9"/>
  </r>
  <r>
    <n v="82604"/>
    <s v="Oprávky - Inventár nad limit"/>
    <s v="Súvaha"/>
    <x v="0"/>
    <n v="-583.16"/>
    <n v="-227671.32"/>
    <n v="-227687.29"/>
    <n v="0"/>
    <n v="583.16"/>
    <n v="-227088.16"/>
    <x v="9"/>
  </r>
  <r>
    <n v="82605"/>
    <s v="Oprávky - OCS značenie nad lim"/>
    <s v="Súvaha"/>
    <x v="0"/>
    <n v="-157.06"/>
    <n v="-28208.98"/>
    <n v="-28224.38"/>
    <n v="0"/>
    <n v="157.06"/>
    <n v="-28051.919999999998"/>
    <x v="9"/>
  </r>
  <r>
    <n v="82701"/>
    <s v="Oprávky - drobný hardware"/>
    <s v="Súvaha"/>
    <x v="0"/>
    <n v="2664.41"/>
    <n v="-52353.84"/>
    <n v="-52221.39"/>
    <n v="13089.66"/>
    <n v="10425.25"/>
    <n v="-55018.25"/>
    <x v="9"/>
  </r>
  <r>
    <n v="82702"/>
    <s v="Oprávky - drobná kanc. techn."/>
    <s v="Súvaha"/>
    <x v="0"/>
    <n v="-18475.63"/>
    <n v="-65987.490000000005"/>
    <n v="-67574.92"/>
    <n v="0"/>
    <n v="18475.63"/>
    <n v="-47511.86"/>
    <x v="9"/>
  </r>
  <r>
    <n v="82703"/>
    <s v="Oprávky - drobné servisné vyb."/>
    <s v="Súvaha"/>
    <x v="0"/>
    <n v="-15699.93"/>
    <n v="-117969.83"/>
    <n v="-119553.62"/>
    <n v="0"/>
    <n v="15699.93"/>
    <n v="-102269.9"/>
    <x v="9"/>
  </r>
  <r>
    <n v="82704"/>
    <s v="Oprávky - drobný inventár"/>
    <s v="Súvaha"/>
    <x v="0"/>
    <n v="-25527.38"/>
    <n v="-268180.65999999997"/>
    <n v="-269151.52"/>
    <n v="0"/>
    <n v="25527.38"/>
    <n v="-242653.27999999997"/>
    <x v="9"/>
  </r>
  <r>
    <n v="82705"/>
    <s v="Oprávky - drobné OCS značenie"/>
    <s v="Súvaha"/>
    <x v="0"/>
    <n v="-968.16"/>
    <n v="-7663.94"/>
    <n v="-7744.62"/>
    <n v="0"/>
    <n v="968.16"/>
    <n v="-6695.78"/>
    <x v="9"/>
  </r>
  <r>
    <n v="82710"/>
    <s v="Opr. - špeciálne náradie servi"/>
    <s v="Súvaha"/>
    <x v="0"/>
    <n v="-6231.67"/>
    <n v="-74905.17"/>
    <n v="-75416.45"/>
    <n v="0"/>
    <n v="6231.67"/>
    <n v="-68673.5"/>
    <x v="9"/>
  </r>
  <r>
    <n v="82999"/>
    <s v="Sumár - opr.k samos.hn.veciam"/>
    <s v="Súvaha"/>
    <x v="2"/>
    <n v="-150255.97"/>
    <n v="-1578057.16"/>
    <n v="-1607771.72"/>
    <n v="6829924.2999999998"/>
    <n v="6980180.2699999996"/>
    <n v="-1427801.1899999995"/>
    <x v="9"/>
  </r>
  <r>
    <n v="89000"/>
    <s v="Oprávky k ostatnému HIM"/>
    <s v="Súvaha"/>
    <x v="1"/>
    <n v="0"/>
    <n v="0"/>
    <n v="0"/>
    <n v="0"/>
    <n v="0"/>
    <n v="0"/>
    <x v="10"/>
  </r>
  <r>
    <n v="89100"/>
    <s v="Oprávky k ostatnému HIM"/>
    <s v="Súvaha"/>
    <x v="0"/>
    <n v="0"/>
    <n v="0"/>
    <n v="0"/>
    <n v="157.06"/>
    <n v="157.06"/>
    <n v="0"/>
    <x v="10"/>
  </r>
  <r>
    <n v="89999"/>
    <s v="Sumár - oprávky k ost.HIM"/>
    <s v="Súvaha"/>
    <x v="2"/>
    <n v="0"/>
    <n v="0"/>
    <n v="0"/>
    <n v="157.06"/>
    <n v="157.06"/>
    <n v="0"/>
    <x v="10"/>
  </r>
  <r>
    <n v="92000"/>
    <s v="Opravná položka k HIM"/>
    <s v="Súvaha"/>
    <x v="1"/>
    <n v="0"/>
    <n v="0"/>
    <n v="0"/>
    <n v="0"/>
    <n v="0"/>
    <n v="0"/>
    <x v="11"/>
  </r>
  <r>
    <n v="92100"/>
    <s v="Opravná položka k HIM"/>
    <s v="Súvaha"/>
    <x v="0"/>
    <n v="0"/>
    <n v="0"/>
    <n v="0"/>
    <n v="0"/>
    <n v="0"/>
    <n v="0"/>
    <x v="11"/>
  </r>
  <r>
    <n v="92401"/>
    <s v="Opravná položka k DEMO autám"/>
    <s v="Súvaha"/>
    <x v="0"/>
    <n v="0"/>
    <n v="0"/>
    <n v="0"/>
    <n v="0"/>
    <n v="0"/>
    <n v="0"/>
    <x v="11"/>
  </r>
  <r>
    <n v="92402"/>
    <s v="Opravná položka k NVS autám"/>
    <s v="Súvaha"/>
    <x v="0"/>
    <n v="0"/>
    <n v="0"/>
    <n v="0"/>
    <n v="0"/>
    <n v="0"/>
    <n v="0"/>
    <x v="11"/>
  </r>
  <r>
    <n v="92999"/>
    <s v="Sumár - opr. pol. k HIM"/>
    <s v="Súvaha"/>
    <x v="2"/>
    <n v="0"/>
    <n v="0"/>
    <n v="0"/>
    <n v="0"/>
    <n v="0"/>
    <n v="0"/>
    <x v="11"/>
  </r>
  <r>
    <n v="99998"/>
    <s v="Sumár - dlhodobý majetok"/>
    <s v="Súvaha"/>
    <x v="2"/>
    <n v="24881"/>
    <n v="2978026.89"/>
    <n v="2560854.2400000002"/>
    <n v="20832753.18"/>
    <n v="20807872.18"/>
    <n v="2953145.8900000006"/>
    <x v="12"/>
  </r>
  <r>
    <n v="99999"/>
    <s v="Sumár - investičný majetok"/>
    <s v="Súvaha"/>
    <x v="2"/>
    <n v="24881"/>
    <n v="3059071.25"/>
    <n v="2641898.6"/>
    <n v="20832753.18"/>
    <n v="20807872.18"/>
    <n v="3034190.25"/>
    <x v="12"/>
  </r>
  <r>
    <n v="100000"/>
    <s v="ZÁSOBY"/>
    <s v="Súvaha"/>
    <x v="1"/>
    <n v="0"/>
    <n v="0"/>
    <n v="0"/>
    <n v="0"/>
    <n v="0"/>
    <n v="0"/>
    <x v="13"/>
  </r>
  <r>
    <n v="130000"/>
    <s v="Tovar"/>
    <s v="Súvaha"/>
    <x v="1"/>
    <n v="0"/>
    <n v="0"/>
    <n v="0"/>
    <n v="0"/>
    <n v="0"/>
    <n v="0"/>
    <x v="14"/>
  </r>
  <r>
    <n v="131100"/>
    <s v="Obstaranie tovaru ND"/>
    <s v="Súvaha"/>
    <x v="0"/>
    <n v="0"/>
    <n v="0"/>
    <n v="1.8"/>
    <n v="5040166.63"/>
    <n v="5040166.63"/>
    <n v="0"/>
    <x v="15"/>
  </r>
  <r>
    <n v="131110"/>
    <s v="BMW - vozidlá"/>
    <s v="Súvaha"/>
    <x v="0"/>
    <n v="0"/>
    <n v="0"/>
    <n v="0"/>
    <n v="5163493.26"/>
    <n v="5163493.26"/>
    <n v="0"/>
    <x v="15"/>
  </r>
  <r>
    <n v="131111"/>
    <s v="MINI - vozidlá"/>
    <s v="Súvaha"/>
    <x v="0"/>
    <n v="0"/>
    <n v="0"/>
    <n v="0"/>
    <n v="679991.01"/>
    <n v="679991.01"/>
    <n v="0"/>
    <x v="15"/>
  </r>
  <r>
    <n v="131115"/>
    <s v="Ostatné"/>
    <s v="Súvaha"/>
    <x v="0"/>
    <n v="0"/>
    <n v="0"/>
    <n v="0"/>
    <n v="77650"/>
    <n v="77650"/>
    <n v="0"/>
    <x v="15"/>
  </r>
  <r>
    <n v="131199"/>
    <s v="Sumár obstar. nových voz."/>
    <s v="Súvaha"/>
    <x v="2"/>
    <n v="0"/>
    <n v="0"/>
    <n v="1.8"/>
    <n v="10961300.9"/>
    <n v="10961300.9"/>
    <n v="0"/>
    <x v="15"/>
  </r>
  <r>
    <n v="131200"/>
    <s v="Obstaranie jazdených voz."/>
    <s v="Súvaha"/>
    <x v="1"/>
    <n v="0"/>
    <n v="0"/>
    <n v="0"/>
    <n v="0"/>
    <n v="0"/>
    <n v="0"/>
    <x v="15"/>
  </r>
  <r>
    <n v="131210"/>
    <s v="BMW - jazdené"/>
    <s v="Súvaha"/>
    <x v="0"/>
    <n v="0"/>
    <n v="0"/>
    <n v="0"/>
    <n v="2806603.06"/>
    <n v="2806603.06"/>
    <n v="0"/>
    <x v="15"/>
  </r>
  <r>
    <n v="131211"/>
    <s v="MINI - jazdené"/>
    <s v="Súvaha"/>
    <x v="0"/>
    <n v="0"/>
    <n v="0"/>
    <n v="0"/>
    <n v="0"/>
    <n v="0"/>
    <n v="0"/>
    <x v="15"/>
  </r>
  <r>
    <n v="131215"/>
    <s v="Ostatné  - jazdené"/>
    <s v="Súvaha"/>
    <x v="0"/>
    <n v="0"/>
    <n v="0"/>
    <n v="0"/>
    <n v="0"/>
    <n v="0"/>
    <n v="0"/>
    <x v="15"/>
  </r>
  <r>
    <n v="131250"/>
    <s v="Fremd BMW - vozidlá - jazdené"/>
    <s v="Súvaha"/>
    <x v="0"/>
    <n v="0"/>
    <n v="0"/>
    <n v="0"/>
    <n v="0"/>
    <n v="0"/>
    <n v="0"/>
    <x v="15"/>
  </r>
  <r>
    <n v="131299"/>
    <s v="Sumár - obstaranie jazd. voz."/>
    <s v="Súvaha"/>
    <x v="2"/>
    <n v="0"/>
    <n v="0"/>
    <n v="0"/>
    <n v="2806603.06"/>
    <n v="2806603.06"/>
    <n v="0"/>
    <x v="15"/>
  </r>
  <r>
    <n v="131300"/>
    <s v="Obstaranie ND"/>
    <s v="Súvaha"/>
    <x v="1"/>
    <n v="0"/>
    <n v="0"/>
    <n v="0"/>
    <n v="0"/>
    <n v="0"/>
    <n v="0"/>
    <x v="15"/>
  </r>
  <r>
    <n v="131500"/>
    <s v="Obsaranie nových vozidiel"/>
    <s v="Súvaha"/>
    <x v="0"/>
    <n v="0"/>
    <n v="0"/>
    <n v="0"/>
    <n v="24139115.800000001"/>
    <n v="24139115.800000001"/>
    <n v="0"/>
    <x v="15"/>
  </r>
  <r>
    <n v="131600"/>
    <s v="Obstaranie jazdených vozidiel"/>
    <s v="Súvaha"/>
    <x v="0"/>
    <n v="0"/>
    <n v="0"/>
    <n v="0"/>
    <n v="10313447.779999999"/>
    <n v="10313447.779999999"/>
    <n v="0"/>
    <x v="15"/>
  </r>
  <r>
    <n v="131800"/>
    <s v="Pohonné hmoty a mazivá"/>
    <s v="Súvaha"/>
    <x v="1"/>
    <n v="0"/>
    <n v="0"/>
    <n v="0"/>
    <n v="0"/>
    <n v="0"/>
    <n v="0"/>
    <x v="15"/>
  </r>
  <r>
    <n v="131899"/>
    <s v="Sumár - pohonné hmoty a mazivá"/>
    <s v="Súvaha"/>
    <x v="2"/>
    <n v="0"/>
    <n v="0"/>
    <n v="0"/>
    <n v="0"/>
    <n v="0"/>
    <n v="0"/>
    <x v="15"/>
  </r>
  <r>
    <n v="131990"/>
    <s v="Konto pre adjustácie"/>
    <s v="Súvaha"/>
    <x v="0"/>
    <n v="0"/>
    <n v="0"/>
    <n v="0"/>
    <n v="67063.679999999993"/>
    <n v="67063.679999999993"/>
    <n v="0"/>
    <x v="15"/>
  </r>
  <r>
    <n v="131998"/>
    <s v="Sumár - obstaranie tovaru"/>
    <s v="Súvaha"/>
    <x v="2"/>
    <n v="0"/>
    <n v="0"/>
    <n v="0"/>
    <n v="34519627.259999998"/>
    <n v="34519627.259999998"/>
    <n v="0"/>
    <x v="15"/>
  </r>
  <r>
    <n v="131999"/>
    <s v="Sumár - obstaranie"/>
    <s v="Súvaha"/>
    <x v="2"/>
    <n v="0"/>
    <n v="0"/>
    <n v="1.8"/>
    <n v="48287531.219999999"/>
    <n v="48287531.219999999"/>
    <n v="0"/>
    <x v="15"/>
  </r>
  <r>
    <n v="132100"/>
    <s v="Sklad ND a príslušenstva"/>
    <s v="Súvaha"/>
    <x v="0"/>
    <n v="-423468.39"/>
    <n v="781759.93"/>
    <n v="727044.56"/>
    <n v="7576512.25"/>
    <n v="7999980.6399999997"/>
    <n v="1205228.3199999994"/>
    <x v="16"/>
  </r>
  <r>
    <n v="132115"/>
    <s v="Ostatné"/>
    <s v="Súvaha"/>
    <x v="0"/>
    <n v="0"/>
    <n v="0"/>
    <n v="0"/>
    <n v="0"/>
    <n v="0"/>
    <n v="0"/>
    <x v="16"/>
  </r>
  <r>
    <n v="132199"/>
    <s v="Tovar v otvorenych zákazkách"/>
    <s v="Súvaha"/>
    <x v="0"/>
    <n v="20598.400000000001"/>
    <n v="20598.400000000001"/>
    <n v="0"/>
    <n v="532333.23"/>
    <n v="511734.83"/>
    <n v="0"/>
    <x v="16"/>
  </r>
  <r>
    <n v="132300"/>
    <s v="ND na sklade"/>
    <s v="Súvaha"/>
    <x v="1"/>
    <n v="0"/>
    <n v="0"/>
    <n v="0"/>
    <n v="0"/>
    <n v="0"/>
    <n v="0"/>
    <x v="16"/>
  </r>
  <r>
    <n v="132500"/>
    <s v="Sklad nových vozov"/>
    <s v="Súvaha"/>
    <x v="0"/>
    <n v="779793.47"/>
    <n v="5955013.7199999997"/>
    <n v="7902371.2000000002"/>
    <n v="30506324.559999999"/>
    <n v="29726531.09"/>
    <n v="5175220.25"/>
    <x v="16"/>
  </r>
  <r>
    <n v="132501"/>
    <s v="Náklady na PDI"/>
    <s v="Súvaha"/>
    <x v="0"/>
    <n v="4700.9799999999996"/>
    <n v="4700.9799999999996"/>
    <n v="9518.2000000000007"/>
    <n v="84758.46"/>
    <n v="80057.48"/>
    <n v="0"/>
    <x v="16"/>
  </r>
  <r>
    <n v="132502"/>
    <s v="Náklady na dovýbavy"/>
    <s v="Súvaha"/>
    <x v="0"/>
    <n v="190"/>
    <n v="190"/>
    <n v="190"/>
    <n v="520"/>
    <n v="330"/>
    <n v="0"/>
    <x v="16"/>
  </r>
  <r>
    <n v="132504"/>
    <s v="Náklady - záruky  BRI / BSI"/>
    <s v="Súvaha"/>
    <x v="0"/>
    <n v="9080"/>
    <n v="9080"/>
    <n v="8587"/>
    <n v="208949"/>
    <n v="199869"/>
    <n v="0"/>
    <x v="16"/>
  </r>
  <r>
    <n v="132600"/>
    <s v="Sklad jazdených áut"/>
    <s v="Súvaha"/>
    <x v="0"/>
    <n v="-451764.55"/>
    <n v="647905.19999999995"/>
    <n v="790468.23"/>
    <n v="13271608.029999999"/>
    <n v="13723372.58"/>
    <n v="1099669.75"/>
    <x v="16"/>
  </r>
  <r>
    <n v="132601"/>
    <s v="Ostatné obst. náklady JV"/>
    <s v="Súvaha"/>
    <x v="0"/>
    <n v="12696.26"/>
    <n v="12696.26"/>
    <n v="14842.84"/>
    <n v="88546.64"/>
    <n v="75850.38"/>
    <n v="0"/>
    <x v="16"/>
  </r>
  <r>
    <n v="132900"/>
    <s v="Tovar na prelome rokov"/>
    <s v="Súvaha"/>
    <x v="0"/>
    <n v="-42301.74"/>
    <n v="0"/>
    <n v="0"/>
    <n v="0"/>
    <n v="42301.74"/>
    <n v="42301.74"/>
    <x v="16"/>
  </r>
  <r>
    <n v="132999"/>
    <s v="Sumár - 132 SPOLU"/>
    <s v="Súvaha"/>
    <x v="2"/>
    <n v="312394.42"/>
    <n v="6629586.1600000001"/>
    <n v="8725977.4700000007"/>
    <n v="44160706.689999998"/>
    <n v="43848312.270000003"/>
    <n v="6317191.7400000021"/>
    <x v="16"/>
  </r>
  <r>
    <n v="139000"/>
    <s v="Tovar na ceste"/>
    <s v="Súvaha"/>
    <x v="1"/>
    <n v="0"/>
    <n v="0"/>
    <n v="0"/>
    <n v="0"/>
    <n v="0"/>
    <n v="0"/>
    <x v="17"/>
  </r>
  <r>
    <n v="139100"/>
    <s v="Tovar na ceste - ND"/>
    <s v="Súvaha"/>
    <x v="0"/>
    <n v="-1959.39"/>
    <n v="624.03"/>
    <n v="0"/>
    <n v="3207.45"/>
    <n v="5166.84"/>
    <n v="2583.42"/>
    <x v="17"/>
  </r>
  <r>
    <n v="139199"/>
    <s v="Sumár - tovar na ceste vozidlá"/>
    <s v="Súvaha"/>
    <x v="2"/>
    <n v="-1959.39"/>
    <n v="624.03"/>
    <n v="0"/>
    <n v="3207.45"/>
    <n v="5166.84"/>
    <n v="2583.42"/>
    <x v="17"/>
  </r>
  <r>
    <n v="139200"/>
    <s v="Tovar na ceste - ND"/>
    <s v="Súvaha"/>
    <x v="1"/>
    <n v="0"/>
    <n v="0"/>
    <n v="0"/>
    <n v="0"/>
    <n v="0"/>
    <n v="0"/>
    <x v="17"/>
  </r>
  <r>
    <n v="139500"/>
    <s v="Tovar na ceste - autá"/>
    <s v="Súvaha"/>
    <x v="0"/>
    <n v="-466172.04"/>
    <n v="0"/>
    <n v="0"/>
    <n v="5232.41"/>
    <n v="471404.45"/>
    <n v="466172.04000000004"/>
    <x v="17"/>
  </r>
  <r>
    <n v="139600"/>
    <s v="Tovar na ceste - jazdené autá"/>
    <s v="Súvaha"/>
    <x v="0"/>
    <n v="-460204.02"/>
    <n v="1113073.21"/>
    <n v="150924.20000000001"/>
    <n v="1138513.83"/>
    <n v="1598717.85"/>
    <n v="1573277.23"/>
    <x v="17"/>
  </r>
  <r>
    <n v="139998"/>
    <s v="Sumár - tovar na ceste ND"/>
    <s v="Súvaha"/>
    <x v="2"/>
    <n v="-926376.06"/>
    <n v="1113073.21"/>
    <n v="150924.20000000001"/>
    <n v="1143746.24"/>
    <n v="2070122.3"/>
    <n v="2039449.27"/>
    <x v="17"/>
  </r>
  <r>
    <n v="139999"/>
    <s v="Sumár - tovar na ceste"/>
    <s v="Súvaha"/>
    <x v="2"/>
    <n v="-928335.45"/>
    <n v="1113697.24"/>
    <n v="150924.20000000001"/>
    <n v="1146953.69"/>
    <n v="2075289.14"/>
    <n v="2042032.69"/>
    <x v="17"/>
  </r>
  <r>
    <n v="191000"/>
    <s v="Opravná položka k materiálu"/>
    <s v="Súvaha"/>
    <x v="1"/>
    <n v="0"/>
    <n v="0"/>
    <n v="0"/>
    <n v="0"/>
    <n v="0"/>
    <n v="0"/>
    <x v="18"/>
  </r>
  <r>
    <n v="191999"/>
    <s v="Sumár - opr. pol. k materiálu"/>
    <s v="Súvaha"/>
    <x v="2"/>
    <n v="0"/>
    <n v="0"/>
    <n v="0"/>
    <n v="0"/>
    <n v="0"/>
    <n v="0"/>
    <x v="18"/>
  </r>
  <r>
    <n v="192000"/>
    <s v="Opr.pol.k nedokončenej výrobe"/>
    <s v="Súvaha"/>
    <x v="1"/>
    <n v="0"/>
    <n v="0"/>
    <n v="0"/>
    <n v="0"/>
    <n v="0"/>
    <n v="0"/>
    <x v="19"/>
  </r>
  <r>
    <n v="192999"/>
    <s v="Sumár -Opr.pol.k nedok. výrobe"/>
    <s v="Súvaha"/>
    <x v="2"/>
    <n v="0"/>
    <n v="0"/>
    <n v="0"/>
    <n v="0"/>
    <n v="0"/>
    <n v="0"/>
    <x v="19"/>
  </r>
  <r>
    <n v="193000"/>
    <s v="Opr.pol.k polotovarom VV"/>
    <s v="Súvaha"/>
    <x v="1"/>
    <n v="0"/>
    <n v="0"/>
    <n v="0"/>
    <n v="0"/>
    <n v="0"/>
    <n v="0"/>
    <x v="20"/>
  </r>
  <r>
    <n v="193999"/>
    <s v="Sumár-Opr.pol.k polotovarom VV"/>
    <s v="Súvaha"/>
    <x v="2"/>
    <n v="0"/>
    <n v="0"/>
    <n v="0"/>
    <n v="0"/>
    <n v="0"/>
    <n v="0"/>
    <x v="20"/>
  </r>
  <r>
    <n v="194000"/>
    <s v="Opr.pol k výrobkom"/>
    <s v="Súvaha"/>
    <x v="1"/>
    <n v="0"/>
    <n v="0"/>
    <n v="0"/>
    <n v="0"/>
    <n v="0"/>
    <n v="0"/>
    <x v="21"/>
  </r>
  <r>
    <n v="194999"/>
    <s v="Sumár-Opr.pol k výrobkom"/>
    <s v="Súvaha"/>
    <x v="2"/>
    <n v="0"/>
    <n v="0"/>
    <n v="0"/>
    <n v="0"/>
    <n v="0"/>
    <n v="0"/>
    <x v="21"/>
  </r>
  <r>
    <n v="195000"/>
    <s v="Opr.pol. k zvieratám"/>
    <s v="Súvaha"/>
    <x v="1"/>
    <n v="0"/>
    <n v="0"/>
    <n v="0"/>
    <n v="0"/>
    <n v="0"/>
    <n v="0"/>
    <x v="22"/>
  </r>
  <r>
    <n v="195999"/>
    <s v="Sumár-Opr.pol. k zvieratám"/>
    <s v="Súvaha"/>
    <x v="2"/>
    <n v="0"/>
    <n v="0"/>
    <n v="0"/>
    <n v="0"/>
    <n v="0"/>
    <n v="0"/>
    <x v="22"/>
  </r>
  <r>
    <n v="196000"/>
    <s v="Opravná položka k tovaru"/>
    <s v="Súvaha"/>
    <x v="1"/>
    <n v="0"/>
    <n v="0"/>
    <n v="0"/>
    <n v="0"/>
    <n v="0"/>
    <n v="0"/>
    <x v="23"/>
  </r>
  <r>
    <n v="196100"/>
    <s v="OP k ND 6-12 mesiacov"/>
    <s v="Súvaha"/>
    <x v="0"/>
    <n v="-7771.97"/>
    <n v="-40506.1"/>
    <n v="-40506.1"/>
    <n v="-7771.97"/>
    <n v="0"/>
    <n v="-32734.129999999997"/>
    <x v="23"/>
  </r>
  <r>
    <n v="196110"/>
    <s v="OP k ND 12-24 mesiacov"/>
    <s v="Súvaha"/>
    <x v="0"/>
    <n v="1173.8900000000001"/>
    <n v="-14092.1"/>
    <n v="-14092.1"/>
    <n v="1173.8900000000001"/>
    <n v="0"/>
    <n v="-15265.99"/>
    <x v="23"/>
  </r>
  <r>
    <n v="196120"/>
    <s v="OP k ND nad 24 mesiacov"/>
    <s v="Súvaha"/>
    <x v="0"/>
    <n v="88.02"/>
    <n v="0"/>
    <n v="0"/>
    <n v="88.02"/>
    <n v="0"/>
    <n v="-88.02"/>
    <x v="23"/>
  </r>
  <r>
    <n v="196130"/>
    <s v="OP - individuálne"/>
    <s v="Súvaha"/>
    <x v="0"/>
    <n v="0"/>
    <n v="-109151.22"/>
    <n v="-109151.22"/>
    <n v="0"/>
    <n v="0"/>
    <n v="-109151.22"/>
    <x v="23"/>
  </r>
  <r>
    <n v="196500"/>
    <s v="OP k novým autám"/>
    <s v="Súvaha"/>
    <x v="0"/>
    <n v="-121000"/>
    <n v="-150000"/>
    <n v="-150000"/>
    <n v="107504"/>
    <n v="228504"/>
    <n v="-29000"/>
    <x v="23"/>
  </r>
  <r>
    <n v="196600"/>
    <s v="OP k jazdeným autám"/>
    <s v="Súvaha"/>
    <x v="0"/>
    <n v="-65400"/>
    <n v="-150000"/>
    <n v="-150000"/>
    <n v="278500"/>
    <n v="343900"/>
    <n v="-84600"/>
    <x v="23"/>
  </r>
  <r>
    <n v="196999"/>
    <s v="Sumár - opr. pol. k tovaru"/>
    <s v="Súvaha"/>
    <x v="2"/>
    <n v="-192910.06"/>
    <n v="-463749.42"/>
    <n v="-463749.42"/>
    <n v="379493.94"/>
    <n v="572404"/>
    <n v="-270839.36"/>
    <x v="23"/>
  </r>
  <r>
    <n v="199999"/>
    <s v="Sumár - zásoby spolu"/>
    <s v="Súvaha"/>
    <x v="2"/>
    <n v="-1211721.08"/>
    <n v="8081892.3099999996"/>
    <n v="9140198.6099999994"/>
    <n v="102083531.02"/>
    <n v="103295252.09999999"/>
    <n v="9293613.3900000006"/>
    <x v="24"/>
  </r>
  <r>
    <n v="200000"/>
    <s v="FINANČNÉ ÚČTY"/>
    <s v="Súvaha"/>
    <x v="1"/>
    <n v="0"/>
    <n v="0"/>
    <n v="0"/>
    <n v="0"/>
    <n v="0"/>
    <n v="0"/>
    <x v="25"/>
  </r>
  <r>
    <n v="210000"/>
    <s v="Peniaze"/>
    <s v="Súvaha"/>
    <x v="1"/>
    <n v="0"/>
    <n v="0"/>
    <n v="0"/>
    <n v="0"/>
    <n v="0"/>
    <n v="0"/>
    <x v="26"/>
  </r>
  <r>
    <n v="211000"/>
    <s v="Pokladnica"/>
    <s v="Súvaha"/>
    <x v="1"/>
    <n v="0"/>
    <n v="0"/>
    <n v="0"/>
    <n v="0"/>
    <n v="0"/>
    <n v="0"/>
    <x v="27"/>
  </r>
  <r>
    <n v="211111"/>
    <s v="Registračná pokladnica I. BMW"/>
    <s v="Súvaha"/>
    <x v="0"/>
    <n v="-501.75"/>
    <n v="1337.06"/>
    <n v="4513.8599999999997"/>
    <n v="1077477.45"/>
    <n v="1077979.2"/>
    <n v="1838.8100000000559"/>
    <x v="27"/>
  </r>
  <r>
    <n v="211112"/>
    <s v="Registračná pokladnica II. Min"/>
    <s v="Súvaha"/>
    <x v="0"/>
    <n v="0"/>
    <n v="0"/>
    <n v="0"/>
    <n v="0"/>
    <n v="0"/>
    <n v="0"/>
    <x v="27"/>
  </r>
  <r>
    <n v="211113"/>
    <s v="Hlavná pokladnica"/>
    <s v="Súvaha"/>
    <x v="0"/>
    <n v="-3776.12"/>
    <n v="2040.13"/>
    <n v="1708.73"/>
    <n v="1043874.27"/>
    <n v="1047650.39"/>
    <n v="5816.25"/>
    <x v="27"/>
  </r>
  <r>
    <n v="211114"/>
    <s v="Pokladnica CZK"/>
    <s v="Súvaha"/>
    <x v="0"/>
    <n v="657.88"/>
    <n v="881.26"/>
    <n v="1913.14"/>
    <n v="4647.82"/>
    <n v="3989.94"/>
    <n v="223.38000000000056"/>
    <x v="27"/>
  </r>
  <r>
    <n v="211999"/>
    <s v="Sumár - pokladnica"/>
    <s v="Súvaha"/>
    <x v="2"/>
    <n v="-3619.99"/>
    <n v="4258.45"/>
    <n v="8135.73"/>
    <n v="2125999.54"/>
    <n v="2129619.5299999998"/>
    <n v="7878.4399999999441"/>
    <x v="27"/>
  </r>
  <r>
    <n v="213000"/>
    <s v="Ceniny"/>
    <s v="Súvaha"/>
    <x v="1"/>
    <n v="0"/>
    <n v="0"/>
    <n v="0"/>
    <n v="0"/>
    <n v="0"/>
    <n v="0"/>
    <x v="28"/>
  </r>
  <r>
    <n v="213110"/>
    <s v="Stravné lístky á 4,00 € a 5,00 €"/>
    <s v="Súvaha"/>
    <x v="0"/>
    <n v="9660"/>
    <n v="9660"/>
    <n v="3820"/>
    <n v="90000"/>
    <n v="80340"/>
    <n v="0"/>
    <x v="28"/>
  </r>
  <r>
    <n v="213120"/>
    <s v="Nákupné poukážky VAŠA á 20 €, 10 €, 5 €"/>
    <s v="Súvaha"/>
    <x v="0"/>
    <n v="0"/>
    <n v="0"/>
    <n v="0"/>
    <n v="0"/>
    <n v="0"/>
    <n v="0"/>
    <x v="28"/>
  </r>
  <r>
    <n v="213200"/>
    <s v="Ceniny - kolky, známky"/>
    <s v="Súvaha"/>
    <x v="0"/>
    <n v="0"/>
    <n v="0"/>
    <n v="0"/>
    <n v="0"/>
    <n v="0"/>
    <n v="0"/>
    <x v="28"/>
  </r>
  <r>
    <n v="213300"/>
    <s v="Vouchery"/>
    <s v="Súvaha"/>
    <x v="0"/>
    <n v="-120"/>
    <n v="0"/>
    <n v="0"/>
    <n v="0"/>
    <n v="120"/>
    <n v="120"/>
    <x v="28"/>
  </r>
  <r>
    <n v="213400"/>
    <s v="Dialničné známky"/>
    <s v="Súvaha"/>
    <x v="0"/>
    <n v="0"/>
    <n v="0"/>
    <n v="0"/>
    <n v="0"/>
    <n v="0"/>
    <n v="0"/>
    <x v="28"/>
  </r>
  <r>
    <n v="213999"/>
    <s v="Sumár - ceniny"/>
    <s v="Súvaha"/>
    <x v="2"/>
    <n v="9540"/>
    <n v="9660"/>
    <n v="3820"/>
    <n v="90000"/>
    <n v="80460"/>
    <n v="120"/>
    <x v="28"/>
  </r>
  <r>
    <n v="221000"/>
    <s v="Účty v bankách"/>
    <s v="Súvaha"/>
    <x v="1"/>
    <n v="0"/>
    <n v="0"/>
    <n v="0"/>
    <n v="0"/>
    <n v="0"/>
    <n v="0"/>
    <x v="29"/>
  </r>
  <r>
    <n v="221100"/>
    <s v="Tatrabanka"/>
    <s v="Súvaha"/>
    <x v="0"/>
    <n v="76771.56"/>
    <n v="78151.92"/>
    <n v="37056.67"/>
    <n v="36052249.770000003"/>
    <n v="35975478.210000001"/>
    <n v="1380.359999999404"/>
    <x v="29"/>
  </r>
  <r>
    <n v="221200"/>
    <s v="ING Bank"/>
    <s v="Súvaha"/>
    <x v="0"/>
    <n v="-508823.38"/>
    <n v="-591495.77"/>
    <n v="-979923.17"/>
    <n v="68392613.510000005"/>
    <n v="68901436.890000001"/>
    <n v="-82672.390000000596"/>
    <x v="29"/>
  </r>
  <r>
    <n v="221300"/>
    <s v="RBS banka"/>
    <s v="Súvaha"/>
    <x v="0"/>
    <n v="0"/>
    <n v="0"/>
    <n v="0"/>
    <n v="0"/>
    <n v="0"/>
    <n v="0"/>
    <x v="29"/>
  </r>
  <r>
    <n v="221999"/>
    <s v="Sumár - účty v bankách"/>
    <s v="Súvaha"/>
    <x v="2"/>
    <n v="-432051.82"/>
    <n v="-513343.85"/>
    <n v="-942866.5"/>
    <n v="104444863.28"/>
    <n v="104876915.09999999"/>
    <n v="-81292.030000001192"/>
    <x v="29"/>
  </r>
  <r>
    <n v="231000"/>
    <s v="Krátkodobé bankové úvery"/>
    <s v="Súvaha"/>
    <x v="1"/>
    <n v="0"/>
    <n v="0"/>
    <n v="0"/>
    <n v="0"/>
    <n v="0"/>
    <n v="0"/>
    <x v="30"/>
  </r>
  <r>
    <n v="231100"/>
    <s v="Kreditné karty ING"/>
    <s v="Súvaha"/>
    <x v="0"/>
    <n v="0"/>
    <n v="0"/>
    <n v="0"/>
    <n v="25953.06"/>
    <n v="25953.06"/>
    <n v="0"/>
    <x v="30"/>
  </r>
  <r>
    <n v="231999"/>
    <s v="Sumár-Krátkodobé bankové úvery"/>
    <s v="Súvaha"/>
    <x v="2"/>
    <n v="0"/>
    <n v="0"/>
    <n v="0"/>
    <n v="25953.06"/>
    <n v="25953.06"/>
    <n v="0"/>
    <x v="30"/>
  </r>
  <r>
    <n v="261000"/>
    <s v="Peniaze na ceste"/>
    <s v="Súvaha"/>
    <x v="1"/>
    <n v="0"/>
    <n v="0"/>
    <n v="0"/>
    <n v="0"/>
    <n v="0"/>
    <n v="0"/>
    <x v="31"/>
  </r>
  <r>
    <n v="261100"/>
    <s v="Peniaze na ceste - banka"/>
    <s v="Súvaha"/>
    <x v="0"/>
    <n v="-160000"/>
    <n v="0"/>
    <n v="200000"/>
    <n v="34419952"/>
    <n v="34579952"/>
    <n v="160000"/>
    <x v="31"/>
  </r>
  <r>
    <n v="261200"/>
    <s v="Peniaze na ceste - CZK"/>
    <s v="Súvaha"/>
    <x v="0"/>
    <n v="0"/>
    <n v="0"/>
    <n v="0"/>
    <n v="4642.34"/>
    <n v="4642.34"/>
    <n v="0"/>
    <x v="31"/>
  </r>
  <r>
    <n v="261300"/>
    <s v="Peniaze na ceste - karty"/>
    <s v="Súvaha"/>
    <x v="0"/>
    <n v="0"/>
    <n v="0"/>
    <n v="0"/>
    <n v="0"/>
    <n v="0"/>
    <n v="0"/>
    <x v="31"/>
  </r>
  <r>
    <n v="261301"/>
    <s v="Peniaze na ceste - karty RP1"/>
    <s v="Súvaha"/>
    <x v="0"/>
    <n v="0"/>
    <n v="0"/>
    <n v="0"/>
    <n v="0"/>
    <n v="0"/>
    <n v="0"/>
    <x v="31"/>
  </r>
  <r>
    <n v="261302"/>
    <s v="Peniaze na ceste - karty RP2"/>
    <s v="Súvaha"/>
    <x v="0"/>
    <n v="0"/>
    <n v="0"/>
    <n v="0"/>
    <n v="0"/>
    <n v="0"/>
    <n v="0"/>
    <x v="31"/>
  </r>
  <r>
    <n v="261500"/>
    <s v="Odvod tržby RP"/>
    <s v="Súvaha"/>
    <x v="0"/>
    <n v="0"/>
    <n v="0"/>
    <n v="0"/>
    <n v="1033225.54"/>
    <n v="1033225.54"/>
    <n v="0"/>
    <x v="31"/>
  </r>
  <r>
    <n v="261900"/>
    <s v="Neidentifikované platby"/>
    <s v="Súvaha"/>
    <x v="0"/>
    <n v="0"/>
    <n v="0"/>
    <n v="0"/>
    <n v="0"/>
    <n v="0"/>
    <n v="0"/>
    <x v="31"/>
  </r>
  <r>
    <n v="261999"/>
    <s v="Sumár - peniaze na ceste"/>
    <s v="Súvaha"/>
    <x v="2"/>
    <n v="-160000"/>
    <n v="0"/>
    <n v="200000"/>
    <n v="35457819.880000003"/>
    <n v="35617819.880000003"/>
    <n v="160000"/>
    <x v="31"/>
  </r>
  <r>
    <n v="291000"/>
    <s v="Opr.pol.ku krátkodob. FM"/>
    <s v="Súvaha"/>
    <x v="1"/>
    <n v="0"/>
    <n v="0"/>
    <n v="0"/>
    <n v="0"/>
    <n v="0"/>
    <n v="0"/>
    <x v="32"/>
  </r>
  <r>
    <n v="291999"/>
    <s v="Sumár-Opr.pol.ku krátkodob. FM"/>
    <s v="Súvaha"/>
    <x v="2"/>
    <n v="0"/>
    <n v="0"/>
    <n v="0"/>
    <n v="0"/>
    <n v="0"/>
    <n v="0"/>
    <x v="32"/>
  </r>
  <r>
    <n v="299998"/>
    <s v="Sumár - peniaze"/>
    <s v="Súvaha"/>
    <x v="2"/>
    <n v="-586131.81000000006"/>
    <n v="-499425.4"/>
    <n v="-730910.77"/>
    <n v="142144635.75999999"/>
    <n v="142730767.56999999"/>
    <n v="86706.409999996424"/>
    <x v="33"/>
  </r>
  <r>
    <n v="299999"/>
    <s v="Sumár - finančné účty"/>
    <s v="Súvaha"/>
    <x v="2"/>
    <n v="-586131.81000000006"/>
    <n v="-499425.4"/>
    <n v="-730910.77"/>
    <n v="142144635.75999999"/>
    <n v="142730767.56999999"/>
    <n v="86706.409999996424"/>
    <x v="33"/>
  </r>
  <r>
    <n v="300000"/>
    <s v="ZÚČTOVACIE VZŤAHY"/>
    <s v="Súvaha"/>
    <x v="1"/>
    <n v="0"/>
    <n v="0"/>
    <n v="0"/>
    <n v="0"/>
    <n v="0"/>
    <n v="0"/>
    <x v="34"/>
  </r>
  <r>
    <n v="310000"/>
    <s v="Pohľadávky"/>
    <s v="Súvaha"/>
    <x v="1"/>
    <n v="0"/>
    <n v="0"/>
    <n v="0"/>
    <n v="0"/>
    <n v="0"/>
    <n v="0"/>
    <x v="35"/>
  </r>
  <r>
    <n v="311000"/>
    <s v="Odberatelia"/>
    <s v="Súvaha"/>
    <x v="1"/>
    <n v="0"/>
    <n v="0"/>
    <n v="0"/>
    <n v="0"/>
    <n v="0"/>
    <n v="0"/>
    <x v="36"/>
  </r>
  <r>
    <n v="311110"/>
    <s v="Odberatelia - tuzemsko"/>
    <s v="Súvaha"/>
    <x v="0"/>
    <n v="-757249.72"/>
    <n v="346207.74"/>
    <n v="1084040.3999999999"/>
    <n v="55374437.850000001"/>
    <n v="56131687.57"/>
    <n v="1103457.4600000009"/>
    <x v="36"/>
  </r>
  <r>
    <n v="311130"/>
    <s v="Odberatelia - tuzem. SKUPINA"/>
    <s v="Súvaha"/>
    <x v="0"/>
    <n v="16122.39"/>
    <n v="121906.95"/>
    <n v="159030.62"/>
    <n v="1267278.75"/>
    <n v="1251156.3600000001"/>
    <n v="105784.56000000006"/>
    <x v="36"/>
  </r>
  <r>
    <n v="311150"/>
    <s v="Odberatelia - tuz.BMW garancie"/>
    <s v="Súvaha"/>
    <x v="0"/>
    <n v="42521.55"/>
    <n v="112260.59"/>
    <n v="15441.27"/>
    <n v="6194639.1200000001"/>
    <n v="6152117.5700000003"/>
    <n v="69739.040000000037"/>
    <x v="36"/>
  </r>
  <r>
    <n v="311210"/>
    <s v="Odberatelia - EU"/>
    <s v="Súvaha"/>
    <x v="0"/>
    <n v="65438.26"/>
    <n v="69675.12"/>
    <n v="79735.19"/>
    <n v="2858075.05"/>
    <n v="2792636.79"/>
    <n v="4236.8600000003353"/>
    <x v="36"/>
  </r>
  <r>
    <n v="311211"/>
    <s v="Odberatelia - mimo EU"/>
    <s v="Súvaha"/>
    <x v="0"/>
    <n v="0"/>
    <n v="0"/>
    <n v="0"/>
    <n v="24592"/>
    <n v="24592"/>
    <n v="0"/>
    <x v="36"/>
  </r>
  <r>
    <n v="311230"/>
    <s v="Odberatelia - EU - SKUPINA"/>
    <s v="Súvaha"/>
    <x v="0"/>
    <n v="-2668.83"/>
    <n v="170.22"/>
    <n v="23419.8"/>
    <n v="1025224.4"/>
    <n v="1027893.23"/>
    <n v="2839.0499999999302"/>
    <x v="36"/>
  </r>
  <r>
    <n v="311999"/>
    <s v="Sumár - odberatelia"/>
    <s v="Súvaha"/>
    <x v="2"/>
    <n v="-635836.35"/>
    <n v="650220.62"/>
    <n v="1361667.28"/>
    <n v="66744247.170000002"/>
    <n v="67380083.519999996"/>
    <n v="1286056.9699999914"/>
    <x v="36"/>
  </r>
  <r>
    <n v="312000"/>
    <s v="Zmenky na inkaso"/>
    <s v="Súvaha"/>
    <x v="1"/>
    <n v="0"/>
    <n v="0"/>
    <n v="0"/>
    <n v="0"/>
    <n v="0"/>
    <n v="0"/>
    <x v="37"/>
  </r>
  <r>
    <n v="312999"/>
    <s v="Sumár - Zmenky na inkaso"/>
    <s v="Súvaha"/>
    <x v="2"/>
    <n v="0"/>
    <n v="0"/>
    <n v="0"/>
    <n v="0"/>
    <n v="0"/>
    <n v="0"/>
    <x v="37"/>
  </r>
  <r>
    <n v="313000"/>
    <s v="Pohľ.za eskontované CP"/>
    <s v="Súvaha"/>
    <x v="1"/>
    <n v="0"/>
    <n v="0"/>
    <n v="0"/>
    <n v="0"/>
    <n v="0"/>
    <n v="0"/>
    <x v="38"/>
  </r>
  <r>
    <n v="313999"/>
    <s v="Sumár-Pohľ.za eskontované CP"/>
    <s v="Súvaha"/>
    <x v="2"/>
    <n v="0"/>
    <n v="0"/>
    <n v="0"/>
    <n v="0"/>
    <n v="0"/>
    <n v="0"/>
    <x v="38"/>
  </r>
  <r>
    <n v="314000"/>
    <s v="Poskytnuté preddavky"/>
    <s v="Súvaha"/>
    <x v="1"/>
    <n v="0"/>
    <n v="0"/>
    <n v="0"/>
    <n v="0"/>
    <n v="0"/>
    <n v="0"/>
    <x v="39"/>
  </r>
  <r>
    <n v="314100"/>
    <s v="Poskytnuté predd."/>
    <s v="Súvaha"/>
    <x v="0"/>
    <n v="-85699"/>
    <n v="0"/>
    <n v="0"/>
    <n v="536937.22"/>
    <n v="622636.22"/>
    <n v="85699"/>
    <x v="39"/>
  </r>
  <r>
    <n v="314999"/>
    <s v="Sumár - poskytnuté preddavky"/>
    <s v="Súvaha"/>
    <x v="2"/>
    <n v="-85699"/>
    <n v="0"/>
    <n v="0"/>
    <n v="536937.22"/>
    <n v="622636.22"/>
    <n v="85699"/>
    <x v="39"/>
  </r>
  <r>
    <n v="315000"/>
    <s v="Ostatné pohľadávky"/>
    <s v="Súvaha"/>
    <x v="1"/>
    <n v="0"/>
    <n v="0"/>
    <n v="0"/>
    <n v="0"/>
    <n v="0"/>
    <n v="0"/>
    <x v="40"/>
  </r>
  <r>
    <n v="315100"/>
    <s v="Ostatné pohľadávky"/>
    <s v="Súvaha"/>
    <x v="0"/>
    <n v="-33749.46"/>
    <n v="-33749.46"/>
    <n v="0"/>
    <n v="172461.95"/>
    <n v="206211.41"/>
    <n v="0"/>
    <x v="40"/>
  </r>
  <r>
    <n v="315200"/>
    <s v="Platby platobnými kartami RP1"/>
    <s v="Súvaha"/>
    <x v="0"/>
    <n v="1416.2"/>
    <n v="1803.08"/>
    <n v="8744.43"/>
    <n v="1756036.92"/>
    <n v="1754620.72"/>
    <n v="386.88000000012107"/>
    <x v="40"/>
  </r>
  <r>
    <n v="315300"/>
    <s v="Pohľadávky voči poisťovni"/>
    <s v="Súvaha"/>
    <x v="0"/>
    <n v="0"/>
    <n v="0"/>
    <n v="0"/>
    <n v="0"/>
    <n v="0"/>
    <n v="0"/>
    <x v="40"/>
  </r>
  <r>
    <n v="315400"/>
    <s v="Očakávané podpory BMW+ MINI NV"/>
    <s v="Súvaha"/>
    <x v="0"/>
    <n v="-196625.69"/>
    <n v="323642.40999999997"/>
    <n v="293263.65000000002"/>
    <n v="4228271.8"/>
    <n v="4424897.49"/>
    <n v="520268.10000000056"/>
    <x v="40"/>
  </r>
  <r>
    <n v="315401"/>
    <s v="Očakávané podpory - zimná sada"/>
    <s v="Súvaha"/>
    <x v="0"/>
    <n v="0"/>
    <n v="0"/>
    <n v="0"/>
    <n v="0"/>
    <n v="0"/>
    <n v="0"/>
    <x v="40"/>
  </r>
  <r>
    <n v="315500"/>
    <s v="Postúpené pohľadávky BMW LO"/>
    <s v="Súvaha"/>
    <x v="0"/>
    <n v="0"/>
    <n v="0"/>
    <n v="0"/>
    <n v="0"/>
    <n v="0"/>
    <n v="0"/>
    <x v="40"/>
  </r>
  <r>
    <n v="315700"/>
    <s v="Pohľ. voči poisťovni - zákaz."/>
    <s v="Súvaha"/>
    <x v="0"/>
    <n v="0"/>
    <n v="0"/>
    <n v="0"/>
    <n v="0"/>
    <n v="0"/>
    <n v="0"/>
    <x v="40"/>
  </r>
  <r>
    <n v="315800"/>
    <s v="Refakturácie služieb"/>
    <s v="Súvaha"/>
    <x v="0"/>
    <n v="0"/>
    <n v="0"/>
    <n v="0"/>
    <n v="21472.47"/>
    <n v="21472.47"/>
    <n v="0"/>
    <x v="40"/>
  </r>
  <r>
    <n v="315900"/>
    <s v="Ost.pohľ.-otvor.mínusové záväz"/>
    <s v="Súvaha"/>
    <x v="0"/>
    <n v="128022.89"/>
    <n v="187674.38"/>
    <n v="187674.38"/>
    <n v="187674.38"/>
    <n v="59651.49"/>
    <n v="59651.49"/>
    <x v="40"/>
  </r>
  <r>
    <n v="315910"/>
    <s v="Ostatné pohľ. - dohadné pol."/>
    <s v="Súvaha"/>
    <x v="0"/>
    <n v="0"/>
    <n v="0"/>
    <n v="0"/>
    <n v="0"/>
    <n v="0"/>
    <n v="0"/>
    <x v="40"/>
  </r>
  <r>
    <n v="315920"/>
    <s v="Dohady - bonusy SALES / NV"/>
    <s v="Súvaha"/>
    <x v="0"/>
    <n v="35147.22"/>
    <n v="684796.31"/>
    <n v="571634.25"/>
    <n v="2169139.0499999998"/>
    <n v="2133991.83"/>
    <n v="649649.09000000032"/>
    <x v="40"/>
  </r>
  <r>
    <n v="315921"/>
    <s v="Dohady - bonusy AFTERSALES"/>
    <s v="Súvaha"/>
    <x v="0"/>
    <n v="-146045.79"/>
    <n v="260549"/>
    <n v="287790"/>
    <n v="522387"/>
    <n v="668432.79"/>
    <n v="406594.79000000004"/>
    <x v="40"/>
  </r>
  <r>
    <n v="315922"/>
    <s v="Dohady - bonusy jazdené vozy"/>
    <s v="Súvaha"/>
    <x v="0"/>
    <n v="105700.26"/>
    <n v="146300.26"/>
    <n v="174396.63"/>
    <n v="324220.46000000002"/>
    <n v="218520.2"/>
    <n v="40600"/>
    <x v="40"/>
  </r>
  <r>
    <n v="315998"/>
    <s v="Sumár - ostatné pohľadávky"/>
    <s v="Súvaha"/>
    <x v="2"/>
    <n v="-106134.37"/>
    <n v="1571015.98"/>
    <n v="1523503.34"/>
    <n v="9381664.0299999993"/>
    <n v="9487798.4000000004"/>
    <n v="1677150.3500000015"/>
    <x v="40"/>
  </r>
  <r>
    <n v="315999"/>
    <s v="Sumár - pohľadávky"/>
    <s v="Súvaha"/>
    <x v="2"/>
    <n v="-827669.72"/>
    <n v="2221236.6"/>
    <n v="2885170.62"/>
    <n v="76662848.420000002"/>
    <n v="77490518.140000001"/>
    <n v="3048906.3199999928"/>
    <x v="40"/>
  </r>
  <r>
    <n v="320000"/>
    <s v="Záväzky"/>
    <s v="Súvaha"/>
    <x v="1"/>
    <n v="0"/>
    <n v="0"/>
    <n v="0"/>
    <n v="0"/>
    <n v="0"/>
    <n v="0"/>
    <x v="41"/>
  </r>
  <r>
    <n v="321000"/>
    <s v="Dodávatelia"/>
    <s v="Súvaha"/>
    <x v="1"/>
    <n v="0"/>
    <n v="0"/>
    <n v="0"/>
    <n v="0"/>
    <n v="0"/>
    <n v="0"/>
    <x v="42"/>
  </r>
  <r>
    <n v="321110"/>
    <s v="Dodávatelia - tuzemsko"/>
    <s v="Súvaha"/>
    <x v="0"/>
    <n v="14344.5"/>
    <n v="-100143.58"/>
    <n v="-37996.879999999997"/>
    <n v="6140811.4699999997"/>
    <n v="6126466.9699999997"/>
    <n v="-114488.08000000007"/>
    <x v="42"/>
  </r>
  <r>
    <n v="321111"/>
    <s v="Dodávatelia - tuzem. voz. BMW"/>
    <s v="Súvaha"/>
    <x v="0"/>
    <n v="3218439.24"/>
    <n v="-1622910.01"/>
    <n v="-4215072.03"/>
    <n v="42234786.530000001"/>
    <n v="39016347.289999999"/>
    <n v="-4841349.25"/>
    <x v="42"/>
  </r>
  <r>
    <n v="321112"/>
    <s v="Dodávatelia - tuzem. ND BMW"/>
    <s v="Súvaha"/>
    <x v="0"/>
    <n v="327417.62"/>
    <n v="-546211.29"/>
    <n v="-163031.23000000001"/>
    <n v="6788020.4500000002"/>
    <n v="6460602.8300000001"/>
    <n v="-873628.91000000015"/>
    <x v="42"/>
  </r>
  <r>
    <n v="321130"/>
    <s v="Dodávateľlia -tuzemsko SKUPINA"/>
    <s v="Súvaha"/>
    <x v="0"/>
    <n v="-26166.74"/>
    <n v="-61506.37"/>
    <n v="-21941.57"/>
    <n v="1405556.33"/>
    <n v="1431723.07"/>
    <n v="-35339.630000000121"/>
    <x v="42"/>
  </r>
  <r>
    <n v="321211"/>
    <s v="Dodávatelia - zahr. voz. BMW"/>
    <s v="Súvaha"/>
    <x v="0"/>
    <n v="0"/>
    <n v="0"/>
    <n v="0"/>
    <n v="0"/>
    <n v="0"/>
    <n v="0"/>
    <x v="42"/>
  </r>
  <r>
    <n v="321212"/>
    <s v="Dodávatelia - zahr. ND BMW"/>
    <s v="Súvaha"/>
    <x v="0"/>
    <n v="0"/>
    <n v="0"/>
    <n v="0"/>
    <n v="24.39"/>
    <n v="24.39"/>
    <n v="0"/>
    <x v="42"/>
  </r>
  <r>
    <n v="321219"/>
    <s v="Dodávatelia - zahranicie"/>
    <s v="Súvaha"/>
    <x v="0"/>
    <n v="-40869.65"/>
    <n v="-7862.99"/>
    <n v="552643.48"/>
    <n v="7234231.6200000001"/>
    <n v="7275101.2699999996"/>
    <n v="33006.659999999218"/>
    <x v="42"/>
  </r>
  <r>
    <n v="321230"/>
    <s v="Dodávatelia - zahr. SKUPINA"/>
    <s v="Súvaha"/>
    <x v="0"/>
    <n v="40686.15"/>
    <n v="-59224.54"/>
    <n v="-23.08"/>
    <n v="449076.01"/>
    <n v="408389.86"/>
    <n v="-99910.69"/>
    <x v="42"/>
  </r>
  <r>
    <n v="321999"/>
    <s v="Sumár - dodávatelia"/>
    <s v="Súvaha"/>
    <x v="2"/>
    <n v="3533851.12"/>
    <n v="-2397858.7799999998"/>
    <n v="-3885421.31"/>
    <n v="64252506.799999997"/>
    <n v="60718655.68"/>
    <n v="-5931709.8999999985"/>
    <x v="42"/>
  </r>
  <r>
    <n v="322000"/>
    <s v="Zmenky na úhradu"/>
    <s v="Súvaha"/>
    <x v="1"/>
    <n v="0"/>
    <n v="0"/>
    <n v="0"/>
    <n v="0"/>
    <n v="0"/>
    <n v="0"/>
    <x v="43"/>
  </r>
  <r>
    <n v="322999"/>
    <s v="Sumár - Zmenky na úhradu"/>
    <s v="Súvaha"/>
    <x v="2"/>
    <n v="0"/>
    <n v="0"/>
    <n v="0"/>
    <n v="0"/>
    <n v="0"/>
    <n v="0"/>
    <x v="43"/>
  </r>
  <r>
    <n v="323000"/>
    <s v="Krátkodobé rezervy"/>
    <s v="Súvaha"/>
    <x v="1"/>
    <n v="0"/>
    <n v="0"/>
    <n v="0"/>
    <n v="0"/>
    <n v="0"/>
    <n v="0"/>
    <x v="44"/>
  </r>
  <r>
    <n v="323100"/>
    <s v="Krátkodobé rezervy"/>
    <s v="Súvaha"/>
    <x v="0"/>
    <n v="-2519.21"/>
    <n v="-62101.57"/>
    <n v="-126031.75"/>
    <n v="1133097.0900000001"/>
    <n v="1135616.3"/>
    <n v="-59582.360000000102"/>
    <x v="44"/>
  </r>
  <r>
    <n v="323200"/>
    <s v="Rezervy - MNGMT fee"/>
    <s v="Súvaha"/>
    <x v="0"/>
    <n v="0"/>
    <n v="0"/>
    <n v="-25851"/>
    <n v="326388"/>
    <n v="326388"/>
    <n v="0"/>
    <x v="44"/>
  </r>
  <r>
    <n v="323450"/>
    <s v="Rezervy na nevyčerp. dovolenku"/>
    <s v="Súvaha"/>
    <x v="0"/>
    <n v="19440.669999999998"/>
    <n v="-113112.54"/>
    <n v="-103941.92"/>
    <n v="111914.58"/>
    <n v="92473.91"/>
    <n v="-132553.21"/>
    <x v="44"/>
  </r>
  <r>
    <n v="323500"/>
    <s v="Rezerva na odmeny"/>
    <s v="Súvaha"/>
    <x v="0"/>
    <n v="-8015"/>
    <n v="-158854"/>
    <n v="-29954"/>
    <n v="286001.55"/>
    <n v="294016.55"/>
    <n v="-150839"/>
    <x v="44"/>
  </r>
  <r>
    <n v="323510"/>
    <s v="Rezerva na odmeny - štat. org"/>
    <s v="Súvaha"/>
    <x v="0"/>
    <n v="0"/>
    <n v="0"/>
    <n v="0"/>
    <n v="0"/>
    <n v="0"/>
    <n v="0"/>
    <x v="44"/>
  </r>
  <r>
    <n v="323600"/>
    <s v="Rezerva na odmeny - odvody"/>
    <s v="Súvaha"/>
    <x v="0"/>
    <n v="-20991.62"/>
    <n v="-57187"/>
    <n v="-16792"/>
    <n v="76758.13"/>
    <n v="97749.75"/>
    <n v="-36195.380000000005"/>
    <x v="44"/>
  </r>
  <r>
    <n v="323999"/>
    <s v="Sumár - krátkodobé rezervy"/>
    <s v="Súvaha"/>
    <x v="2"/>
    <n v="-12085.16"/>
    <n v="-391255.11"/>
    <n v="-302570.67"/>
    <n v="1934159.35"/>
    <n v="1946244.51"/>
    <n v="-379169.94999999995"/>
    <x v="44"/>
  </r>
  <r>
    <n v="324000"/>
    <s v="Prijaté preddavky"/>
    <s v="Súvaha"/>
    <x v="1"/>
    <n v="0"/>
    <n v="0"/>
    <n v="0"/>
    <n v="0"/>
    <n v="0"/>
    <n v="0"/>
    <x v="45"/>
  </r>
  <r>
    <n v="324100"/>
    <s v="Prijaté preddavky"/>
    <s v="Súvaha"/>
    <x v="0"/>
    <n v="25939.17"/>
    <n v="-581052.30000000005"/>
    <n v="-587547.57999999996"/>
    <n v="21824658.629999999"/>
    <n v="21798719.460000001"/>
    <n v="-606991.46999999881"/>
    <x v="45"/>
  </r>
  <r>
    <n v="324999"/>
    <s v="Sumár - prijaté preddavky"/>
    <s v="Súvaha"/>
    <x v="2"/>
    <n v="25939.17"/>
    <n v="-581052.30000000005"/>
    <n v="-587547.57999999996"/>
    <n v="21824658.629999999"/>
    <n v="21798719.460000001"/>
    <n v="-606991.46999999881"/>
    <x v="45"/>
  </r>
  <r>
    <n v="325000"/>
    <s v="Ostatné záväzky"/>
    <s v="Súvaha"/>
    <x v="1"/>
    <n v="0"/>
    <n v="0"/>
    <n v="0"/>
    <n v="0"/>
    <n v="0"/>
    <n v="0"/>
    <x v="46"/>
  </r>
  <r>
    <n v="325100"/>
    <s v="Ostatné záväzky"/>
    <s v="Súvaha"/>
    <x v="0"/>
    <n v="49325.83"/>
    <n v="0"/>
    <n v="-6519.87"/>
    <n v="67168.19"/>
    <n v="17842.36"/>
    <n v="-49325.83"/>
    <x v="46"/>
  </r>
  <r>
    <n v="325200"/>
    <s v="Preplatky - záporné pohľadávky"/>
    <s v="Súvaha"/>
    <x v="0"/>
    <n v="-12756.71"/>
    <n v="-83207.789999999994"/>
    <n v="-83207.789999999994"/>
    <n v="20451.080000000002"/>
    <n v="33207.79"/>
    <n v="-70451.079999999987"/>
    <x v="46"/>
  </r>
  <r>
    <n v="325300"/>
    <s v="Predplatby bonusovNV sklad/maj"/>
    <s v="Súvaha"/>
    <x v="0"/>
    <n v="-36098.660000000003"/>
    <n v="-423606.41"/>
    <n v="-543413.68999999994"/>
    <n v="1568376.17"/>
    <n v="1604474.83"/>
    <n v="-387507.74999999977"/>
    <x v="46"/>
  </r>
  <r>
    <n v="325400"/>
    <s v="Bonusy pre zákazníkov"/>
    <s v="Súvaha"/>
    <x v="0"/>
    <n v="18811.61"/>
    <n v="-55535.69"/>
    <n v="-58949.69"/>
    <n v="42313.55"/>
    <n v="23501.94"/>
    <n v="-74347.3"/>
    <x v="46"/>
  </r>
  <r>
    <n v="325500"/>
    <s v="Predplatby bonusov- predané NV"/>
    <s v="Súvaha"/>
    <x v="0"/>
    <n v="683.62"/>
    <n v="-313608.14"/>
    <n v="-404238.01"/>
    <n v="1448220.04"/>
    <n v="1447536.42"/>
    <n v="-314291.76000000024"/>
    <x v="46"/>
  </r>
  <r>
    <n v="325999"/>
    <s v="Sumár - ostatné záväzky"/>
    <s v="Súvaha"/>
    <x v="2"/>
    <n v="19965.689999999999"/>
    <n v="-875958.03"/>
    <n v="-1096329.05"/>
    <n v="3146529.03"/>
    <n v="3126563.34"/>
    <n v="-895923.71999999974"/>
    <x v="46"/>
  </r>
  <r>
    <n v="326000"/>
    <s v="Nevyfakturované dodávky"/>
    <s v="Súvaha"/>
    <x v="1"/>
    <n v="0"/>
    <n v="0"/>
    <n v="0"/>
    <n v="0"/>
    <n v="0"/>
    <n v="0"/>
    <x v="47"/>
  </r>
  <r>
    <n v="326100"/>
    <s v="Nevyfakturované dodávky"/>
    <s v="Súvaha"/>
    <x v="0"/>
    <n v="1231.19"/>
    <n v="-36310.550000000003"/>
    <n v="0"/>
    <n v="64758.13"/>
    <n v="63526.94"/>
    <n v="-37541.739999999991"/>
    <x v="47"/>
  </r>
  <r>
    <n v="326999"/>
    <s v="Sumár -nevyfakturované dodávky"/>
    <s v="Súvaha"/>
    <x v="2"/>
    <n v="1231.19"/>
    <n v="-36310.550000000003"/>
    <n v="0"/>
    <n v="64758.13"/>
    <n v="63526.94"/>
    <n v="-37541.739999999991"/>
    <x v="47"/>
  </r>
  <r>
    <n v="329999"/>
    <s v="Sumár - záväzky"/>
    <s v="Súvaha"/>
    <x v="2"/>
    <n v="3568902.01"/>
    <n v="-4282434.7699999996"/>
    <n v="-5871868.6100000003"/>
    <n v="91222611.939999998"/>
    <n v="87653709.930000007"/>
    <n v="-7851336.7799999863"/>
    <x v="48"/>
  </r>
  <r>
    <n v="330000"/>
    <s v="Zúč.so zam.a or.soc.pois.a ZP"/>
    <s v="Súvaha"/>
    <x v="1"/>
    <n v="0"/>
    <n v="0"/>
    <n v="0"/>
    <n v="0"/>
    <n v="0"/>
    <n v="0"/>
    <x v="49"/>
  </r>
  <r>
    <n v="331000"/>
    <s v="Zamestnanci"/>
    <s v="Súvaha"/>
    <x v="1"/>
    <n v="0"/>
    <n v="0"/>
    <n v="0"/>
    <n v="0"/>
    <n v="0"/>
    <n v="0"/>
    <x v="50"/>
  </r>
  <r>
    <n v="331100"/>
    <s v="Zamestnanci"/>
    <s v="Súvaha"/>
    <x v="0"/>
    <n v="2213.9499999999998"/>
    <n v="-142079.17000000001"/>
    <n v="0"/>
    <n v="2401333.61"/>
    <n v="2399119.66"/>
    <n v="-144293.11999999965"/>
    <x v="50"/>
  </r>
  <r>
    <n v="331999"/>
    <s v="Sumár - zamestnanci"/>
    <s v="Súvaha"/>
    <x v="2"/>
    <n v="2213.9499999999998"/>
    <n v="-142079.17000000001"/>
    <n v="0"/>
    <n v="2401333.61"/>
    <n v="2399119.66"/>
    <n v="-144293.11999999965"/>
    <x v="50"/>
  </r>
  <r>
    <n v="333000"/>
    <s v="Ostatné záv. voči zamestancom"/>
    <s v="Súvaha"/>
    <x v="1"/>
    <n v="0"/>
    <n v="0"/>
    <n v="0"/>
    <n v="0"/>
    <n v="0"/>
    <n v="0"/>
    <x v="51"/>
  </r>
  <r>
    <n v="333100"/>
    <s v="Ostatné záv. voči zamestancom"/>
    <s v="Súvaha"/>
    <x v="0"/>
    <n v="3575"/>
    <n v="0"/>
    <n v="0"/>
    <n v="21540.38"/>
    <n v="17965.38"/>
    <n v="-3575"/>
    <x v="51"/>
  </r>
  <r>
    <n v="333200"/>
    <s v="Ostatné záv. voči zamest.-PHM"/>
    <s v="Súvaha"/>
    <x v="0"/>
    <n v="0"/>
    <n v="0"/>
    <n v="0"/>
    <n v="0"/>
    <n v="0"/>
    <n v="0"/>
    <x v="51"/>
  </r>
  <r>
    <n v="333300"/>
    <s v="Ostatné záv.voči zam. - PC CZK"/>
    <s v="Súvaha"/>
    <x v="0"/>
    <n v="0"/>
    <n v="0"/>
    <n v="0"/>
    <n v="71.819999999999993"/>
    <n v="71.819999999999993"/>
    <n v="0"/>
    <x v="51"/>
  </r>
  <r>
    <n v="333999"/>
    <s v="Sumár - ostat.záv.voči zam."/>
    <s v="Súvaha"/>
    <x v="2"/>
    <n v="3575"/>
    <n v="0"/>
    <n v="0"/>
    <n v="21612.2"/>
    <n v="18037.2"/>
    <n v="-3575"/>
    <x v="51"/>
  </r>
  <r>
    <n v="335000"/>
    <s v="Pohľ. voči zamestnancom"/>
    <s v="Súvaha"/>
    <x v="1"/>
    <n v="0"/>
    <n v="0"/>
    <n v="0"/>
    <n v="0"/>
    <n v="0"/>
    <n v="0"/>
    <x v="52"/>
  </r>
  <r>
    <n v="335100"/>
    <s v="Pohľ. voči zamestnancom"/>
    <s v="Súvaha"/>
    <x v="0"/>
    <n v="0"/>
    <n v="2700"/>
    <n v="2700"/>
    <n v="888"/>
    <n v="888"/>
    <n v="2700"/>
    <x v="52"/>
  </r>
  <r>
    <n v="335200"/>
    <s v="Pohľ. voči zamest."/>
    <s v="Súvaha"/>
    <x v="0"/>
    <n v="0"/>
    <n v="0"/>
    <n v="0"/>
    <n v="0"/>
    <n v="0"/>
    <n v="0"/>
    <x v="52"/>
  </r>
  <r>
    <n v="335300"/>
    <s v="Pohľ. voči zamestnancom -strav"/>
    <s v="Súvaha"/>
    <x v="0"/>
    <n v="0"/>
    <n v="0"/>
    <n v="0"/>
    <n v="0"/>
    <n v="0"/>
    <n v="0"/>
    <x v="52"/>
  </r>
  <r>
    <n v="335999"/>
    <s v="Sumár - pohľ. voči zamestancom"/>
    <s v="Súvaha"/>
    <x v="2"/>
    <n v="0"/>
    <n v="2700"/>
    <n v="2700"/>
    <n v="888"/>
    <n v="888"/>
    <n v="2700"/>
    <x v="52"/>
  </r>
  <r>
    <n v="336000"/>
    <s v="Zúčtovanie s orgánmi"/>
    <s v="Súvaha"/>
    <x v="1"/>
    <n v="0"/>
    <n v="0"/>
    <n v="0"/>
    <n v="0"/>
    <n v="0"/>
    <n v="0"/>
    <x v="53"/>
  </r>
  <r>
    <n v="336100"/>
    <s v="Zúčt.s inšt.SZaZP-zdrav.poist."/>
    <s v="Súvaha"/>
    <x v="0"/>
    <n v="166.57"/>
    <n v="-29443.77"/>
    <n v="0"/>
    <n v="343870.24"/>
    <n v="343703.67"/>
    <n v="-29610.340000000026"/>
    <x v="53"/>
  </r>
  <r>
    <n v="336200"/>
    <s v="Zúčt.s inšt.SZaZP-sociál.poist"/>
    <s v="Súvaha"/>
    <x v="0"/>
    <n v="1112.51"/>
    <n v="-70444.179999999993"/>
    <n v="0"/>
    <n v="820764.77"/>
    <n v="819652.26"/>
    <n v="-71556.689999999944"/>
    <x v="53"/>
  </r>
  <r>
    <n v="336998"/>
    <s v="Sumár - zúčtovanie s orgánmi"/>
    <s v="Súvaha"/>
    <x v="2"/>
    <n v="1279.08"/>
    <n v="-99887.95"/>
    <n v="0"/>
    <n v="1164635.01"/>
    <n v="1163355.93"/>
    <n v="-101167.03000000003"/>
    <x v="53"/>
  </r>
  <r>
    <n v="336999"/>
    <s v="Sumár-zúč.so zam.a or.SP a ZP"/>
    <s v="Súvaha"/>
    <x v="2"/>
    <n v="7068.03"/>
    <n v="-239267.12"/>
    <n v="2700"/>
    <n v="3588468.82"/>
    <n v="3581400.79"/>
    <n v="-246335.14999999991"/>
    <x v="53"/>
  </r>
  <r>
    <n v="340000"/>
    <s v="Zúčtovanie daní a dotácií"/>
    <s v="Súvaha"/>
    <x v="1"/>
    <n v="0"/>
    <n v="0"/>
    <n v="0"/>
    <n v="0"/>
    <n v="0"/>
    <n v="0"/>
    <x v="54"/>
  </r>
  <r>
    <n v="341000"/>
    <s v="Daň z príjmov"/>
    <s v="Súvaha"/>
    <x v="1"/>
    <n v="0"/>
    <n v="0"/>
    <n v="0"/>
    <n v="0"/>
    <n v="0"/>
    <n v="0"/>
    <x v="55"/>
  </r>
  <r>
    <n v="341100"/>
    <s v="Daň z príjmov PO - preddavky"/>
    <s v="Súvaha"/>
    <x v="0"/>
    <n v="-49417.8"/>
    <n v="174564.84"/>
    <n v="193422.68"/>
    <n v="174564.84"/>
    <n v="223982.64"/>
    <n v="223982.64"/>
    <x v="55"/>
  </r>
  <r>
    <n v="341200"/>
    <s v="Daň z príjmov PO - zúčtovanie"/>
    <s v="Súvaha"/>
    <x v="0"/>
    <n v="-2590.81"/>
    <n v="-229015.19"/>
    <n v="-229015.19"/>
    <n v="388197.59"/>
    <n v="390788.4"/>
    <n v="-226424.38"/>
    <x v="55"/>
  </r>
  <r>
    <n v="341300"/>
    <s v="Daň z príjmov PO - z úrokov"/>
    <s v="Súvaha"/>
    <x v="0"/>
    <n v="0"/>
    <n v="0"/>
    <n v="0"/>
    <n v="0"/>
    <n v="0"/>
    <n v="0"/>
    <x v="55"/>
  </r>
  <r>
    <n v="341999"/>
    <s v="Sumár - daň z príjmov"/>
    <s v="Súvaha"/>
    <x v="2"/>
    <n v="-52008.61"/>
    <n v="-54450.35"/>
    <n v="-35592.51"/>
    <n v="562762.43000000005"/>
    <n v="614771.04"/>
    <n v="-2441.7399999999907"/>
    <x v="55"/>
  </r>
  <r>
    <n v="342000"/>
    <s v="Ostatné priame dane"/>
    <s v="Súvaha"/>
    <x v="1"/>
    <n v="0"/>
    <n v="0"/>
    <n v="0"/>
    <n v="0"/>
    <n v="0"/>
    <n v="0"/>
    <x v="56"/>
  </r>
  <r>
    <n v="342100"/>
    <s v="Ost. priame dane - daň zo mzdy"/>
    <s v="Súvaha"/>
    <x v="0"/>
    <n v="-62.65"/>
    <n v="-32351.07"/>
    <n v="0"/>
    <n v="413595.22"/>
    <n v="413657.87"/>
    <n v="-32288.419999999984"/>
    <x v="56"/>
  </r>
  <r>
    <n v="342999"/>
    <s v="Sumár - ostatné priame dane"/>
    <s v="Súvaha"/>
    <x v="2"/>
    <n v="-62.65"/>
    <n v="-32351.07"/>
    <n v="0"/>
    <n v="413595.22"/>
    <n v="413657.87"/>
    <n v="-32288.419999999984"/>
    <x v="56"/>
  </r>
  <r>
    <n v="343000"/>
    <s v="Daň z pridanej hodnoty"/>
    <s v="Súvaha"/>
    <x v="1"/>
    <n v="0"/>
    <n v="0"/>
    <n v="0"/>
    <n v="0"/>
    <n v="0"/>
    <n v="0"/>
    <x v="57"/>
  </r>
  <r>
    <n v="343001"/>
    <s v="DPH január"/>
    <s v="Súvaha"/>
    <x v="0"/>
    <n v="0"/>
    <n v="0"/>
    <n v="0"/>
    <n v="0"/>
    <n v="0"/>
    <n v="0"/>
    <x v="57"/>
  </r>
  <r>
    <n v="343002"/>
    <s v="DPH február"/>
    <s v="Súvaha"/>
    <x v="0"/>
    <n v="0"/>
    <n v="0"/>
    <n v="0"/>
    <n v="0"/>
    <n v="0"/>
    <n v="0"/>
    <x v="57"/>
  </r>
  <r>
    <n v="343003"/>
    <s v="DPH marec"/>
    <s v="Súvaha"/>
    <x v="0"/>
    <n v="0"/>
    <n v="0"/>
    <n v="0"/>
    <n v="0"/>
    <n v="0"/>
    <n v="0"/>
    <x v="57"/>
  </r>
  <r>
    <n v="343004"/>
    <s v="DPH apríl"/>
    <s v="Súvaha"/>
    <x v="0"/>
    <n v="0"/>
    <n v="0"/>
    <n v="0"/>
    <n v="0"/>
    <n v="0"/>
    <n v="0"/>
    <x v="57"/>
  </r>
  <r>
    <n v="343005"/>
    <s v="DPH máj"/>
    <s v="Súvaha"/>
    <x v="0"/>
    <n v="0"/>
    <n v="0"/>
    <n v="0"/>
    <n v="0"/>
    <n v="0"/>
    <n v="0"/>
    <x v="57"/>
  </r>
  <r>
    <n v="343006"/>
    <s v="DPH jún"/>
    <s v="Súvaha"/>
    <x v="0"/>
    <n v="0"/>
    <n v="0"/>
    <n v="0"/>
    <n v="0"/>
    <n v="0"/>
    <n v="0"/>
    <x v="57"/>
  </r>
  <r>
    <n v="343007"/>
    <s v="DPH júl"/>
    <s v="Súvaha"/>
    <x v="0"/>
    <n v="0"/>
    <n v="0"/>
    <n v="0"/>
    <n v="0"/>
    <n v="0"/>
    <n v="0"/>
    <x v="57"/>
  </r>
  <r>
    <n v="343008"/>
    <s v="DPH august"/>
    <s v="Súvaha"/>
    <x v="0"/>
    <n v="0"/>
    <n v="0"/>
    <n v="0"/>
    <n v="0"/>
    <n v="0"/>
    <n v="0"/>
    <x v="57"/>
  </r>
  <r>
    <n v="343009"/>
    <s v="DPH september"/>
    <s v="Súvaha"/>
    <x v="0"/>
    <n v="0"/>
    <n v="0"/>
    <n v="0"/>
    <n v="0"/>
    <n v="0"/>
    <n v="0"/>
    <x v="57"/>
  </r>
  <r>
    <n v="343010"/>
    <s v="DPH október"/>
    <s v="Súvaha"/>
    <x v="0"/>
    <n v="0"/>
    <n v="0"/>
    <n v="0"/>
    <n v="0"/>
    <n v="0"/>
    <n v="0"/>
    <x v="57"/>
  </r>
  <r>
    <n v="343011"/>
    <s v="DPH november"/>
    <s v="Súvaha"/>
    <x v="0"/>
    <n v="0"/>
    <n v="0"/>
    <n v="0"/>
    <n v="0"/>
    <n v="0"/>
    <n v="0"/>
    <x v="57"/>
  </r>
  <r>
    <n v="343012"/>
    <s v="DPH december"/>
    <s v="Súvaha"/>
    <x v="0"/>
    <n v="0"/>
    <n v="0"/>
    <n v="0"/>
    <n v="0"/>
    <n v="0"/>
    <n v="0"/>
    <x v="57"/>
  </r>
  <r>
    <n v="343119"/>
    <s v="DPH 20% - výstup"/>
    <s v="Súvaha"/>
    <x v="0"/>
    <n v="0"/>
    <n v="0"/>
    <n v="-796264.66"/>
    <n v="10356205.619999999"/>
    <n v="10356205.619999999"/>
    <n v="0"/>
    <x v="57"/>
  </r>
  <r>
    <n v="343191"/>
    <s v="DPH 20% - vstup 1. skupina"/>
    <s v="Súvaha"/>
    <x v="0"/>
    <n v="-210.68"/>
    <n v="-260.58"/>
    <n v="870461.04"/>
    <n v="9267776.9100000001"/>
    <n v="9267987.5899999999"/>
    <n v="-49.900000000372529"/>
    <x v="57"/>
  </r>
  <r>
    <n v="343295"/>
    <s v="DPH - samovymeranie - výstup"/>
    <s v="Súvaha"/>
    <x v="0"/>
    <n v="-18.75"/>
    <n v="0"/>
    <n v="-10997.42"/>
    <n v="1488336"/>
    <n v="1488354.75"/>
    <n v="18.75"/>
    <x v="57"/>
  </r>
  <r>
    <n v="343351"/>
    <s v="PP DPH výstup základní sazba"/>
    <s v="Súvaha"/>
    <x v="0"/>
    <n v="0"/>
    <n v="0"/>
    <n v="0"/>
    <n v="0"/>
    <n v="0"/>
    <n v="0"/>
    <x v="57"/>
  </r>
  <r>
    <n v="343900"/>
    <s v="DPH - zúčtovanie s DU"/>
    <s v="Súvaha"/>
    <x v="0"/>
    <n v="-291526.06"/>
    <n v="-206870"/>
    <n v="11.67"/>
    <n v="1856667.01"/>
    <n v="2148193.0699999998"/>
    <n v="84656.059999999823"/>
    <x v="57"/>
  </r>
  <r>
    <n v="343999"/>
    <s v="Sumár - DPH"/>
    <s v="Súvaha"/>
    <x v="2"/>
    <n v="-291755.49"/>
    <n v="-207130.58"/>
    <n v="63210.63"/>
    <n v="22968985.539999999"/>
    <n v="23260741.030000001"/>
    <n v="84624.910000003874"/>
    <x v="57"/>
  </r>
  <r>
    <n v="345000"/>
    <s v="Ostatné dane a poplatky"/>
    <s v="Súvaha"/>
    <x v="1"/>
    <n v="0"/>
    <n v="0"/>
    <n v="0"/>
    <n v="0"/>
    <n v="0"/>
    <n v="0"/>
    <x v="58"/>
  </r>
  <r>
    <n v="345100"/>
    <s v="Ostatné dane - cestná daň"/>
    <s v="Súvaha"/>
    <x v="0"/>
    <n v="-766.49"/>
    <n v="-2459.0700000000002"/>
    <n v="-2063.37"/>
    <n v="8688.76"/>
    <n v="9455.25"/>
    <n v="-1692.58"/>
    <x v="58"/>
  </r>
  <r>
    <n v="345200"/>
    <s v="Ostatné dane a poplatky"/>
    <s v="Súvaha"/>
    <x v="0"/>
    <n v="0"/>
    <n v="0"/>
    <n v="0"/>
    <n v="2258.89"/>
    <n v="2258.89"/>
    <n v="0"/>
    <x v="58"/>
  </r>
  <r>
    <n v="345999"/>
    <s v="Sumár - ostatné dane a popl."/>
    <s v="Súvaha"/>
    <x v="2"/>
    <n v="-766.49"/>
    <n v="-2459.0700000000002"/>
    <n v="-2063.37"/>
    <n v="10947.65"/>
    <n v="11714.14"/>
    <n v="-1692.58"/>
    <x v="58"/>
  </r>
  <r>
    <n v="346000"/>
    <s v="Dotácie zo štátneho rozp."/>
    <s v="Súvaha"/>
    <x v="1"/>
    <n v="0"/>
    <n v="0"/>
    <n v="0"/>
    <n v="0"/>
    <n v="0"/>
    <n v="0"/>
    <x v="59"/>
  </r>
  <r>
    <n v="346100"/>
    <s v="Dotácie zo štátneho rozp."/>
    <s v="Súvaha"/>
    <x v="0"/>
    <n v="-1000"/>
    <n v="0"/>
    <n v="0"/>
    <n v="34050"/>
    <n v="35050"/>
    <n v="1000"/>
    <x v="59"/>
  </r>
  <r>
    <n v="346999"/>
    <s v="Sumár - Dotácie zo št. rozp."/>
    <s v="Súvaha"/>
    <x v="2"/>
    <n v="-1000"/>
    <n v="0"/>
    <n v="0"/>
    <n v="34050"/>
    <n v="35050"/>
    <n v="1000"/>
    <x v="59"/>
  </r>
  <r>
    <n v="347000"/>
    <s v="Ostatné dotácie"/>
    <s v="Súvaha"/>
    <x v="1"/>
    <n v="0"/>
    <n v="0"/>
    <n v="0"/>
    <n v="0"/>
    <n v="0"/>
    <n v="0"/>
    <x v="60"/>
  </r>
  <r>
    <n v="347999"/>
    <s v="Sumár - Ostatné dotácie"/>
    <s v="Súvaha"/>
    <x v="2"/>
    <n v="0"/>
    <n v="0"/>
    <n v="0"/>
    <n v="0"/>
    <n v="0"/>
    <n v="0"/>
    <x v="60"/>
  </r>
  <r>
    <n v="349999"/>
    <s v="Sumár - zúčtov.daní a dotácií"/>
    <s v="Súvaha"/>
    <x v="2"/>
    <n v="-345593.24"/>
    <n v="-296391.07"/>
    <n v="25554.75"/>
    <n v="23990340.84"/>
    <n v="24335934.079999998"/>
    <n v="49202.169999998063"/>
    <x v="61"/>
  </r>
  <r>
    <n v="350000"/>
    <s v="Pohľ.voči spol.a združ."/>
    <s v="Súvaha"/>
    <x v="1"/>
    <n v="0"/>
    <n v="0"/>
    <n v="0"/>
    <n v="0"/>
    <n v="0"/>
    <n v="0"/>
    <x v="62"/>
  </r>
  <r>
    <n v="351000"/>
    <s v="Pohľ. voči podnikom v skupine"/>
    <s v="Súvaha"/>
    <x v="1"/>
    <n v="0"/>
    <n v="0"/>
    <n v="0"/>
    <n v="0"/>
    <n v="0"/>
    <n v="0"/>
    <x v="63"/>
  </r>
  <r>
    <n v="351100"/>
    <s v="Pohľ. voči podnikom v skupine"/>
    <s v="Súvaha"/>
    <x v="0"/>
    <n v="0"/>
    <n v="0"/>
    <n v="0"/>
    <n v="3000000"/>
    <n v="3000000"/>
    <n v="0"/>
    <x v="63"/>
  </r>
  <r>
    <n v="351999"/>
    <s v="Sumár - pohľ.voči podnik.v sk."/>
    <s v="Súvaha"/>
    <x v="2"/>
    <n v="0"/>
    <n v="0"/>
    <n v="0"/>
    <n v="3000000"/>
    <n v="3000000"/>
    <n v="0"/>
    <x v="63"/>
  </r>
  <r>
    <n v="353000"/>
    <s v="Pohľ.za upísané VI"/>
    <s v="Súvaha"/>
    <x v="1"/>
    <n v="0"/>
    <n v="0"/>
    <n v="0"/>
    <n v="0"/>
    <n v="0"/>
    <n v="0"/>
    <x v="64"/>
  </r>
  <r>
    <n v="353999"/>
    <s v="Sumár - Pohľ.za upísané VI"/>
    <s v="Súvaha"/>
    <x v="2"/>
    <n v="0"/>
    <n v="0"/>
    <n v="0"/>
    <n v="0"/>
    <n v="0"/>
    <n v="0"/>
    <x v="64"/>
  </r>
  <r>
    <n v="354000"/>
    <s v="Pohľ.voči sp.a čl.pri úhr.st."/>
    <s v="Súvaha"/>
    <x v="1"/>
    <n v="0"/>
    <n v="0"/>
    <n v="0"/>
    <n v="0"/>
    <n v="0"/>
    <n v="0"/>
    <x v="65"/>
  </r>
  <r>
    <n v="354999"/>
    <s v="S-Pohľ.voči sp.a čl.pri úhr.st"/>
    <s v="Súvaha"/>
    <x v="2"/>
    <n v="0"/>
    <n v="0"/>
    <n v="0"/>
    <n v="0"/>
    <n v="0"/>
    <n v="0"/>
    <x v="65"/>
  </r>
  <r>
    <n v="355000"/>
    <s v="Ost.pohľ.voči spol.a čl."/>
    <s v="Súvaha"/>
    <x v="1"/>
    <n v="0"/>
    <n v="0"/>
    <n v="0"/>
    <n v="0"/>
    <n v="0"/>
    <n v="0"/>
    <x v="66"/>
  </r>
  <r>
    <n v="355999"/>
    <s v="Sumár-Ost.pohľ.voči spol.a čl."/>
    <s v="Súvaha"/>
    <x v="2"/>
    <n v="0"/>
    <n v="0"/>
    <n v="0"/>
    <n v="0"/>
    <n v="0"/>
    <n v="0"/>
    <x v="66"/>
  </r>
  <r>
    <n v="358000"/>
    <s v="Pohľ.voči účast.združenia"/>
    <s v="Súvaha"/>
    <x v="1"/>
    <n v="0"/>
    <n v="0"/>
    <n v="0"/>
    <n v="0"/>
    <n v="0"/>
    <n v="0"/>
    <x v="67"/>
  </r>
  <r>
    <n v="358100"/>
    <s v="Pohľ.voči účast.združenia"/>
    <s v="Súvaha"/>
    <x v="0"/>
    <n v="0"/>
    <n v="0"/>
    <n v="0"/>
    <n v="0"/>
    <n v="0"/>
    <n v="0"/>
    <x v="67"/>
  </r>
  <r>
    <n v="358998"/>
    <s v="Sumár-Pohľ.voči účast.združ."/>
    <s v="Súvaha"/>
    <x v="2"/>
    <n v="0"/>
    <n v="0"/>
    <n v="0"/>
    <n v="0"/>
    <n v="0"/>
    <n v="0"/>
    <x v="67"/>
  </r>
  <r>
    <n v="358999"/>
    <s v="Sumár-pohľ.voči spol.a združ."/>
    <s v="Súvaha"/>
    <x v="2"/>
    <n v="0"/>
    <n v="0"/>
    <n v="0"/>
    <n v="3000000"/>
    <n v="3000000"/>
    <n v="0"/>
    <x v="67"/>
  </r>
  <r>
    <n v="360000"/>
    <s v="Záv.voči spol. a združ."/>
    <s v="Súvaha"/>
    <x v="1"/>
    <n v="0"/>
    <n v="0"/>
    <n v="0"/>
    <n v="0"/>
    <n v="0"/>
    <n v="0"/>
    <x v="68"/>
  </r>
  <r>
    <n v="361000"/>
    <s v="Záv. voči podnikom v skupine"/>
    <s v="Súvaha"/>
    <x v="1"/>
    <n v="0"/>
    <n v="0"/>
    <n v="0"/>
    <n v="0"/>
    <n v="0"/>
    <n v="0"/>
    <x v="69"/>
  </r>
  <r>
    <n v="361100"/>
    <s v="Záv. voči podnikom v skupine"/>
    <s v="Súvaha"/>
    <x v="0"/>
    <n v="0"/>
    <n v="0"/>
    <n v="0"/>
    <n v="0"/>
    <n v="0"/>
    <n v="0"/>
    <x v="69"/>
  </r>
  <r>
    <n v="361999"/>
    <s v="Sumár - záv.voči podnik.v sk."/>
    <s v="Súvaha"/>
    <x v="2"/>
    <n v="0"/>
    <n v="0"/>
    <n v="0"/>
    <n v="0"/>
    <n v="0"/>
    <n v="0"/>
    <x v="69"/>
  </r>
  <r>
    <n v="364000"/>
    <s v="Záv.voči spol.pri rozdeľ.zisku"/>
    <s v="Súvaha"/>
    <x v="1"/>
    <n v="0"/>
    <n v="0"/>
    <n v="0"/>
    <n v="0"/>
    <n v="0"/>
    <n v="0"/>
    <x v="70"/>
  </r>
  <r>
    <n v="364999"/>
    <s v="Sumár-záv.voči sp.pri rozd.zis"/>
    <s v="Súvaha"/>
    <x v="2"/>
    <n v="0"/>
    <n v="0"/>
    <n v="0"/>
    <n v="0"/>
    <n v="0"/>
    <n v="0"/>
    <x v="70"/>
  </r>
  <r>
    <n v="365000"/>
    <s v="Ost.záv.voči spol. a čl."/>
    <s v="Súvaha"/>
    <x v="1"/>
    <n v="0"/>
    <n v="0"/>
    <n v="0"/>
    <n v="0"/>
    <n v="0"/>
    <n v="0"/>
    <x v="71"/>
  </r>
  <r>
    <n v="365999"/>
    <s v="Sumár-Ost.záv.voči spol. a čl."/>
    <s v="Súvaha"/>
    <x v="2"/>
    <n v="0"/>
    <n v="0"/>
    <n v="0"/>
    <n v="0"/>
    <n v="0"/>
    <n v="0"/>
    <x v="71"/>
  </r>
  <r>
    <n v="366000"/>
    <s v="Záv.voči spol.a čl.zo záv.č."/>
    <s v="Súvaha"/>
    <x v="1"/>
    <n v="0"/>
    <n v="0"/>
    <n v="0"/>
    <n v="0"/>
    <n v="0"/>
    <n v="0"/>
    <x v="72"/>
  </r>
  <r>
    <n v="366100"/>
    <s v="Záv.voči spol.a čl.zo záv.č."/>
    <s v="Súvaha"/>
    <x v="0"/>
    <n v="0"/>
    <n v="0"/>
    <n v="0"/>
    <n v="0"/>
    <n v="0"/>
    <n v="0"/>
    <x v="72"/>
  </r>
  <r>
    <n v="366999"/>
    <s v="S-Záv.voči spol.a čl.zo záv.č."/>
    <s v="Súvaha"/>
    <x v="2"/>
    <n v="0"/>
    <n v="0"/>
    <n v="0"/>
    <n v="0"/>
    <n v="0"/>
    <n v="0"/>
    <x v="72"/>
  </r>
  <r>
    <n v="367000"/>
    <s v="Záv.z upís.CP a vkladov"/>
    <s v="Súvaha"/>
    <x v="1"/>
    <n v="0"/>
    <n v="0"/>
    <n v="0"/>
    <n v="0"/>
    <n v="0"/>
    <n v="0"/>
    <x v="73"/>
  </r>
  <r>
    <n v="367999"/>
    <s v="Sumár-Záv.z upís.CP a vkladov"/>
    <s v="Súvaha"/>
    <x v="2"/>
    <n v="0"/>
    <n v="0"/>
    <n v="0"/>
    <n v="0"/>
    <n v="0"/>
    <n v="0"/>
    <x v="73"/>
  </r>
  <r>
    <n v="368000"/>
    <s v="Záv.voči účast. združ."/>
    <s v="Súvaha"/>
    <x v="1"/>
    <n v="0"/>
    <n v="0"/>
    <n v="0"/>
    <n v="0"/>
    <n v="0"/>
    <n v="0"/>
    <x v="74"/>
  </r>
  <r>
    <n v="368998"/>
    <s v="Sumár-Záv.voči účast. združ."/>
    <s v="Súvaha"/>
    <x v="2"/>
    <n v="0"/>
    <n v="0"/>
    <n v="0"/>
    <n v="0"/>
    <n v="0"/>
    <n v="0"/>
    <x v="74"/>
  </r>
  <r>
    <n v="368999"/>
    <s v="Sumár - záv.voči spol. a združ"/>
    <s v="Súvaha"/>
    <x v="2"/>
    <n v="0"/>
    <n v="0"/>
    <n v="0"/>
    <n v="0"/>
    <n v="0"/>
    <n v="0"/>
    <x v="74"/>
  </r>
  <r>
    <n v="370000"/>
    <s v="Iné pohľadávky a záväzky"/>
    <s v="Súvaha"/>
    <x v="1"/>
    <n v="0"/>
    <n v="0"/>
    <n v="0"/>
    <n v="0"/>
    <n v="0"/>
    <n v="0"/>
    <x v="75"/>
  </r>
  <r>
    <n v="371000"/>
    <s v="Pohľ. z predaja podniku"/>
    <s v="Súvaha"/>
    <x v="1"/>
    <n v="0"/>
    <n v="0"/>
    <n v="0"/>
    <n v="0"/>
    <n v="0"/>
    <n v="0"/>
    <x v="76"/>
  </r>
  <r>
    <n v="371100"/>
    <s v="Pohľ. z predaja podniku"/>
    <s v="Súvaha"/>
    <x v="0"/>
    <n v="0"/>
    <n v="0"/>
    <n v="0"/>
    <n v="0"/>
    <n v="0"/>
    <n v="0"/>
    <x v="76"/>
  </r>
  <r>
    <n v="371999"/>
    <s v="Sumár-Pohľ. z predaja podniku"/>
    <s v="Súvaha"/>
    <x v="2"/>
    <n v="0"/>
    <n v="0"/>
    <n v="0"/>
    <n v="0"/>
    <n v="0"/>
    <n v="0"/>
    <x v="76"/>
  </r>
  <r>
    <n v="372000"/>
    <s v="Záväzky z predaja podniku"/>
    <s v="Súvaha"/>
    <x v="1"/>
    <n v="0"/>
    <n v="0"/>
    <n v="0"/>
    <n v="0"/>
    <n v="0"/>
    <n v="0"/>
    <x v="77"/>
  </r>
  <r>
    <n v="372999"/>
    <s v="Sumár - Záv. z predaja podniku"/>
    <s v="Súvaha"/>
    <x v="2"/>
    <n v="0"/>
    <n v="0"/>
    <n v="0"/>
    <n v="0"/>
    <n v="0"/>
    <n v="0"/>
    <x v="77"/>
  </r>
  <r>
    <n v="373000"/>
    <s v="Pohľ.a záv.z pevných term.op."/>
    <s v="Súvaha"/>
    <x v="1"/>
    <n v="0"/>
    <n v="0"/>
    <n v="0"/>
    <n v="0"/>
    <n v="0"/>
    <n v="0"/>
    <x v="78"/>
  </r>
  <r>
    <n v="373999"/>
    <s v="Sumár - Pohľ.a záv.z PTO"/>
    <s v="Súvaha"/>
    <x v="2"/>
    <n v="0"/>
    <n v="0"/>
    <n v="0"/>
    <n v="0"/>
    <n v="0"/>
    <n v="0"/>
    <x v="78"/>
  </r>
  <r>
    <n v="374000"/>
    <s v="Pohľadávky z nájmu"/>
    <s v="Súvaha"/>
    <x v="1"/>
    <n v="0"/>
    <n v="0"/>
    <n v="0"/>
    <n v="0"/>
    <n v="0"/>
    <n v="0"/>
    <x v="79"/>
  </r>
  <r>
    <n v="374999"/>
    <s v="Sumár - Pohľadávky z nájmu"/>
    <s v="Súvaha"/>
    <x v="2"/>
    <n v="0"/>
    <n v="0"/>
    <n v="0"/>
    <n v="0"/>
    <n v="0"/>
    <n v="0"/>
    <x v="79"/>
  </r>
  <r>
    <n v="375000"/>
    <s v="Pohľ. z vyd.dlhopisov"/>
    <s v="Súvaha"/>
    <x v="1"/>
    <n v="0"/>
    <n v="0"/>
    <n v="0"/>
    <n v="0"/>
    <n v="0"/>
    <n v="0"/>
    <x v="80"/>
  </r>
  <r>
    <n v="375999"/>
    <s v="Sumár - Pohľ. z vyd.dlhopisov"/>
    <s v="Súvaha"/>
    <x v="2"/>
    <n v="0"/>
    <n v="0"/>
    <n v="0"/>
    <n v="0"/>
    <n v="0"/>
    <n v="0"/>
    <x v="80"/>
  </r>
  <r>
    <n v="376000"/>
    <s v="Nakúpené opcie"/>
    <s v="Súvaha"/>
    <x v="1"/>
    <n v="0"/>
    <n v="0"/>
    <n v="0"/>
    <n v="0"/>
    <n v="0"/>
    <n v="0"/>
    <x v="81"/>
  </r>
  <r>
    <n v="376999"/>
    <s v="Sumár - nakúpené opcie"/>
    <s v="Súvaha"/>
    <x v="2"/>
    <n v="0"/>
    <n v="0"/>
    <n v="0"/>
    <n v="0"/>
    <n v="0"/>
    <n v="0"/>
    <x v="81"/>
  </r>
  <r>
    <n v="377000"/>
    <s v="Predané opcie"/>
    <s v="Súvaha"/>
    <x v="1"/>
    <n v="0"/>
    <n v="0"/>
    <n v="0"/>
    <n v="0"/>
    <n v="0"/>
    <n v="0"/>
    <x v="82"/>
  </r>
  <r>
    <n v="377999"/>
    <s v="Sumár - predané opcie"/>
    <s v="Súvaha"/>
    <x v="2"/>
    <n v="0"/>
    <n v="0"/>
    <n v="0"/>
    <n v="0"/>
    <n v="0"/>
    <n v="0"/>
    <x v="82"/>
  </r>
  <r>
    <n v="378000"/>
    <s v="Iné pohľadávky"/>
    <s v="Súvaha"/>
    <x v="1"/>
    <n v="0"/>
    <n v="0"/>
    <n v="0"/>
    <n v="0"/>
    <n v="0"/>
    <n v="0"/>
    <x v="83"/>
  </r>
  <r>
    <n v="378001"/>
    <s v="Pohľadávky voči poisťovni"/>
    <s v="Súvaha"/>
    <x v="0"/>
    <n v="-1386.47"/>
    <n v="4760.0200000000004"/>
    <n v="4760.0200000000004"/>
    <n v="8738.33"/>
    <n v="10124.799999999999"/>
    <n v="6146.49"/>
    <x v="83"/>
  </r>
  <r>
    <n v="378100"/>
    <s v="Ostat. pohľad."/>
    <s v="Súvaha"/>
    <x v="0"/>
    <n v="8000"/>
    <n v="8000"/>
    <n v="0"/>
    <n v="8000"/>
    <n v="0"/>
    <n v="0"/>
    <x v="83"/>
  </r>
  <r>
    <n v="378201"/>
    <s v="Refundácia DPH z CZ"/>
    <s v="Súvaha"/>
    <x v="0"/>
    <n v="3172.49"/>
    <n v="4954.3999999999996"/>
    <n v="4994.1899999999996"/>
    <n v="3172.49"/>
    <n v="0"/>
    <n v="1781.9099999999999"/>
    <x v="83"/>
  </r>
  <r>
    <n v="378202"/>
    <s v="Refundácia DPH DE"/>
    <s v="Súvaha"/>
    <x v="0"/>
    <n v="-138.88999999999999"/>
    <n v="0"/>
    <n v="0"/>
    <n v="0"/>
    <n v="138.88999999999999"/>
    <n v="138.88999999999999"/>
    <x v="83"/>
  </r>
  <r>
    <n v="378203"/>
    <s v="Refundácia DPH AT"/>
    <s v="Súvaha"/>
    <x v="0"/>
    <n v="-152.62"/>
    <n v="0"/>
    <n v="0"/>
    <n v="0"/>
    <n v="152.62"/>
    <n v="152.62"/>
    <x v="83"/>
  </r>
  <r>
    <n v="378204"/>
    <s v="Refundácia DPH NL"/>
    <s v="Súvaha"/>
    <x v="0"/>
    <n v="0"/>
    <n v="0"/>
    <n v="0"/>
    <n v="0"/>
    <n v="0"/>
    <n v="0"/>
    <x v="83"/>
  </r>
  <r>
    <n v="378205"/>
    <s v="Refundácia DPH ES-Španielsko"/>
    <s v="Súvaha"/>
    <x v="0"/>
    <n v="-116.84"/>
    <n v="0"/>
    <n v="0"/>
    <n v="0"/>
    <n v="116.84"/>
    <n v="116.84"/>
    <x v="83"/>
  </r>
  <r>
    <n v="378206"/>
    <s v="Refundácia DPH HU-Maďarsko"/>
    <s v="Súvaha"/>
    <x v="0"/>
    <n v="-67.010000000000005"/>
    <n v="0"/>
    <n v="0"/>
    <n v="0"/>
    <n v="67.010000000000005"/>
    <n v="67.010000000000005"/>
    <x v="83"/>
  </r>
  <r>
    <n v="378207"/>
    <s v="Refundácia DPH SI-Slovinsko"/>
    <s v="Súvaha"/>
    <x v="0"/>
    <n v="0"/>
    <n v="0"/>
    <n v="0"/>
    <n v="0"/>
    <n v="0"/>
    <n v="0"/>
    <x v="83"/>
  </r>
  <r>
    <n v="378208"/>
    <s v="Refundácia DPH HR-Chorvátsko"/>
    <s v="Súvaha"/>
    <x v="0"/>
    <n v="0"/>
    <n v="0"/>
    <n v="0"/>
    <n v="0"/>
    <n v="0"/>
    <n v="0"/>
    <x v="83"/>
  </r>
  <r>
    <n v="378209"/>
    <s v="Refundácia DPH PT-Portugalsko"/>
    <s v="Súvaha"/>
    <x v="0"/>
    <n v="131.97"/>
    <n v="131.97"/>
    <n v="131.97"/>
    <n v="131.97"/>
    <n v="0"/>
    <n v="0"/>
    <x v="83"/>
  </r>
  <r>
    <n v="378210"/>
    <s v="Refundácia DPH IT-Taliansko"/>
    <s v="Súvaha"/>
    <x v="0"/>
    <n v="-81.819999999999993"/>
    <n v="0"/>
    <n v="0"/>
    <n v="0"/>
    <n v="81.819999999999993"/>
    <n v="81.819999999999993"/>
    <x v="83"/>
  </r>
  <r>
    <n v="378999"/>
    <s v="Sumár - iné pohľadávky"/>
    <s v="Súvaha"/>
    <x v="2"/>
    <n v="9360.81"/>
    <n v="17846.39"/>
    <n v="9886.18"/>
    <n v="20042.79"/>
    <n v="10681.98"/>
    <n v="8485.5799999999981"/>
    <x v="83"/>
  </r>
  <r>
    <n v="379000"/>
    <s v="Iné záväzky"/>
    <s v="Súvaha"/>
    <x v="1"/>
    <n v="0"/>
    <n v="0"/>
    <n v="0"/>
    <n v="0"/>
    <n v="0"/>
    <n v="0"/>
    <x v="84"/>
  </r>
  <r>
    <n v="379100"/>
    <s v="Iné záväzky"/>
    <s v="Súvaha"/>
    <x v="0"/>
    <n v="-29"/>
    <n v="0"/>
    <n v="-100.62"/>
    <n v="21850.77"/>
    <n v="21879.77"/>
    <n v="29"/>
    <x v="84"/>
  </r>
  <r>
    <n v="379200"/>
    <s v="Iné záväzky - mzdy exekucie"/>
    <s v="Súvaha"/>
    <x v="0"/>
    <n v="0"/>
    <n v="-245.37"/>
    <n v="0"/>
    <n v="0"/>
    <n v="0"/>
    <n v="-245.37"/>
    <x v="84"/>
  </r>
  <r>
    <n v="379300"/>
    <s v="Poistné zákonné k pred NV"/>
    <s v="Súvaha"/>
    <x v="0"/>
    <n v="0"/>
    <n v="0"/>
    <n v="0"/>
    <n v="0"/>
    <n v="0"/>
    <n v="0"/>
    <x v="84"/>
  </r>
  <r>
    <n v="379301"/>
    <s v="Poistné havarijné k pred. NV"/>
    <s v="Súvaha"/>
    <x v="0"/>
    <n v="0"/>
    <n v="0"/>
    <n v="0"/>
    <n v="0"/>
    <n v="0"/>
    <n v="0"/>
    <x v="84"/>
  </r>
  <r>
    <n v="379302"/>
    <s v="Participácia na nulovom financ"/>
    <s v="Súvaha"/>
    <x v="0"/>
    <n v="0"/>
    <n v="0"/>
    <n v="0"/>
    <n v="0"/>
    <n v="0"/>
    <n v="0"/>
    <x v="84"/>
  </r>
  <r>
    <n v="379303"/>
    <s v="Car Garantie k predaným OV"/>
    <s v="Súvaha"/>
    <x v="0"/>
    <n v="-3889.12"/>
    <n v="-6792.04"/>
    <n v="-1747.17"/>
    <n v="95720.88"/>
    <n v="99610"/>
    <n v="-2902.9199999999983"/>
    <x v="84"/>
  </r>
  <r>
    <n v="379400"/>
    <s v="Neidentifikované platby"/>
    <s v="Súvaha"/>
    <x v="0"/>
    <n v="0"/>
    <n v="0"/>
    <n v="0"/>
    <n v="117582.65"/>
    <n v="117582.65"/>
    <n v="0"/>
    <x v="84"/>
  </r>
  <r>
    <n v="379500"/>
    <s v="Platby APP"/>
    <s v="Súvaha"/>
    <x v="0"/>
    <n v="0"/>
    <n v="0"/>
    <n v="0"/>
    <n v="0"/>
    <n v="0"/>
    <n v="0"/>
    <x v="84"/>
  </r>
  <r>
    <n v="379998"/>
    <s v="Iné záväzky"/>
    <s v="Súvaha"/>
    <x v="2"/>
    <n v="-3918.12"/>
    <n v="-7037.41"/>
    <n v="-1847.79"/>
    <n v="235154.3"/>
    <n v="239072.42"/>
    <n v="-3119.289999999979"/>
    <x v="84"/>
  </r>
  <r>
    <n v="379999"/>
    <s v="Sumár - iné pohľ. a záväzky"/>
    <s v="Súvaha"/>
    <x v="2"/>
    <n v="5442.69"/>
    <n v="10808.98"/>
    <n v="8038.39"/>
    <n v="255197.09"/>
    <n v="249754.4"/>
    <n v="5366.2900000000081"/>
    <x v="84"/>
  </r>
  <r>
    <n v="380000"/>
    <s v="Časové rozlíšenie nákl. a výn."/>
    <s v="Súvaha"/>
    <x v="1"/>
    <n v="0"/>
    <n v="0"/>
    <n v="0"/>
    <n v="0"/>
    <n v="0"/>
    <n v="0"/>
    <x v="85"/>
  </r>
  <r>
    <n v="381000"/>
    <s v="Náklady budúcich období"/>
    <s v="Súvaha"/>
    <x v="1"/>
    <n v="0"/>
    <n v="0"/>
    <n v="0"/>
    <n v="0"/>
    <n v="0"/>
    <n v="0"/>
    <x v="86"/>
  </r>
  <r>
    <n v="381100"/>
    <s v="Náklady budúcich období"/>
    <s v="Súvaha"/>
    <x v="0"/>
    <n v="-2900.66"/>
    <n v="17961.46"/>
    <n v="42579.64"/>
    <n v="144348.54999999999"/>
    <n v="147249.21"/>
    <n v="20862.119999999995"/>
    <x v="86"/>
  </r>
  <r>
    <n v="381200"/>
    <s v="Subdodávky k otv. serv. zákazk"/>
    <s v="Súvaha"/>
    <x v="0"/>
    <n v="0"/>
    <n v="0"/>
    <n v="0"/>
    <n v="0"/>
    <n v="0"/>
    <n v="0"/>
    <x v="86"/>
  </r>
  <r>
    <n v="381300"/>
    <s v="Záruky k YUC a UC"/>
    <s v="Súvaha"/>
    <x v="0"/>
    <n v="0"/>
    <n v="0"/>
    <n v="0"/>
    <n v="0"/>
    <n v="0"/>
    <n v="0"/>
    <x v="86"/>
  </r>
  <r>
    <n v="381999"/>
    <s v="Sumár - náklady budúcich obd."/>
    <s v="Súvaha"/>
    <x v="2"/>
    <n v="-2900.66"/>
    <n v="17961.46"/>
    <n v="42579.64"/>
    <n v="144348.54999999999"/>
    <n v="147249.21"/>
    <n v="20862.119999999995"/>
    <x v="86"/>
  </r>
  <r>
    <n v="382000"/>
    <s v="Komplexné nákl.bud.obd."/>
    <s v="Súvaha"/>
    <x v="1"/>
    <n v="0"/>
    <n v="0"/>
    <n v="0"/>
    <n v="0"/>
    <n v="0"/>
    <n v="0"/>
    <x v="87"/>
  </r>
  <r>
    <n v="382100"/>
    <s v="Komplexné nákl.bud.obd."/>
    <s v="Súvaha"/>
    <x v="0"/>
    <n v="0"/>
    <n v="0"/>
    <n v="0"/>
    <n v="0"/>
    <n v="0"/>
    <n v="0"/>
    <x v="87"/>
  </r>
  <r>
    <n v="382999"/>
    <s v="Sumár-Komplexné nákl.bud.obd."/>
    <s v="Súvaha"/>
    <x v="2"/>
    <n v="0"/>
    <n v="0"/>
    <n v="0"/>
    <n v="0"/>
    <n v="0"/>
    <n v="0"/>
    <x v="87"/>
  </r>
  <r>
    <n v="383000"/>
    <s v="Výdavky budúcich období"/>
    <s v="Súvaha"/>
    <x v="1"/>
    <n v="0"/>
    <n v="0"/>
    <n v="0"/>
    <n v="0"/>
    <n v="0"/>
    <n v="0"/>
    <x v="88"/>
  </r>
  <r>
    <n v="383100"/>
    <s v="Výdavky budúcich období"/>
    <s v="Súvaha"/>
    <x v="0"/>
    <n v="-144.26"/>
    <n v="-197.82"/>
    <n v="0"/>
    <n v="1263.6600000000001"/>
    <n v="1407.92"/>
    <n v="-53.559999999999945"/>
    <x v="88"/>
  </r>
  <r>
    <n v="383999"/>
    <s v="Sumár - výdavky bud. období"/>
    <s v="Súvaha"/>
    <x v="2"/>
    <n v="-144.26"/>
    <n v="-197.82"/>
    <n v="0"/>
    <n v="1263.6600000000001"/>
    <n v="1407.92"/>
    <n v="-53.559999999999945"/>
    <x v="88"/>
  </r>
  <r>
    <n v="384000"/>
    <s v="Výnosy budúcich období"/>
    <s v="Súvaha"/>
    <x v="1"/>
    <n v="0"/>
    <n v="0"/>
    <n v="0"/>
    <n v="0"/>
    <n v="0"/>
    <n v="0"/>
    <x v="89"/>
  </r>
  <r>
    <n v="384100"/>
    <s v="Výnosy budúcich období"/>
    <s v="Súvaha"/>
    <x v="0"/>
    <n v="22408.959999999999"/>
    <n v="-19079.03"/>
    <n v="-16973.07"/>
    <n v="101422.23"/>
    <n v="79013.27"/>
    <n v="-41487.989999999991"/>
    <x v="89"/>
  </r>
  <r>
    <n v="384200"/>
    <s v="Výnosy budúcich období-predaj"/>
    <s v="Súvaha"/>
    <x v="0"/>
    <n v="0"/>
    <n v="0"/>
    <n v="0"/>
    <n v="0"/>
    <n v="0"/>
    <n v="0"/>
    <x v="89"/>
  </r>
  <r>
    <n v="384300"/>
    <s v="Očakávané podpory k pred. NV"/>
    <s v="Súvaha"/>
    <x v="0"/>
    <n v="0"/>
    <n v="0"/>
    <n v="0"/>
    <n v="0"/>
    <n v="0"/>
    <n v="0"/>
    <x v="89"/>
  </r>
  <r>
    <n v="384999"/>
    <s v="Sumár - výnosy budúcich období"/>
    <s v="Súvaha"/>
    <x v="2"/>
    <n v="22408.959999999999"/>
    <n v="-19079.03"/>
    <n v="-16973.07"/>
    <n v="101422.23"/>
    <n v="79013.27"/>
    <n v="-41487.989999999991"/>
    <x v="89"/>
  </r>
  <r>
    <n v="385000"/>
    <s v="Príjmy budúcich období"/>
    <s v="Súvaha"/>
    <x v="1"/>
    <n v="0"/>
    <n v="0"/>
    <n v="0"/>
    <n v="0"/>
    <n v="0"/>
    <n v="0"/>
    <x v="90"/>
  </r>
  <r>
    <n v="385100"/>
    <s v="Očakávané SSCC podpory"/>
    <s v="Súvaha"/>
    <x v="0"/>
    <n v="8644.26"/>
    <n v="20622"/>
    <n v="7716"/>
    <n v="82942"/>
    <n v="74297.740000000005"/>
    <n v="11977.740000000005"/>
    <x v="90"/>
  </r>
  <r>
    <n v="385200"/>
    <s v="Očakávané podpory k ND"/>
    <s v="Súvaha"/>
    <x v="0"/>
    <n v="-8141"/>
    <n v="0"/>
    <n v="0"/>
    <n v="4600"/>
    <n v="12741"/>
    <n v="8141"/>
    <x v="90"/>
  </r>
  <r>
    <n v="385300"/>
    <s v="Očakávané bonusy k vozidlám"/>
    <s v="Súvaha"/>
    <x v="0"/>
    <n v="1050"/>
    <n v="1050"/>
    <n v="0"/>
    <n v="1050"/>
    <n v="0"/>
    <n v="0"/>
    <x v="90"/>
  </r>
  <r>
    <n v="385400"/>
    <s v="Dohady na provízie"/>
    <s v="Súvaha"/>
    <x v="0"/>
    <n v="1457"/>
    <n v="16457"/>
    <n v="16000"/>
    <n v="274626.58"/>
    <n v="273169.58"/>
    <n v="15000"/>
    <x v="90"/>
  </r>
  <r>
    <n v="385500"/>
    <s v="Ostatné príjmy bud. období"/>
    <s v="Súvaha"/>
    <x v="0"/>
    <n v="0"/>
    <n v="0"/>
    <n v="0"/>
    <n v="0"/>
    <n v="0"/>
    <n v="0"/>
    <x v="90"/>
  </r>
  <r>
    <n v="385998"/>
    <s v="Sumár - príjmy budúcich období"/>
    <s v="Súvaha"/>
    <x v="2"/>
    <n v="3010.26"/>
    <n v="38129"/>
    <n v="23716"/>
    <n v="363218.58"/>
    <n v="360208.32"/>
    <n v="35118.739999999991"/>
    <x v="90"/>
  </r>
  <r>
    <n v="385999"/>
    <s v="Sumár- časové rozlíš.nákl.a vý"/>
    <s v="Súvaha"/>
    <x v="2"/>
    <n v="22374.3"/>
    <n v="36813.61"/>
    <n v="49322.57"/>
    <n v="610253.02"/>
    <n v="587878.72"/>
    <n v="14439.309999999939"/>
    <x v="90"/>
  </r>
  <r>
    <n v="390000"/>
    <s v="Opravná pol.k zúčt.vzťahom"/>
    <s v="Súvaha"/>
    <x v="1"/>
    <n v="0"/>
    <n v="0"/>
    <n v="0"/>
    <n v="0"/>
    <n v="0"/>
    <n v="0"/>
    <x v="91"/>
  </r>
  <r>
    <n v="391000"/>
    <s v="Opravná položka"/>
    <s v="Súvaha"/>
    <x v="1"/>
    <n v="0"/>
    <n v="0"/>
    <n v="0"/>
    <n v="0"/>
    <n v="0"/>
    <n v="0"/>
    <x v="92"/>
  </r>
  <r>
    <n v="391100"/>
    <s v="Opravná pol. k pohľadávkam"/>
    <s v="Súvaha"/>
    <x v="0"/>
    <n v="0"/>
    <n v="-60821.43"/>
    <n v="-60821.43"/>
    <n v="0"/>
    <n v="0"/>
    <n v="-60821.43"/>
    <x v="92"/>
  </r>
  <r>
    <n v="391999"/>
    <s v="Sumár - opravná položka"/>
    <s v="Súvaha"/>
    <x v="2"/>
    <n v="0"/>
    <n v="-60821.43"/>
    <n v="-60821.43"/>
    <n v="0"/>
    <n v="0"/>
    <n v="-60821.43"/>
    <x v="92"/>
  </r>
  <r>
    <n v="395000"/>
    <s v="Vnútorné zaúčtovanie"/>
    <s v="Súvaha"/>
    <x v="0"/>
    <n v="0"/>
    <n v="0"/>
    <n v="0"/>
    <n v="1205224.82"/>
    <n v="1205224.82"/>
    <n v="0"/>
    <x v="93"/>
  </r>
  <r>
    <n v="395100"/>
    <s v="Vnútorné zaúčtovanie / predaj"/>
    <s v="Súvaha"/>
    <x v="0"/>
    <n v="0"/>
    <n v="0"/>
    <n v="0"/>
    <n v="65053.440000000002"/>
    <n v="65053.440000000002"/>
    <n v="0"/>
    <x v="93"/>
  </r>
  <r>
    <n v="395110"/>
    <s v="Vnútorné zaúčtovanie / nakup"/>
    <s v="Súvaha"/>
    <x v="0"/>
    <n v="0"/>
    <n v="0"/>
    <n v="0"/>
    <n v="0"/>
    <n v="0"/>
    <n v="0"/>
    <x v="93"/>
  </r>
  <r>
    <n v="395200"/>
    <s v="Vnútropodn. zúčt."/>
    <s v="Súvaha"/>
    <x v="0"/>
    <n v="0"/>
    <n v="0"/>
    <n v="0"/>
    <n v="3056920.01"/>
    <n v="3056920.01"/>
    <n v="0"/>
    <x v="93"/>
  </r>
  <r>
    <n v="395300"/>
    <s v="Bank. pohyby APBA - AB SK"/>
    <s v="Súvaha"/>
    <x v="0"/>
    <n v="0"/>
    <n v="0"/>
    <n v="0"/>
    <n v="0"/>
    <n v="0"/>
    <n v="0"/>
    <x v="93"/>
  </r>
  <r>
    <n v="395350"/>
    <s v="Položky na prefakturáciu"/>
    <s v="Súvaha"/>
    <x v="0"/>
    <n v="0"/>
    <n v="0"/>
    <n v="0"/>
    <n v="0"/>
    <n v="0"/>
    <n v="0"/>
    <x v="93"/>
  </r>
  <r>
    <n v="395500"/>
    <s v="Transfer tovaru medzi skladmi"/>
    <s v="Súvaha"/>
    <x v="0"/>
    <n v="0"/>
    <n v="0"/>
    <n v="0"/>
    <n v="4066.34"/>
    <n v="4066.34"/>
    <n v="0"/>
    <x v="93"/>
  </r>
  <r>
    <n v="395600"/>
    <s v="Transfer vozidiel medzi skladm"/>
    <s v="Súvaha"/>
    <x v="0"/>
    <n v="0"/>
    <n v="0"/>
    <n v="0"/>
    <n v="0"/>
    <n v="0"/>
    <n v="0"/>
    <x v="93"/>
  </r>
  <r>
    <n v="395900"/>
    <s v="Počiatočné stavy"/>
    <s v="Súvaha"/>
    <x v="0"/>
    <n v="0"/>
    <n v="0"/>
    <n v="0"/>
    <n v="0"/>
    <n v="0"/>
    <n v="0"/>
    <x v="93"/>
  </r>
  <r>
    <n v="395999"/>
    <s v="Sumár - vnútorné zúčtovanie"/>
    <s v="Súvaha"/>
    <x v="2"/>
    <n v="0"/>
    <n v="0"/>
    <n v="0"/>
    <n v="4331264.6100000003"/>
    <n v="4331264.6100000003"/>
    <n v="0"/>
    <x v="93"/>
  </r>
  <r>
    <n v="398000"/>
    <s v="Spojovací účet pri združení"/>
    <s v="Súvaha"/>
    <x v="1"/>
    <n v="0"/>
    <n v="0"/>
    <n v="0"/>
    <n v="0"/>
    <n v="0"/>
    <n v="0"/>
    <x v="94"/>
  </r>
  <r>
    <n v="398999"/>
    <s v="Sumár -Spoj. účet pri združení"/>
    <s v="Súvaha"/>
    <x v="2"/>
    <n v="0"/>
    <n v="0"/>
    <n v="0"/>
    <n v="0"/>
    <n v="0"/>
    <n v="0"/>
    <x v="94"/>
  </r>
  <r>
    <n v="399998"/>
    <s v="Sumár - opr.pol.k zúčt.vzťahom"/>
    <s v="Súvaha"/>
    <x v="2"/>
    <n v="0"/>
    <n v="-60821.43"/>
    <n v="-60821.43"/>
    <n v="4331264.6100000003"/>
    <n v="4331264.6100000003"/>
    <n v="-60821.429999999702"/>
    <x v="95"/>
  </r>
  <r>
    <n v="399999"/>
    <s v="Sumár - zúčtovacie vzťahy"/>
    <s v="Súvaha"/>
    <x v="2"/>
    <n v="2430524.0699999998"/>
    <n v="-2610055.2000000002"/>
    <n v="-2961903.71"/>
    <n v="203660984.74000001"/>
    <n v="201230460.66999999"/>
    <n v="-5040579.2700000107"/>
    <x v="95"/>
  </r>
  <r>
    <n v="400000"/>
    <s v="KAPITÁLOVÉ ÚČTY A DLHOD. ZÁV."/>
    <s v="Súvaha"/>
    <x v="1"/>
    <n v="0"/>
    <n v="0"/>
    <n v="0"/>
    <n v="0"/>
    <n v="0"/>
    <n v="0"/>
    <x v="96"/>
  </r>
  <r>
    <n v="410000"/>
    <s v="Základné imanie a kapit. fondy"/>
    <s v="Súvaha"/>
    <x v="1"/>
    <n v="0"/>
    <n v="0"/>
    <n v="0"/>
    <n v="0"/>
    <n v="0"/>
    <n v="0"/>
    <x v="97"/>
  </r>
  <r>
    <n v="411000"/>
    <s v="Základné imanie"/>
    <s v="Súvaha"/>
    <x v="1"/>
    <n v="0"/>
    <n v="0"/>
    <n v="0"/>
    <n v="0"/>
    <n v="0"/>
    <n v="0"/>
    <x v="98"/>
  </r>
  <r>
    <n v="411100"/>
    <s v="Základné imanie-zapís.do OR"/>
    <s v="Súvaha"/>
    <x v="0"/>
    <n v="0"/>
    <n v="-2956639"/>
    <n v="-2956639"/>
    <n v="0"/>
    <n v="0"/>
    <n v="-2956639"/>
    <x v="98"/>
  </r>
  <r>
    <n v="411999"/>
    <s v="Sumár - Základné imanie"/>
    <s v="Súvaha"/>
    <x v="2"/>
    <n v="0"/>
    <n v="-2956639"/>
    <n v="-2956639"/>
    <n v="0"/>
    <n v="0"/>
    <n v="-2956639"/>
    <x v="98"/>
  </r>
  <r>
    <n v="412000"/>
    <s v="Emisné ážio"/>
    <s v="Súvaha"/>
    <x v="1"/>
    <n v="0"/>
    <n v="0"/>
    <n v="0"/>
    <n v="0"/>
    <n v="0"/>
    <n v="0"/>
    <x v="99"/>
  </r>
  <r>
    <n v="412999"/>
    <s v="Sumár - Emisné ážio"/>
    <s v="Súvaha"/>
    <x v="2"/>
    <n v="0"/>
    <n v="0"/>
    <n v="0"/>
    <n v="0"/>
    <n v="0"/>
    <n v="0"/>
    <x v="99"/>
  </r>
  <r>
    <n v="413000"/>
    <s v="Ostané kapitálové fondy"/>
    <s v="Súvaha"/>
    <x v="1"/>
    <n v="0"/>
    <n v="0"/>
    <n v="0"/>
    <n v="0"/>
    <n v="0"/>
    <n v="0"/>
    <x v="100"/>
  </r>
  <r>
    <n v="413100"/>
    <s v="Ostané kapitálové fondy"/>
    <s v="Súvaha"/>
    <x v="0"/>
    <n v="0"/>
    <n v="-4346417.08"/>
    <n v="-4346417.08"/>
    <n v="0"/>
    <n v="0"/>
    <n v="-4346417.08"/>
    <x v="100"/>
  </r>
  <r>
    <n v="413999"/>
    <s v="Sumár-ostatné kapitálové fondy"/>
    <s v="Súvaha"/>
    <x v="2"/>
    <n v="0"/>
    <n v="-4346417.08"/>
    <n v="-4346417.08"/>
    <n v="0"/>
    <n v="0"/>
    <n v="-4346417.08"/>
    <x v="100"/>
  </r>
  <r>
    <n v="414000"/>
    <s v="Oceň.rozd.z preceň.maj. a záv."/>
    <s v="Súvaha"/>
    <x v="1"/>
    <n v="0"/>
    <n v="0"/>
    <n v="0"/>
    <n v="0"/>
    <n v="0"/>
    <n v="0"/>
    <x v="101"/>
  </r>
  <r>
    <n v="414999"/>
    <s v="Sumár-Oceň.rozd.z preceň.MaZ"/>
    <s v="Súvaha"/>
    <x v="2"/>
    <n v="0"/>
    <n v="0"/>
    <n v="0"/>
    <n v="0"/>
    <n v="0"/>
    <n v="0"/>
    <x v="101"/>
  </r>
  <r>
    <n v="415000"/>
    <s v="Oceňov.rozdiely kap.vkladu"/>
    <s v="Súvaha"/>
    <x v="1"/>
    <n v="0"/>
    <n v="0"/>
    <n v="0"/>
    <n v="0"/>
    <n v="0"/>
    <n v="0"/>
    <x v="102"/>
  </r>
  <r>
    <n v="415999"/>
    <s v="Sumár-Oceň.rozdiely kap.vkladu"/>
    <s v="Súvaha"/>
    <x v="2"/>
    <n v="0"/>
    <n v="0"/>
    <n v="0"/>
    <n v="0"/>
    <n v="0"/>
    <n v="0"/>
    <x v="102"/>
  </r>
  <r>
    <n v="416000"/>
    <s v="Oc.rozd.z prec.pri zlúč.,roz."/>
    <s v="Súvaha"/>
    <x v="1"/>
    <n v="0"/>
    <n v="0"/>
    <n v="0"/>
    <n v="0"/>
    <n v="0"/>
    <n v="0"/>
    <x v="103"/>
  </r>
  <r>
    <n v="416999"/>
    <s v="S-Oc.roz.z prec.pri zlúč.,roz."/>
    <s v="Súvaha"/>
    <x v="2"/>
    <n v="0"/>
    <n v="0"/>
    <n v="0"/>
    <n v="0"/>
    <n v="0"/>
    <n v="0"/>
    <x v="103"/>
  </r>
  <r>
    <n v="417000"/>
    <s v="Zák.rez.fond z kap.vkladov"/>
    <s v="Súvaha"/>
    <x v="1"/>
    <n v="0"/>
    <n v="0"/>
    <n v="0"/>
    <n v="0"/>
    <n v="0"/>
    <n v="0"/>
    <x v="104"/>
  </r>
  <r>
    <n v="417999"/>
    <s v="Sumár - Zák.rez.fond z kap.vk."/>
    <s v="Súvaha"/>
    <x v="2"/>
    <n v="0"/>
    <n v="0"/>
    <n v="0"/>
    <n v="0"/>
    <n v="0"/>
    <n v="0"/>
    <x v="104"/>
  </r>
  <r>
    <n v="418000"/>
    <s v="Nedeliteľný fond z kap.vkladov"/>
    <s v="Súvaha"/>
    <x v="1"/>
    <n v="0"/>
    <n v="0"/>
    <n v="0"/>
    <n v="0"/>
    <n v="0"/>
    <n v="0"/>
    <x v="105"/>
  </r>
  <r>
    <n v="418999"/>
    <s v="Sumár -Ned. fond z kap.vkladov"/>
    <s v="Súvaha"/>
    <x v="2"/>
    <n v="0"/>
    <n v="0"/>
    <n v="0"/>
    <n v="0"/>
    <n v="0"/>
    <n v="0"/>
    <x v="105"/>
  </r>
  <r>
    <n v="419000"/>
    <s v="Zmeny základného imania"/>
    <s v="Súvaha"/>
    <x v="1"/>
    <n v="0"/>
    <n v="0"/>
    <n v="0"/>
    <n v="0"/>
    <n v="0"/>
    <n v="0"/>
    <x v="106"/>
  </r>
  <r>
    <n v="419998"/>
    <s v="Sumár-Zmeny základného imania"/>
    <s v="Súvaha"/>
    <x v="2"/>
    <n v="0"/>
    <n v="0"/>
    <n v="0"/>
    <n v="0"/>
    <n v="0"/>
    <n v="0"/>
    <x v="106"/>
  </r>
  <r>
    <n v="419999"/>
    <s v="Sumár-Zákl.im.a kap. fondy"/>
    <s v="Súvaha"/>
    <x v="2"/>
    <n v="0"/>
    <n v="-7303056.0800000001"/>
    <n v="-7303056.0800000001"/>
    <n v="0"/>
    <n v="0"/>
    <n v="-7303056.0800000001"/>
    <x v="106"/>
  </r>
  <r>
    <n v="420000"/>
    <s v="Fondy tvorené zo zisku"/>
    <s v="Súvaha"/>
    <x v="1"/>
    <n v="0"/>
    <n v="0"/>
    <n v="0"/>
    <n v="0"/>
    <n v="0"/>
    <n v="0"/>
    <x v="107"/>
  </r>
  <r>
    <n v="421000"/>
    <s v="Zákonný rezervný fond"/>
    <s v="Súvaha"/>
    <x v="1"/>
    <n v="0"/>
    <n v="0"/>
    <n v="0"/>
    <n v="0"/>
    <n v="0"/>
    <n v="0"/>
    <x v="108"/>
  </r>
  <r>
    <n v="421100"/>
    <s v="Zákonný rezervný fond"/>
    <s v="Súvaha"/>
    <x v="0"/>
    <n v="0"/>
    <n v="-745.2"/>
    <n v="-745.2"/>
    <n v="0"/>
    <n v="0"/>
    <n v="-745.2"/>
    <x v="108"/>
  </r>
  <r>
    <n v="421999"/>
    <s v="Sumár-Zákonný rezervný fond"/>
    <s v="Súvaha"/>
    <x v="2"/>
    <n v="0"/>
    <n v="-745.2"/>
    <n v="-745.2"/>
    <n v="0"/>
    <n v="0"/>
    <n v="-745.2"/>
    <x v="108"/>
  </r>
  <r>
    <n v="422000"/>
    <s v="Nedeliteľný fond"/>
    <s v="Súvaha"/>
    <x v="1"/>
    <n v="0"/>
    <n v="0"/>
    <n v="0"/>
    <n v="0"/>
    <n v="0"/>
    <n v="0"/>
    <x v="109"/>
  </r>
  <r>
    <n v="422999"/>
    <s v="Sumár - nedeliteľný fond"/>
    <s v="Súvaha"/>
    <x v="2"/>
    <n v="0"/>
    <n v="0"/>
    <n v="0"/>
    <n v="0"/>
    <n v="0"/>
    <n v="0"/>
    <x v="109"/>
  </r>
  <r>
    <n v="423000"/>
    <s v="Štatutárne fondy"/>
    <s v="Súvaha"/>
    <x v="1"/>
    <n v="0"/>
    <n v="0"/>
    <n v="0"/>
    <n v="0"/>
    <n v="0"/>
    <n v="0"/>
    <x v="110"/>
  </r>
  <r>
    <n v="423999"/>
    <s v="Sumár - štatutárne fondy"/>
    <s v="Súvaha"/>
    <x v="2"/>
    <n v="0"/>
    <n v="0"/>
    <n v="0"/>
    <n v="0"/>
    <n v="0"/>
    <n v="0"/>
    <x v="110"/>
  </r>
  <r>
    <n v="427000"/>
    <s v="Ostatné fondy"/>
    <s v="Súvaha"/>
    <x v="1"/>
    <n v="0"/>
    <n v="0"/>
    <n v="0"/>
    <n v="0"/>
    <n v="0"/>
    <n v="0"/>
    <x v="111"/>
  </r>
  <r>
    <n v="427100"/>
    <s v="Ostatné fondy"/>
    <s v="Súvaha"/>
    <x v="0"/>
    <n v="0"/>
    <n v="-1440.75"/>
    <n v="-1440.75"/>
    <n v="50"/>
    <n v="50"/>
    <n v="-1440.75"/>
    <x v="111"/>
  </r>
  <r>
    <n v="427999"/>
    <s v="Sumár - ostatné fondy"/>
    <s v="Súvaha"/>
    <x v="2"/>
    <n v="0"/>
    <n v="-1440.75"/>
    <n v="-1440.75"/>
    <n v="50"/>
    <n v="50"/>
    <n v="-1440.75"/>
    <x v="111"/>
  </r>
  <r>
    <n v="428000"/>
    <s v="Nerozdelený zisk min. rokov"/>
    <s v="Súvaha"/>
    <x v="1"/>
    <n v="0"/>
    <n v="0"/>
    <n v="0"/>
    <n v="0"/>
    <n v="0"/>
    <n v="0"/>
    <x v="112"/>
  </r>
  <r>
    <n v="428100"/>
    <s v="Nerozdelený zisk"/>
    <s v="Súvaha"/>
    <x v="0"/>
    <n v="-580517.94999999995"/>
    <n v="-5416844.5300000003"/>
    <n v="-5416844.5300000003"/>
    <n v="0"/>
    <n v="580517.94999999995"/>
    <n v="-4836326.58"/>
    <x v="112"/>
  </r>
  <r>
    <n v="428999"/>
    <s v="Sumár-Neroz.zisk min.rokov"/>
    <s v="Súvaha"/>
    <x v="2"/>
    <n v="-580517.94999999995"/>
    <n v="-5416844.5300000003"/>
    <n v="-5416844.5300000003"/>
    <n v="0"/>
    <n v="580517.94999999995"/>
    <n v="-4836326.58"/>
    <x v="112"/>
  </r>
  <r>
    <n v="429000"/>
    <s v="Nerozdelená strata min. rokov"/>
    <s v="Súvaha"/>
    <x v="1"/>
    <n v="0"/>
    <n v="0"/>
    <n v="0"/>
    <n v="0"/>
    <n v="0"/>
    <n v="0"/>
    <x v="113"/>
  </r>
  <r>
    <n v="429100"/>
    <s v="Neuhradená strata min. rokov"/>
    <s v="Súvaha"/>
    <x v="0"/>
    <n v="0"/>
    <n v="5147926.3499999996"/>
    <n v="5147926.3499999996"/>
    <n v="0"/>
    <n v="0"/>
    <n v="5147926.3499999996"/>
    <x v="113"/>
  </r>
  <r>
    <n v="429998"/>
    <s v="Sumár-Nerozd. strata min.rokov"/>
    <s v="Súvaha"/>
    <x v="2"/>
    <n v="0"/>
    <n v="5147926.3499999996"/>
    <n v="5147926.3499999996"/>
    <n v="0"/>
    <n v="0"/>
    <n v="5147926.3499999996"/>
    <x v="113"/>
  </r>
  <r>
    <n v="429999"/>
    <s v="Sumár-Fondy tvorené zo zisku"/>
    <s v="Súvaha"/>
    <x v="2"/>
    <n v="-580517.94999999995"/>
    <n v="-271104.13"/>
    <n v="-271104.13"/>
    <n v="50"/>
    <n v="580567.94999999995"/>
    <n v="309413.81999999995"/>
    <x v="113"/>
  </r>
  <r>
    <n v="430000"/>
    <s v="Výsledok zospodárenia"/>
    <s v="Súvaha"/>
    <x v="1"/>
    <n v="0"/>
    <n v="0"/>
    <n v="0"/>
    <n v="0"/>
    <n v="0"/>
    <n v="0"/>
    <x v="114"/>
  </r>
  <r>
    <n v="431000"/>
    <s v="Výsledok hospod.v schvaľov."/>
    <s v="Súvaha"/>
    <x v="1"/>
    <n v="0"/>
    <n v="0"/>
    <n v="0"/>
    <n v="0"/>
    <n v="0"/>
    <n v="0"/>
    <x v="115"/>
  </r>
  <r>
    <n v="431100"/>
    <s v="Hosp. výsl.v schvaľov.konaní"/>
    <s v="Súvaha"/>
    <x v="0"/>
    <n v="580517.94999999995"/>
    <n v="0"/>
    <n v="0"/>
    <n v="580517.94999999995"/>
    <n v="0"/>
    <n v="-580517.94999999995"/>
    <x v="115"/>
  </r>
  <r>
    <n v="470000"/>
    <s v="Dlhodobé záväzky"/>
    <s v="Súvaha"/>
    <x v="1"/>
    <n v="0"/>
    <n v="0"/>
    <n v="0"/>
    <n v="0"/>
    <n v="0"/>
    <n v="0"/>
    <x v="116"/>
  </r>
  <r>
    <n v="471000"/>
    <s v="Dlhodob.záv.v rámci kons.celku"/>
    <s v="Súvaha"/>
    <x v="1"/>
    <n v="0"/>
    <n v="0"/>
    <n v="0"/>
    <n v="0"/>
    <n v="0"/>
    <n v="0"/>
    <x v="117"/>
  </r>
  <r>
    <n v="471999"/>
    <s v="Sumár -Dlh.záv.v rámci kons.c."/>
    <s v="Súvaha"/>
    <x v="2"/>
    <n v="0"/>
    <n v="0"/>
    <n v="0"/>
    <n v="0"/>
    <n v="0"/>
    <n v="0"/>
    <x v="117"/>
  </r>
  <r>
    <n v="472000"/>
    <s v="Záväzky zo sociálneho fondu"/>
    <s v="Súvaha"/>
    <x v="1"/>
    <n v="0"/>
    <n v="0"/>
    <n v="0"/>
    <n v="0"/>
    <n v="0"/>
    <n v="0"/>
    <x v="118"/>
  </r>
  <r>
    <n v="472100"/>
    <s v="Záväzky zo sociálneho fondu"/>
    <s v="Súvaha"/>
    <x v="0"/>
    <n v="-190.17"/>
    <n v="-358.16"/>
    <n v="-96.57"/>
    <n v="38992.99"/>
    <n v="39183.160000000003"/>
    <n v="-167.98999999999796"/>
    <x v="118"/>
  </r>
  <r>
    <n v="472999"/>
    <s v="Sumár-Záväzky zo soc.fondu"/>
    <s v="Súvaha"/>
    <x v="2"/>
    <n v="-190.17"/>
    <n v="-358.16"/>
    <n v="-96.57"/>
    <n v="38992.99"/>
    <n v="39183.160000000003"/>
    <n v="-167.98999999999796"/>
    <x v="118"/>
  </r>
  <r>
    <n v="473000"/>
    <s v="Vydané dlhopisy"/>
    <s v="Súvaha"/>
    <x v="1"/>
    <n v="0"/>
    <n v="0"/>
    <n v="0"/>
    <n v="0"/>
    <n v="0"/>
    <n v="0"/>
    <x v="119"/>
  </r>
  <r>
    <n v="473999"/>
    <s v="Sumár - vydané dlhopisy"/>
    <s v="Súvaha"/>
    <x v="2"/>
    <n v="0"/>
    <n v="0"/>
    <n v="0"/>
    <n v="0"/>
    <n v="0"/>
    <n v="0"/>
    <x v="119"/>
  </r>
  <r>
    <n v="474000"/>
    <s v="Záväzky z nájmu"/>
    <s v="Súvaha"/>
    <x v="1"/>
    <n v="0"/>
    <n v="0"/>
    <n v="0"/>
    <n v="0"/>
    <n v="0"/>
    <n v="0"/>
    <x v="120"/>
  </r>
  <r>
    <n v="474999"/>
    <s v="Sumár - záväzky z nájmu"/>
    <s v="Súvaha"/>
    <x v="2"/>
    <n v="0"/>
    <n v="0"/>
    <n v="0"/>
    <n v="0"/>
    <n v="0"/>
    <n v="0"/>
    <x v="120"/>
  </r>
  <r>
    <n v="475000"/>
    <s v="Dlhodobé prijaté preddavky"/>
    <s v="Súvaha"/>
    <x v="1"/>
    <n v="0"/>
    <n v="0"/>
    <n v="0"/>
    <n v="0"/>
    <n v="0"/>
    <n v="0"/>
    <x v="121"/>
  </r>
  <r>
    <n v="475999"/>
    <s v="Sumár-Dlhodobé prij. preddavky"/>
    <s v="Súvaha"/>
    <x v="2"/>
    <n v="0"/>
    <n v="0"/>
    <n v="0"/>
    <n v="0"/>
    <n v="0"/>
    <n v="0"/>
    <x v="121"/>
  </r>
  <r>
    <n v="476000"/>
    <s v="Dlhodobé nevyfakt.dodávky"/>
    <s v="Súvaha"/>
    <x v="1"/>
    <n v="0"/>
    <n v="0"/>
    <n v="0"/>
    <n v="0"/>
    <n v="0"/>
    <n v="0"/>
    <x v="122"/>
  </r>
  <r>
    <n v="476999"/>
    <s v="Sumár - Dlhodobé nevyfakt.dod."/>
    <s v="Súvaha"/>
    <x v="2"/>
    <n v="0"/>
    <n v="0"/>
    <n v="0"/>
    <n v="0"/>
    <n v="0"/>
    <n v="0"/>
    <x v="122"/>
  </r>
  <r>
    <n v="478000"/>
    <s v="Dlhodobé zmenky na úhradu"/>
    <s v="Súvaha"/>
    <x v="1"/>
    <n v="0"/>
    <n v="0"/>
    <n v="0"/>
    <n v="0"/>
    <n v="0"/>
    <n v="0"/>
    <x v="123"/>
  </r>
  <r>
    <n v="478999"/>
    <s v="Sumár - Dlh. zmenky na úhradu"/>
    <s v="Súvaha"/>
    <x v="2"/>
    <n v="0"/>
    <n v="0"/>
    <n v="0"/>
    <n v="0"/>
    <n v="0"/>
    <n v="0"/>
    <x v="123"/>
  </r>
  <r>
    <n v="479000"/>
    <s v="Ostatné dlhod.záväzky"/>
    <s v="Súvaha"/>
    <x v="1"/>
    <n v="0"/>
    <n v="0"/>
    <n v="0"/>
    <n v="0"/>
    <n v="0"/>
    <n v="0"/>
    <x v="124"/>
  </r>
  <r>
    <n v="479998"/>
    <s v="Sumár-Ostatné dlhodobé záväzky"/>
    <s v="Súvaha"/>
    <x v="2"/>
    <n v="0"/>
    <n v="0"/>
    <n v="0"/>
    <n v="0"/>
    <n v="0"/>
    <n v="0"/>
    <x v="124"/>
  </r>
  <r>
    <n v="479999"/>
    <s v="Sumár - Dlhodobé záväzky"/>
    <s v="Súvaha"/>
    <x v="2"/>
    <n v="-190.17"/>
    <n v="-358.16"/>
    <n v="-96.57"/>
    <n v="38992.99"/>
    <n v="39183.160000000003"/>
    <n v="-167.98999999999796"/>
    <x v="124"/>
  </r>
  <r>
    <n v="480000"/>
    <s v="Odlož.daň.záv.a odlož.daň.pohľ"/>
    <s v="Súvaha"/>
    <x v="1"/>
    <n v="0"/>
    <n v="0"/>
    <n v="0"/>
    <n v="0"/>
    <n v="0"/>
    <n v="0"/>
    <x v="125"/>
  </r>
  <r>
    <n v="481000"/>
    <s v="Odložená daň"/>
    <s v="Súvaha"/>
    <x v="1"/>
    <n v="0"/>
    <n v="0"/>
    <n v="0"/>
    <n v="0"/>
    <n v="0"/>
    <n v="0"/>
    <x v="126"/>
  </r>
  <r>
    <n v="481100"/>
    <s v="Odložený daň. záväzok a pohľ."/>
    <s v="Súvaha"/>
    <x v="0"/>
    <n v="23421.96"/>
    <n v="223819.38"/>
    <n v="223819.38"/>
    <n v="54800.800000000003"/>
    <n v="31378.84"/>
    <n v="200397.42"/>
    <x v="126"/>
  </r>
  <r>
    <n v="481998"/>
    <s v="Sumár - Odložená daň"/>
    <s v="Súvaha"/>
    <x v="2"/>
    <n v="23421.96"/>
    <n v="223819.38"/>
    <n v="223819.38"/>
    <n v="54800.800000000003"/>
    <n v="31378.84"/>
    <n v="200397.42"/>
    <x v="126"/>
  </r>
  <r>
    <n v="481999"/>
    <s v="Sumár-odl.daň.záv.a odl.daň.po"/>
    <s v="Súvaha"/>
    <x v="2"/>
    <n v="23421.96"/>
    <n v="223819.38"/>
    <n v="223819.38"/>
    <n v="54800.800000000003"/>
    <n v="31378.84"/>
    <n v="200397.42"/>
    <x v="126"/>
  </r>
  <r>
    <n v="491000"/>
    <s v="VI fyz.osoby - podnikateľa"/>
    <s v="Súvaha"/>
    <x v="1"/>
    <n v="0"/>
    <n v="0"/>
    <n v="0"/>
    <n v="0"/>
    <n v="0"/>
    <n v="0"/>
    <x v="127"/>
  </r>
  <r>
    <n v="491999"/>
    <s v="Sumár-VI fyz.osoby-podnikateľa"/>
    <s v="Súvaha"/>
    <x v="2"/>
    <n v="0"/>
    <n v="0"/>
    <n v="0"/>
    <n v="0"/>
    <n v="0"/>
    <n v="0"/>
    <x v="127"/>
  </r>
  <r>
    <n v="499999"/>
    <s v="Sumár-Kap.účty a dlhodobé záv."/>
    <s v="Súvaha"/>
    <x v="2"/>
    <n v="23231.79"/>
    <n v="-7350698.9900000002"/>
    <n v="-7350437.4000000004"/>
    <n v="674361.74"/>
    <n v="651129.94999999995"/>
    <n v="-7373930.7800000003"/>
    <x v="128"/>
  </r>
  <r>
    <n v="500000"/>
    <s v="NÁKLADY"/>
    <s v="Výsledovka"/>
    <x v="1"/>
    <n v="0"/>
    <n v="0"/>
    <n v="0"/>
    <n v="0"/>
    <n v="0"/>
    <m/>
    <x v="129"/>
  </r>
  <r>
    <n v="500001"/>
    <s v="Spotrebované nákupy"/>
    <s v="Výsledovka"/>
    <x v="1"/>
    <n v="0"/>
    <n v="0"/>
    <n v="0"/>
    <n v="0"/>
    <n v="0"/>
    <m/>
    <x v="129"/>
  </r>
  <r>
    <n v="501000"/>
    <s v="Spotreba materiálu"/>
    <s v="Výsledovka"/>
    <x v="1"/>
    <n v="0"/>
    <n v="0"/>
    <n v="0"/>
    <n v="0"/>
    <n v="0"/>
    <m/>
    <x v="130"/>
  </r>
  <r>
    <n v="501100"/>
    <s v="Náhradné diely"/>
    <s v="Výsledovka"/>
    <x v="1"/>
    <n v="0"/>
    <n v="0"/>
    <n v="0"/>
    <n v="0"/>
    <n v="0"/>
    <m/>
    <x v="130"/>
  </r>
  <r>
    <n v="501110"/>
    <s v="Spotreba ND BMW"/>
    <s v="Výsledovka"/>
    <x v="1"/>
    <n v="0"/>
    <n v="0"/>
    <n v="0"/>
    <n v="0"/>
    <n v="0"/>
    <m/>
    <x v="130"/>
  </r>
  <r>
    <n v="501116"/>
    <s v="Pomoc.materiál Lakovňa Vrakuňa"/>
    <s v="Výsledovka"/>
    <x v="0"/>
    <n v="157605"/>
    <n v="157605"/>
    <n v="171018.37"/>
    <n v="209605"/>
    <n v="52000"/>
    <m/>
    <x v="130"/>
  </r>
  <r>
    <n v="501119"/>
    <s v="Sumár - Spotreba ND BMW"/>
    <s v="Výsledovka"/>
    <x v="2"/>
    <n v="157605"/>
    <n v="157605"/>
    <n v="171018.37"/>
    <n v="209605"/>
    <n v="52000"/>
    <m/>
    <x v="130"/>
  </r>
  <r>
    <n v="501120"/>
    <s v="Spotreba ND MINI"/>
    <s v="Výsledovka"/>
    <x v="1"/>
    <n v="0"/>
    <n v="0"/>
    <n v="0"/>
    <n v="0"/>
    <n v="0"/>
    <m/>
    <x v="130"/>
  </r>
  <r>
    <n v="501129"/>
    <s v="Sumár - Spotreba ND MINI"/>
    <s v="Výsledovka"/>
    <x v="2"/>
    <n v="0"/>
    <n v="0"/>
    <n v="0"/>
    <n v="0"/>
    <n v="0"/>
    <m/>
    <x v="130"/>
  </r>
  <r>
    <n v="501140"/>
    <s v="Spotreba ND Motorky"/>
    <s v="Výsledovka"/>
    <x v="0"/>
    <n v="0"/>
    <n v="0"/>
    <n v="0"/>
    <n v="0"/>
    <n v="0"/>
    <m/>
    <x v="130"/>
  </r>
  <r>
    <n v="501141"/>
    <s v="Spotreba ND Motorky - interný"/>
    <s v="Výsledovka"/>
    <x v="0"/>
    <n v="0"/>
    <n v="0"/>
    <n v="0"/>
    <n v="0"/>
    <n v="0"/>
    <m/>
    <x v="130"/>
  </r>
  <r>
    <n v="501150"/>
    <s v="Spotreba olejov a mazív"/>
    <s v="Výsledovka"/>
    <x v="0"/>
    <n v="0"/>
    <n v="0"/>
    <n v="0"/>
    <n v="0"/>
    <n v="0"/>
    <m/>
    <x v="130"/>
  </r>
  <r>
    <n v="501180"/>
    <s v="Spotreba ND ostat. - interný"/>
    <s v="Výsledovka"/>
    <x v="0"/>
    <n v="-26411.040000000001"/>
    <n v="-26411.040000000001"/>
    <n v="-26558.240000000002"/>
    <n v="7739.88"/>
    <n v="34150.92"/>
    <m/>
    <x v="130"/>
  </r>
  <r>
    <n v="501183"/>
    <s v="Int. spot. ND - opr. maj.voz."/>
    <s v="Výsledovka"/>
    <x v="0"/>
    <n v="161529.71"/>
    <n v="161529.71"/>
    <n v="163354.35999999999"/>
    <n v="192703.94"/>
    <n v="31174.23"/>
    <m/>
    <x v="130"/>
  </r>
  <r>
    <n v="501184"/>
    <s v="Int. spot. ND - Zberné zákazky"/>
    <s v="Výsledovka"/>
    <x v="0"/>
    <n v="34887.1"/>
    <n v="34887.1"/>
    <n v="36755.870000000003"/>
    <n v="45293.919999999998"/>
    <n v="10406.82"/>
    <m/>
    <x v="130"/>
  </r>
  <r>
    <n v="501199"/>
    <s v="Sumár ND"/>
    <s v="Výsledovka"/>
    <x v="2"/>
    <n v="327610.77"/>
    <n v="327610.77"/>
    <n v="344570.36"/>
    <n v="455342.74"/>
    <n v="127731.97"/>
    <m/>
    <x v="130"/>
  </r>
  <r>
    <n v="501200"/>
    <s v="Spotr. mat. - PHM"/>
    <s v="Výsledovka"/>
    <x v="1"/>
    <n v="0"/>
    <n v="0"/>
    <n v="0"/>
    <n v="0"/>
    <n v="0"/>
    <m/>
    <x v="130"/>
  </r>
  <r>
    <n v="501210"/>
    <s v="Spotr. mat. PHM - PDI NV"/>
    <s v="Výsledovka"/>
    <x v="0"/>
    <n v="4103.63"/>
    <n v="4103.63"/>
    <n v="4532.53"/>
    <n v="4703.63"/>
    <n v="600"/>
    <m/>
    <x v="130"/>
  </r>
  <r>
    <n v="501220"/>
    <s v="Spotr. mat. PHM - skladové JV"/>
    <s v="Výsledovka"/>
    <x v="0"/>
    <n v="3868.6"/>
    <n v="3868.6"/>
    <n v="4385.7299999999996"/>
    <n v="4468.6000000000004"/>
    <n v="600"/>
    <m/>
    <x v="130"/>
  </r>
  <r>
    <n v="501230"/>
    <s v="Spotr. mat. PHM - predv.voz."/>
    <s v="Výsledovka"/>
    <x v="0"/>
    <n v="12.5"/>
    <n v="12.5"/>
    <n v="12.5"/>
    <n v="12.5"/>
    <n v="0"/>
    <m/>
    <x v="130"/>
  </r>
  <r>
    <n v="501240"/>
    <s v="Spotr. mat. PHM - marketing"/>
    <s v="Výsledovka"/>
    <x v="0"/>
    <n v="681.57"/>
    <n v="681.57"/>
    <n v="751.9"/>
    <n v="781.57"/>
    <n v="100"/>
    <m/>
    <x v="130"/>
  </r>
  <r>
    <n v="501250"/>
    <s v="Spotr. mat. PHM externý servis"/>
    <s v="Výsledovka"/>
    <x v="0"/>
    <n v="282.01"/>
    <n v="282.01"/>
    <n v="311.16000000000003"/>
    <n v="312.01"/>
    <n v="30"/>
    <m/>
    <x v="130"/>
  </r>
  <r>
    <n v="501260"/>
    <s v="Spotr. mat. PHM - YUC, AUC"/>
    <s v="Výsledovka"/>
    <x v="0"/>
    <n v="10187.950000000001"/>
    <n v="10187.950000000001"/>
    <n v="11121.7"/>
    <n v="11087.95"/>
    <n v="900"/>
    <m/>
    <x v="130"/>
  </r>
  <r>
    <n v="501270"/>
    <s v="Spotr. mat. PHM - služob.vozid"/>
    <s v="Výsledovka"/>
    <x v="0"/>
    <n v="37176.629999999997"/>
    <n v="37176.629999999997"/>
    <n v="40151.46"/>
    <n v="51873.4"/>
    <n v="14696.77"/>
    <m/>
    <x v="130"/>
  </r>
  <r>
    <n v="501280"/>
    <s v="Nákup PHM - servisné zákazky"/>
    <s v="Výsledovka"/>
    <x v="0"/>
    <n v="0"/>
    <n v="0"/>
    <n v="0"/>
    <n v="0"/>
    <n v="0"/>
    <m/>
    <x v="130"/>
  </r>
  <r>
    <n v="501299"/>
    <s v="Sumár - Spotr.mat. - PHM"/>
    <s v="Výsledovka"/>
    <x v="2"/>
    <n v="56312.89"/>
    <n v="56312.89"/>
    <n v="61266.98"/>
    <n v="73239.66"/>
    <n v="16926.77"/>
    <m/>
    <x v="130"/>
  </r>
  <r>
    <n v="501310"/>
    <s v="Spotr. mat. - mycia linka"/>
    <s v="Výsledovka"/>
    <x v="0"/>
    <n v="2130.83"/>
    <n v="2130.83"/>
    <n v="2130.83"/>
    <n v="2130.83"/>
    <n v="0"/>
    <m/>
    <x v="130"/>
  </r>
  <r>
    <n v="501320"/>
    <s v="Spotr. ost. mater. pre služ.vo"/>
    <s v="Výsledovka"/>
    <x v="0"/>
    <n v="205.18"/>
    <n v="205.18"/>
    <n v="205.18"/>
    <n v="319.64"/>
    <n v="114.46"/>
    <m/>
    <x v="130"/>
  </r>
  <r>
    <n v="501330"/>
    <s v="Spotr. mat. - prevádzk. účel"/>
    <s v="Výsledovka"/>
    <x v="0"/>
    <n v="1606.4"/>
    <n v="1606.4"/>
    <n v="1606.4"/>
    <n v="1606.4"/>
    <n v="0"/>
    <m/>
    <x v="130"/>
  </r>
  <r>
    <n v="501340"/>
    <s v="Spotr. mat. - čist. a hyg. pot"/>
    <s v="Výsledovka"/>
    <x v="0"/>
    <n v="9945.0300000000007"/>
    <n v="9945.0300000000007"/>
    <n v="10516.61"/>
    <n v="13045.03"/>
    <n v="3100"/>
    <m/>
    <x v="130"/>
  </r>
  <r>
    <n v="501350"/>
    <s v="Spotr. DHM nad 50 EUR"/>
    <s v="Výsledovka"/>
    <x v="0"/>
    <n v="3152.27"/>
    <n v="3152.27"/>
    <n v="3484.77"/>
    <n v="3152.27"/>
    <n v="0"/>
    <m/>
    <x v="130"/>
  </r>
  <r>
    <n v="501355"/>
    <s v="Náradie do 250,- EUR"/>
    <s v="Výsledovka"/>
    <x v="0"/>
    <n v="22568.68"/>
    <n v="22568.68"/>
    <n v="23365.73"/>
    <n v="22568.68"/>
    <n v="0"/>
    <m/>
    <x v="130"/>
  </r>
  <r>
    <n v="501360"/>
    <s v="Spotr. materiálu pre aktiv."/>
    <s v="Výsledovka"/>
    <x v="0"/>
    <n v="0"/>
    <n v="0"/>
    <n v="0"/>
    <n v="0"/>
    <n v="0"/>
    <m/>
    <x v="130"/>
  </r>
  <r>
    <n v="501370"/>
    <s v="Spotr. mat. - výpoč.techn."/>
    <s v="Výsledovka"/>
    <x v="0"/>
    <n v="3072.52"/>
    <n v="3072.52"/>
    <n v="3820.46"/>
    <n v="3072.52"/>
    <n v="0"/>
    <m/>
    <x v="130"/>
  </r>
  <r>
    <n v="501380"/>
    <s v="Spotr. mat. - jazdené vozidlá"/>
    <s v="Výsledovka"/>
    <x v="0"/>
    <n v="0"/>
    <n v="0"/>
    <n v="0"/>
    <n v="0"/>
    <n v="0"/>
    <m/>
    <x v="130"/>
  </r>
  <r>
    <n v="501400"/>
    <s v="Spotr.mat. - ochr.prac.pom..pr"/>
    <s v="Výsledovka"/>
    <x v="0"/>
    <n v="18558.16"/>
    <n v="18558.16"/>
    <n v="18949.2"/>
    <n v="18638.060000000001"/>
    <n v="79.900000000000006"/>
    <m/>
    <x v="130"/>
  </r>
  <r>
    <n v="501410"/>
    <s v="Nákup novín, čas.,ost. period."/>
    <s v="Výsledovka"/>
    <x v="0"/>
    <n v="0"/>
    <n v="0"/>
    <n v="0"/>
    <n v="0"/>
    <n v="0"/>
    <m/>
    <x v="130"/>
  </r>
  <r>
    <n v="501420"/>
    <s v="Nákup právnej a enkonom.liter."/>
    <s v="Výsledovka"/>
    <x v="0"/>
    <n v="159.96"/>
    <n v="159.96"/>
    <n v="172.2"/>
    <n v="159.96"/>
    <n v="0"/>
    <m/>
    <x v="130"/>
  </r>
  <r>
    <n v="501440"/>
    <s v="Spotr. návdov a techn. brož."/>
    <s v="Výsledovka"/>
    <x v="0"/>
    <n v="0"/>
    <n v="0"/>
    <n v="0"/>
    <n v="0"/>
    <n v="0"/>
    <m/>
    <x v="130"/>
  </r>
  <r>
    <n v="501500"/>
    <s v="Spotr.mat. - kanc.potreby"/>
    <s v="Výsledovka"/>
    <x v="0"/>
    <n v="8424.0400000000009"/>
    <n v="8424.0400000000009"/>
    <n v="8854.35"/>
    <n v="8424.0400000000009"/>
    <n v="0"/>
    <m/>
    <x v="130"/>
  </r>
  <r>
    <n v="501520"/>
    <s v="Spotr.cenníky,katalogy,ost.MKT"/>
    <s v="Výsledovka"/>
    <x v="0"/>
    <n v="24161.45"/>
    <n v="24161.45"/>
    <n v="26491.9"/>
    <n v="24161.45"/>
    <n v="0"/>
    <m/>
    <x v="130"/>
  </r>
  <r>
    <n v="501521"/>
    <s v="Spotr. plagátov, leták.,post."/>
    <s v="Výsledovka"/>
    <x v="0"/>
    <n v="432.73"/>
    <n v="432.73"/>
    <n v="432.73"/>
    <n v="865.46"/>
    <n v="432.73"/>
    <m/>
    <x v="130"/>
  </r>
  <r>
    <n v="501530"/>
    <s v="Spotr. rekl. pred. do 17 EUR"/>
    <s v="Výsledovka"/>
    <x v="0"/>
    <n v="4956.9799999999996"/>
    <n v="4956.9799999999996"/>
    <n v="4956.9799999999996"/>
    <n v="4967.5200000000004"/>
    <n v="10.54"/>
    <m/>
    <x v="130"/>
  </r>
  <r>
    <n v="501540"/>
    <s v="Spotr. rekl. pred.nad 17 EUR"/>
    <s v="Výsledovka"/>
    <x v="0"/>
    <n v="814.73"/>
    <n v="814.73"/>
    <n v="1002.02"/>
    <n v="1493.69"/>
    <n v="678.96"/>
    <m/>
    <x v="130"/>
  </r>
  <r>
    <n v="501600"/>
    <s v="Vlastná spotreba mater.-voz."/>
    <s v="Výsledovka"/>
    <x v="1"/>
    <n v="0"/>
    <n v="0"/>
    <n v="0"/>
    <n v="0"/>
    <n v="0"/>
    <m/>
    <x v="130"/>
  </r>
  <r>
    <n v="501699"/>
    <s v="Sumár - vlast.spotr.mater.-voz"/>
    <s v="Výsledovka"/>
    <x v="2"/>
    <n v="0"/>
    <n v="0"/>
    <n v="0"/>
    <n v="0"/>
    <n v="0"/>
    <m/>
    <x v="130"/>
  </r>
  <r>
    <n v="501700"/>
    <s v="Vlastná spotreba PHM"/>
    <s v="Výsledovka"/>
    <x v="1"/>
    <n v="0"/>
    <n v="0"/>
    <n v="0"/>
    <n v="0"/>
    <n v="0"/>
    <m/>
    <x v="130"/>
  </r>
  <r>
    <n v="501729"/>
    <s v="Sumár - vlastná spotreba PHM"/>
    <s v="Výsledovka"/>
    <x v="2"/>
    <n v="0"/>
    <n v="0"/>
    <n v="0"/>
    <n v="0"/>
    <n v="0"/>
    <m/>
    <x v="130"/>
  </r>
  <r>
    <n v="501730"/>
    <s v="Externé výkony - materiál"/>
    <s v="Výsledovka"/>
    <x v="0"/>
    <n v="0"/>
    <n v="0"/>
    <n v="0"/>
    <n v="0"/>
    <n v="0"/>
    <m/>
    <x v="130"/>
  </r>
  <r>
    <n v="501800"/>
    <s v="Spotreba materiálu - réžia"/>
    <s v="Výsledovka"/>
    <x v="0"/>
    <n v="0"/>
    <n v="0"/>
    <n v="0"/>
    <n v="0"/>
    <n v="0"/>
    <m/>
    <x v="130"/>
  </r>
  <r>
    <n v="501900"/>
    <s v="Spotreba materiálu - ostatné"/>
    <s v="Výsledovka"/>
    <x v="0"/>
    <n v="2237.37"/>
    <n v="2237.37"/>
    <n v="2167.96"/>
    <n v="4420.3900000000003"/>
    <n v="2183.02"/>
    <m/>
    <x v="130"/>
  </r>
  <r>
    <n v="501999"/>
    <s v="Sumár - spotreba materiálu"/>
    <s v="Výsledovka"/>
    <x v="2"/>
    <n v="486349.99"/>
    <n v="486349.99"/>
    <n v="513994.66"/>
    <n v="637608.34"/>
    <n v="151258.35"/>
    <m/>
    <x v="130"/>
  </r>
  <r>
    <n v="502000"/>
    <s v="Spotreba energie"/>
    <s v="Výsledovka"/>
    <x v="1"/>
    <n v="0"/>
    <n v="0"/>
    <n v="0"/>
    <n v="0"/>
    <n v="0"/>
    <m/>
    <x v="131"/>
  </r>
  <r>
    <n v="502100"/>
    <s v="Spotreba elektrickej energie"/>
    <s v="Výsledovka"/>
    <x v="0"/>
    <n v="71698.27"/>
    <n v="71698.27"/>
    <n v="81869.72"/>
    <n v="150001.09"/>
    <n v="78302.820000000007"/>
    <m/>
    <x v="131"/>
  </r>
  <r>
    <n v="502200"/>
    <s v="Spotreba plynu"/>
    <s v="Výsledovka"/>
    <x v="0"/>
    <n v="31037.4"/>
    <n v="31037.4"/>
    <n v="36956.49"/>
    <n v="63915.62"/>
    <n v="32878.22"/>
    <m/>
    <x v="131"/>
  </r>
  <r>
    <n v="502999"/>
    <s v="Sumár - spotreba energie"/>
    <s v="Výsledovka"/>
    <x v="2"/>
    <n v="102735.67"/>
    <n v="102735.67"/>
    <n v="118826.21"/>
    <n v="213916.71"/>
    <n v="111181.04"/>
    <m/>
    <x v="131"/>
  </r>
  <r>
    <n v="503000"/>
    <s v="Spotreba osta. nesklad.dodávok"/>
    <s v="Výsledovka"/>
    <x v="1"/>
    <n v="0"/>
    <n v="0"/>
    <n v="0"/>
    <n v="0"/>
    <n v="0"/>
    <m/>
    <x v="132"/>
  </r>
  <r>
    <n v="503100"/>
    <s v="Vodné"/>
    <s v="Výsledovka"/>
    <x v="0"/>
    <n v="11344.87"/>
    <n v="11344.87"/>
    <n v="12237.09"/>
    <n v="14584.87"/>
    <n v="3240"/>
    <m/>
    <x v="132"/>
  </r>
  <r>
    <n v="503200"/>
    <s v="Prečerpáv.stanica odpad.vôd"/>
    <s v="Výsledovka"/>
    <x v="0"/>
    <n v="1267.27"/>
    <n v="1267.27"/>
    <n v="1387.14"/>
    <n v="1867.27"/>
    <n v="600"/>
    <m/>
    <x v="132"/>
  </r>
  <r>
    <n v="503999"/>
    <s v="Sumár - spotr.ost.nesklad.dod."/>
    <s v="Výsledovka"/>
    <x v="2"/>
    <n v="12612.14"/>
    <n v="12612.14"/>
    <n v="13624.23"/>
    <n v="16452.14"/>
    <n v="3840"/>
    <m/>
    <x v="132"/>
  </r>
  <r>
    <n v="504000"/>
    <s v="Predaný tovar"/>
    <s v="Výsledovka"/>
    <x v="1"/>
    <n v="0"/>
    <n v="0"/>
    <n v="0"/>
    <n v="0"/>
    <n v="0"/>
    <m/>
    <x v="133"/>
  </r>
  <r>
    <n v="504100"/>
    <s v="Predaj ND cez pult - Trade"/>
    <s v="Výsledovka"/>
    <x v="0"/>
    <n v="1893921.69"/>
    <n v="1893921.69"/>
    <n v="2098342.86"/>
    <n v="2058141.33"/>
    <n v="164219.64000000001"/>
    <m/>
    <x v="133"/>
  </r>
  <r>
    <n v="504101"/>
    <s v="ND - podpory k nákupu ND PULT"/>
    <s v="Výsledovka"/>
    <x v="0"/>
    <n v="-8141.18"/>
    <n v="-8141.18"/>
    <n v="-8141.18"/>
    <n v="-8141.18"/>
    <n v="0"/>
    <m/>
    <x v="133"/>
  </r>
  <r>
    <n v="504110"/>
    <s v="BMW"/>
    <s v="Výsledovka"/>
    <x v="1"/>
    <n v="0"/>
    <n v="0"/>
    <n v="0"/>
    <n v="0"/>
    <n v="0"/>
    <m/>
    <x v="133"/>
  </r>
  <r>
    <n v="504150"/>
    <s v="Predaj ND cez pult - Retail"/>
    <s v="Výsledovka"/>
    <x v="0"/>
    <n v="20342.25"/>
    <n v="20342.25"/>
    <n v="25943.51"/>
    <n v="17883.75"/>
    <n v="-2458.5"/>
    <m/>
    <x v="133"/>
  </r>
  <r>
    <n v="504190"/>
    <s v="Bonusy - ND"/>
    <s v="Výsledovka"/>
    <x v="0"/>
    <n v="-614444.5"/>
    <n v="-614444.5"/>
    <n v="-641685.5"/>
    <n v="766966.5"/>
    <n v="1381411"/>
    <m/>
    <x v="133"/>
  </r>
  <r>
    <n v="504199"/>
    <s v="Sumár - BMW"/>
    <s v="Výsledovka"/>
    <x v="2"/>
    <n v="-594102.25"/>
    <n v="-594102.25"/>
    <n v="-615741.99"/>
    <n v="784850.25"/>
    <n v="1378952.5"/>
    <m/>
    <x v="133"/>
  </r>
  <r>
    <n v="504200"/>
    <s v="Náklady za predané ND"/>
    <s v="Výsledovka"/>
    <x v="0"/>
    <n v="2399939.2200000002"/>
    <n v="2399939.2200000002"/>
    <n v="2629553.14"/>
    <n v="3897209.95"/>
    <n v="1497270.73"/>
    <m/>
    <x v="133"/>
  </r>
  <r>
    <n v="504299"/>
    <s v="Sumár - MINI"/>
    <s v="Výsledovka"/>
    <x v="2"/>
    <n v="2399939.2200000002"/>
    <n v="2399939.2200000002"/>
    <n v="2629553.14"/>
    <n v="3897209.95"/>
    <n v="1497270.73"/>
    <m/>
    <x v="133"/>
  </r>
  <r>
    <n v="504310"/>
    <s v="Spotreba ND - BSI zákazky"/>
    <s v="Výsledovka"/>
    <x v="0"/>
    <n v="151788.07"/>
    <n v="151788.07"/>
    <n v="160341.04"/>
    <n v="171029.08"/>
    <n v="19241.009999999998"/>
    <m/>
    <x v="133"/>
  </r>
  <r>
    <n v="504320"/>
    <s v="Spotreba ND - garancie"/>
    <s v="Výsledovka"/>
    <x v="0"/>
    <n v="576444.77"/>
    <n v="576444.77"/>
    <n v="639723.29"/>
    <n v="600746.53"/>
    <n v="24301.759999999998"/>
    <m/>
    <x v="133"/>
  </r>
  <r>
    <n v="504500"/>
    <s v="Náklady na nové autá"/>
    <s v="Výsledovka"/>
    <x v="0"/>
    <n v="22478880.059999999"/>
    <n v="22478880.059999999"/>
    <n v="24711494.149999999"/>
    <n v="22892234.109999999"/>
    <n v="413354.05"/>
    <m/>
    <x v="133"/>
  </r>
  <r>
    <n v="504501"/>
    <s v="Int. spot. ND - PDI NV"/>
    <s v="Výsledovka"/>
    <x v="0"/>
    <n v="29359.71"/>
    <n v="29359.71"/>
    <n v="29359.71"/>
    <n v="30668.400000000001"/>
    <n v="1308.69"/>
    <m/>
    <x v="133"/>
  </r>
  <r>
    <n v="504502"/>
    <s v="Int. spot. ND - Dovybavenie NV"/>
    <s v="Výsledovka"/>
    <x v="0"/>
    <n v="71983.460000000006"/>
    <n v="71983.460000000006"/>
    <n v="95335.27"/>
    <n v="89094.7"/>
    <n v="17111.240000000002"/>
    <m/>
    <x v="133"/>
  </r>
  <r>
    <n v="504503"/>
    <s v="Participácia na fin.služb.  NV"/>
    <s v="Výsledovka"/>
    <x v="0"/>
    <n v="24499.08"/>
    <n v="24499.08"/>
    <n v="24499.08"/>
    <n v="42629.08"/>
    <n v="18130"/>
    <m/>
    <x v="133"/>
  </r>
  <r>
    <n v="504504"/>
    <s v="Doplnky a prísluš.k predan.NV"/>
    <s v="Výsledovka"/>
    <x v="0"/>
    <n v="0"/>
    <n v="0"/>
    <n v="0"/>
    <n v="0"/>
    <n v="0"/>
    <m/>
    <x v="133"/>
  </r>
  <r>
    <n v="504505"/>
    <s v="Poistné k predaným NV"/>
    <s v="Výsledovka"/>
    <x v="0"/>
    <n v="0"/>
    <n v="0"/>
    <n v="0"/>
    <n v="0"/>
    <n v="0"/>
    <m/>
    <x v="133"/>
  </r>
  <r>
    <n v="504506"/>
    <s v="Zmena predplatby na podporu NV"/>
    <s v="Výsledovka"/>
    <x v="0"/>
    <n v="-334407.31"/>
    <n v="-334407.31"/>
    <n v="-353077.73"/>
    <n v="21988.1"/>
    <n v="356395.41"/>
    <m/>
    <x v="133"/>
  </r>
  <r>
    <n v="504507"/>
    <s v="Predĺžené záruky NV/ BRI, BSI/"/>
    <s v="Výsledovka"/>
    <x v="0"/>
    <n v="73130"/>
    <n v="73130"/>
    <n v="80070"/>
    <n v="74500"/>
    <n v="1370"/>
    <m/>
    <x v="133"/>
  </r>
  <r>
    <n v="504508"/>
    <s v="Zľavy a akcie nové au - BMW-podpora predaja nedaň."/>
    <s v="Výsledovka"/>
    <x v="0"/>
    <n v="21069.86"/>
    <n v="21069.86"/>
    <n v="21069.86"/>
    <n v="21069.86"/>
    <n v="0"/>
    <m/>
    <x v="133"/>
  </r>
  <r>
    <n v="504509"/>
    <s v="Zľavy a akcie nové autá - BMW očakávané podpory"/>
    <s v="Výsledovka"/>
    <x v="0"/>
    <n v="-2479447.1"/>
    <n v="-2479447.1"/>
    <n v="-2687276.6"/>
    <n v="623701.67000000004"/>
    <n v="3103148.77"/>
    <m/>
    <x v="133"/>
  </r>
  <r>
    <n v="504520"/>
    <s v="Tankovacie karty vydané k NV"/>
    <s v="Výsledovka"/>
    <x v="0"/>
    <n v="0"/>
    <n v="0"/>
    <n v="0"/>
    <n v="0"/>
    <n v="0"/>
    <m/>
    <x v="133"/>
  </r>
  <r>
    <n v="504523"/>
    <s v="Nepoužívať"/>
    <s v="Výsledovka"/>
    <x v="0"/>
    <n v="6171.3"/>
    <n v="6171.3"/>
    <n v="6171.3"/>
    <n v="6171.3"/>
    <n v="0"/>
    <m/>
    <x v="133"/>
  </r>
  <r>
    <n v="504590"/>
    <s v="Bonusy - nové vozidlá"/>
    <s v="Výsledovka"/>
    <x v="0"/>
    <n v="-2155955.16"/>
    <n v="-2155955.16"/>
    <n v="-2290099.25"/>
    <n v="1416164.3"/>
    <n v="3572119.46"/>
    <m/>
    <x v="133"/>
  </r>
  <r>
    <n v="504599"/>
    <s v="Sumár - Nové vozidlá"/>
    <s v="Výsledovka"/>
    <x v="2"/>
    <n v="22155134.219999999"/>
    <n v="22155134.219999999"/>
    <n v="24541622.949999999"/>
    <n v="32722057.48"/>
    <n v="10566923.26"/>
    <m/>
    <x v="133"/>
  </r>
  <r>
    <n v="504600"/>
    <s v="Náklady - Jazdené vozidlá"/>
    <s v="Výsledovka"/>
    <x v="0"/>
    <n v="13875362.4"/>
    <n v="13875362.4"/>
    <n v="14983285.82"/>
    <n v="14040149.4"/>
    <n v="164787"/>
    <m/>
    <x v="133"/>
  </r>
  <r>
    <n v="504601"/>
    <s v="Int. spot. ND - Jazd.vozidlá"/>
    <s v="Výsledovka"/>
    <x v="0"/>
    <n v="18275.12"/>
    <n v="18275.12"/>
    <n v="18275.12"/>
    <n v="19311.18"/>
    <n v="1036.06"/>
    <m/>
    <x v="133"/>
  </r>
  <r>
    <n v="504602"/>
    <s v="Garancie k predaným JV"/>
    <s v="Výsledovka"/>
    <x v="0"/>
    <n v="96819.89"/>
    <n v="96819.89"/>
    <n v="108467.85"/>
    <n v="192540.77"/>
    <n v="95720.88"/>
    <m/>
    <x v="133"/>
  </r>
  <r>
    <n v="504604"/>
    <s v="Doplnky a prísluš.k predan.JV"/>
    <s v="Výsledovka"/>
    <x v="0"/>
    <n v="0"/>
    <n v="0"/>
    <n v="0"/>
    <n v="0"/>
    <n v="0"/>
    <m/>
    <x v="133"/>
  </r>
  <r>
    <n v="504605"/>
    <s v="Poistné k predaným OV"/>
    <s v="Výsledovka"/>
    <x v="0"/>
    <n v="0"/>
    <n v="0"/>
    <n v="0"/>
    <n v="130772.56"/>
    <n v="130772.56"/>
    <m/>
    <x v="133"/>
  </r>
  <r>
    <n v="504606"/>
    <s v="Zmena predplatby na podporu JV"/>
    <s v="Výsledovka"/>
    <x v="0"/>
    <n v="0"/>
    <n v="0"/>
    <n v="0"/>
    <n v="0"/>
    <n v="0"/>
    <m/>
    <x v="133"/>
  </r>
  <r>
    <n v="504607"/>
    <s v="Predĺžené záruky JV / BRI, BSI/"/>
    <s v="Výsledovka"/>
    <x v="0"/>
    <n v="33593"/>
    <n v="33593"/>
    <n v="33593"/>
    <n v="33593"/>
    <n v="0"/>
    <m/>
    <x v="133"/>
  </r>
  <r>
    <n v="504608"/>
    <s v="Predĺžené záruky - BSI / BRI"/>
    <s v="Výsledovka"/>
    <x v="0"/>
    <n v="7850"/>
    <n v="7850"/>
    <n v="7850"/>
    <n v="7850"/>
    <n v="0"/>
    <m/>
    <x v="133"/>
  </r>
  <r>
    <n v="504609"/>
    <s v="Zľavy a akcie jazdené autá - BMW očakávané podpory"/>
    <s v="Výsledovka"/>
    <x v="0"/>
    <n v="-192044.67"/>
    <n v="-192044.67"/>
    <n v="-198220.64"/>
    <n v="2497.91"/>
    <n v="194542.58"/>
    <m/>
    <x v="133"/>
  </r>
  <r>
    <n v="504650"/>
    <s v="Ostatné"/>
    <s v="Výsledovka"/>
    <x v="0"/>
    <n v="0"/>
    <n v="0"/>
    <n v="0"/>
    <n v="0"/>
    <n v="0"/>
    <m/>
    <x v="133"/>
  </r>
  <r>
    <n v="504660"/>
    <s v="BMW jazdené vozidlá Fremd"/>
    <s v="Výsledovka"/>
    <x v="0"/>
    <n v="0"/>
    <n v="0"/>
    <n v="0"/>
    <n v="0"/>
    <n v="0"/>
    <m/>
    <x v="133"/>
  </r>
  <r>
    <n v="504690"/>
    <s v="Bonusy - jazdené vozidlá"/>
    <s v="Výsledovka"/>
    <x v="0"/>
    <n v="-337239.73"/>
    <n v="-337239.73"/>
    <n v="-362736.1"/>
    <n v="322829.96999999997"/>
    <n v="660069.69999999995"/>
    <m/>
    <x v="133"/>
  </r>
  <r>
    <n v="504695"/>
    <s v="Vykúpené vozidlá - Ostatné"/>
    <s v="Výsledovka"/>
    <x v="0"/>
    <n v="0"/>
    <n v="0"/>
    <n v="0"/>
    <n v="0"/>
    <n v="0"/>
    <m/>
    <x v="133"/>
  </r>
  <r>
    <n v="504699"/>
    <s v="Sumár - jazdené vozidlá"/>
    <s v="Výsledovka"/>
    <x v="2"/>
    <n v="13502616.01"/>
    <n v="13502616.01"/>
    <n v="14590515.050000001"/>
    <n v="14749544.789999999"/>
    <n v="1246928.78"/>
    <m/>
    <x v="133"/>
  </r>
  <r>
    <n v="504700"/>
    <s v="Predaný tovar - ND"/>
    <s v="Výsledovka"/>
    <x v="1"/>
    <n v="0"/>
    <n v="0"/>
    <n v="0"/>
    <n v="0"/>
    <n v="0"/>
    <m/>
    <x v="133"/>
  </r>
  <r>
    <n v="504710"/>
    <s v="ND BMW"/>
    <s v="Výsledovka"/>
    <x v="1"/>
    <n v="0"/>
    <n v="0"/>
    <n v="0"/>
    <n v="0"/>
    <n v="0"/>
    <m/>
    <x v="133"/>
  </r>
  <r>
    <n v="504719"/>
    <s v="Sumár - ND BMW"/>
    <s v="Výsledovka"/>
    <x v="2"/>
    <n v="0"/>
    <n v="0"/>
    <n v="0"/>
    <n v="0"/>
    <n v="0"/>
    <m/>
    <x v="133"/>
  </r>
  <r>
    <n v="504720"/>
    <s v="ND MINI"/>
    <s v="Výsledovka"/>
    <x v="1"/>
    <n v="0"/>
    <n v="0"/>
    <n v="0"/>
    <n v="0"/>
    <n v="0"/>
    <m/>
    <x v="133"/>
  </r>
  <r>
    <n v="504722"/>
    <s v="ND MINI - pultový predaj"/>
    <s v="Výsledovka"/>
    <x v="0"/>
    <n v="0"/>
    <n v="0"/>
    <n v="0"/>
    <n v="0"/>
    <n v="0"/>
    <m/>
    <x v="133"/>
  </r>
  <r>
    <n v="504726"/>
    <s v="ND MINI - lifestyle"/>
    <s v="Výsledovka"/>
    <x v="0"/>
    <n v="0"/>
    <n v="0"/>
    <n v="0"/>
    <n v="0"/>
    <n v="0"/>
    <m/>
    <x v="133"/>
  </r>
  <r>
    <n v="504727"/>
    <s v="ND MINI - obchod 4.úrovne"/>
    <s v="Výsledovka"/>
    <x v="0"/>
    <n v="0"/>
    <n v="0"/>
    <n v="0"/>
    <n v="0"/>
    <n v="0"/>
    <m/>
    <x v="133"/>
  </r>
  <r>
    <n v="504729"/>
    <s v="Sumár - ND MINI"/>
    <s v="Výsledovka"/>
    <x v="2"/>
    <n v="0"/>
    <n v="0"/>
    <n v="0"/>
    <n v="0"/>
    <n v="0"/>
    <m/>
    <x v="133"/>
  </r>
  <r>
    <n v="504799"/>
    <s v="Sumár - Predaný tovar - ND"/>
    <s v="Výsledovka"/>
    <x v="2"/>
    <n v="0"/>
    <n v="0"/>
    <n v="0"/>
    <n v="0"/>
    <n v="0"/>
    <m/>
    <x v="133"/>
  </r>
  <r>
    <n v="504800"/>
    <s v="Bonusy výrobcu"/>
    <s v="Výsledovka"/>
    <x v="1"/>
    <n v="0"/>
    <n v="0"/>
    <n v="0"/>
    <n v="0"/>
    <n v="0"/>
    <m/>
    <x v="133"/>
  </r>
  <r>
    <n v="504899"/>
    <s v="Sumár - bonusy výrobcu"/>
    <s v="Výsledovka"/>
    <x v="2"/>
    <n v="0"/>
    <n v="0"/>
    <n v="0"/>
    <n v="0"/>
    <n v="0"/>
    <m/>
    <x v="133"/>
  </r>
  <r>
    <n v="504900"/>
    <s v="Predaný tovar - subdodávky"/>
    <s v="Výsledovka"/>
    <x v="0"/>
    <n v="0"/>
    <n v="0"/>
    <n v="0"/>
    <n v="0"/>
    <n v="0"/>
    <m/>
    <x v="133"/>
  </r>
  <r>
    <n v="504999"/>
    <s v="Sumár - predaný tovar"/>
    <s v="Výsledovka"/>
    <x v="2"/>
    <n v="35657750.229999997"/>
    <n v="35657750.229999997"/>
    <n v="39132138"/>
    <n v="47471602.270000003"/>
    <n v="11813852.039999999"/>
    <m/>
    <x v="133"/>
  </r>
  <r>
    <n v="505000"/>
    <s v="Tvorba a zúčt.opr.pol.k zás."/>
    <s v="Výsledovka"/>
    <x v="1"/>
    <n v="0"/>
    <n v="0"/>
    <n v="0"/>
    <n v="0"/>
    <n v="0"/>
    <m/>
    <x v="134"/>
  </r>
  <r>
    <n v="505200"/>
    <s v="Tvorba OP k ND 6 - 12 mesiacov"/>
    <s v="Výsledovka"/>
    <x v="0"/>
    <n v="7771.97"/>
    <n v="7771.97"/>
    <n v="7771.97"/>
    <n v="0"/>
    <n v="-7771.97"/>
    <m/>
    <x v="134"/>
  </r>
  <r>
    <n v="505210"/>
    <s v="Tvorba OP k ND 12- 24 mesiacov"/>
    <s v="Výsledovka"/>
    <x v="0"/>
    <n v="-1173.8900000000001"/>
    <n v="-1173.8900000000001"/>
    <n v="-1173.8900000000001"/>
    <n v="0"/>
    <n v="1173.8900000000001"/>
    <m/>
    <x v="134"/>
  </r>
  <r>
    <n v="505220"/>
    <s v="Tvorba OP k ND nad 24 mesiacov"/>
    <s v="Výsledovka"/>
    <x v="0"/>
    <n v="-88.02"/>
    <n v="-88.02"/>
    <n v="-88.02"/>
    <n v="0"/>
    <n v="88.02"/>
    <m/>
    <x v="134"/>
  </r>
  <r>
    <n v="505230"/>
    <s v="Tvorba OP k ND - individuálne"/>
    <s v="Výsledovka"/>
    <x v="0"/>
    <n v="0"/>
    <n v="0"/>
    <n v="0"/>
    <n v="0"/>
    <n v="0"/>
    <m/>
    <x v="134"/>
  </r>
  <r>
    <n v="505500"/>
    <s v="OP k novým autám"/>
    <s v="Výsledovka"/>
    <x v="0"/>
    <n v="121000"/>
    <n v="121000"/>
    <n v="121000"/>
    <n v="318504"/>
    <n v="197504"/>
    <m/>
    <x v="134"/>
  </r>
  <r>
    <n v="505600"/>
    <s v="Tvorba OP k jazdeným vozidlám"/>
    <s v="Výsledovka"/>
    <x v="0"/>
    <n v="65400"/>
    <n v="65400"/>
    <n v="65400"/>
    <n v="253900"/>
    <n v="188500"/>
    <m/>
    <x v="134"/>
  </r>
  <r>
    <n v="505998"/>
    <s v="Sumár-Tvorba a zúč.op.pol.k zá"/>
    <s v="Výsledovka"/>
    <x v="2"/>
    <n v="192910.06"/>
    <n v="192910.06"/>
    <n v="192910.06"/>
    <n v="572404"/>
    <n v="379493.94"/>
    <m/>
    <x v="134"/>
  </r>
  <r>
    <n v="505999"/>
    <s v="Sumár - spotrebované nákupy"/>
    <s v="Výsledovka"/>
    <x v="2"/>
    <n v="36452358.090000004"/>
    <n v="36452358.090000004"/>
    <n v="39971493.159999996"/>
    <n v="48911983.460000001"/>
    <n v="12459625.369999999"/>
    <m/>
    <x v="134"/>
  </r>
  <r>
    <n v="510000"/>
    <s v="Služby"/>
    <s v="Výsledovka"/>
    <x v="1"/>
    <n v="0"/>
    <n v="0"/>
    <n v="0"/>
    <n v="0"/>
    <n v="0"/>
    <m/>
    <x v="135"/>
  </r>
  <r>
    <n v="511000"/>
    <s v="Opravy a udržanie"/>
    <s v="Výsledovka"/>
    <x v="1"/>
    <n v="0"/>
    <n v="0"/>
    <n v="0"/>
    <n v="0"/>
    <n v="0"/>
    <m/>
    <x v="136"/>
  </r>
  <r>
    <n v="511210"/>
    <s v="Údržba budovy a objektov"/>
    <s v="Výsledovka"/>
    <x v="0"/>
    <n v="80"/>
    <n v="80"/>
    <n v="80"/>
    <n v="80"/>
    <n v="0"/>
    <m/>
    <x v="136"/>
  </r>
  <r>
    <n v="511220"/>
    <s v="Údržba zariadení a inventáru"/>
    <s v="Výsledovka"/>
    <x v="0"/>
    <n v="16254.85"/>
    <n v="16254.85"/>
    <n v="16985.45"/>
    <n v="16254.85"/>
    <n v="0"/>
    <m/>
    <x v="136"/>
  </r>
  <r>
    <n v="511230"/>
    <s v="Údržba majetk. áut - interné N"/>
    <s v="Výsledovka"/>
    <x v="0"/>
    <n v="0"/>
    <n v="0"/>
    <n v="0"/>
    <n v="0"/>
    <n v="0"/>
    <m/>
    <x v="136"/>
  </r>
  <r>
    <n v="511240"/>
    <s v="Údržba majetk. áut - externé N"/>
    <s v="Výsledovka"/>
    <x v="0"/>
    <n v="1575.39"/>
    <n v="1575.39"/>
    <n v="1575.39"/>
    <n v="1675.39"/>
    <n v="100"/>
    <m/>
    <x v="136"/>
  </r>
  <r>
    <n v="511600"/>
    <s v="Oprava vlastných vozidiel"/>
    <s v="Výsledovka"/>
    <x v="1"/>
    <n v="0"/>
    <n v="0"/>
    <n v="0"/>
    <n v="0"/>
    <n v="0"/>
    <m/>
    <x v="136"/>
  </r>
  <r>
    <n v="511699"/>
    <s v="Sumár - oprava vlast.vozidiel"/>
    <s v="Výsledovka"/>
    <x v="2"/>
    <n v="0"/>
    <n v="0"/>
    <n v="0"/>
    <n v="0"/>
    <n v="0"/>
    <m/>
    <x v="136"/>
  </r>
  <r>
    <n v="511999"/>
    <s v="Sumár - opravy a udržanie"/>
    <s v="Výsledovka"/>
    <x v="2"/>
    <n v="17910.240000000002"/>
    <n v="17910.240000000002"/>
    <n v="18640.84"/>
    <n v="18010.240000000002"/>
    <n v="100"/>
    <m/>
    <x v="136"/>
  </r>
  <r>
    <n v="512000"/>
    <s v="Cestovné"/>
    <s v="Výsledovka"/>
    <x v="1"/>
    <n v="0"/>
    <n v="0"/>
    <n v="0"/>
    <n v="0"/>
    <n v="0"/>
    <m/>
    <x v="137"/>
  </r>
  <r>
    <n v="512100"/>
    <s v="Cestovné zahraničné"/>
    <s v="Výsledovka"/>
    <x v="0"/>
    <n v="17436.599999999999"/>
    <n v="17436.599999999999"/>
    <n v="18236.599999999999"/>
    <n v="17667.39"/>
    <n v="230.79"/>
    <m/>
    <x v="137"/>
  </r>
  <r>
    <n v="512200"/>
    <s v="Cestovné tuzemsko"/>
    <s v="Výsledovka"/>
    <x v="0"/>
    <n v="200.93"/>
    <n v="200.93"/>
    <n v="200.93"/>
    <n v="349.62"/>
    <n v="148.69"/>
    <m/>
    <x v="137"/>
  </r>
  <r>
    <n v="512800"/>
    <s v="Cestovné náklady - nedaňové"/>
    <s v="Výsledovka"/>
    <x v="0"/>
    <n v="0"/>
    <n v="0"/>
    <n v="0"/>
    <n v="0"/>
    <n v="0"/>
    <m/>
    <x v="137"/>
  </r>
  <r>
    <n v="512999"/>
    <s v="Sumár - cestovné"/>
    <s v="Výsledovka"/>
    <x v="2"/>
    <n v="17637.53"/>
    <n v="17637.53"/>
    <n v="18437.53"/>
    <n v="18017.009999999998"/>
    <n v="379.48"/>
    <m/>
    <x v="137"/>
  </r>
  <r>
    <n v="513000"/>
    <s v="Náklady na reprezentáciu"/>
    <s v="Výsledovka"/>
    <x v="1"/>
    <n v="0"/>
    <n v="0"/>
    <n v="0"/>
    <n v="0"/>
    <n v="0"/>
    <m/>
    <x v="138"/>
  </r>
  <r>
    <n v="513100"/>
    <s v="Reprezentačné výdavky"/>
    <s v="Výsledovka"/>
    <x v="0"/>
    <n v="26393.67"/>
    <n v="26393.67"/>
    <n v="28244.95"/>
    <n v="26393.67"/>
    <n v="0"/>
    <m/>
    <x v="138"/>
  </r>
  <r>
    <n v="513150"/>
    <s v="Náklady na repre. - marketing"/>
    <s v="Výsledovka"/>
    <x v="0"/>
    <n v="2937.59"/>
    <n v="2937.59"/>
    <n v="2937.59"/>
    <n v="2937.59"/>
    <n v="0"/>
    <m/>
    <x v="138"/>
  </r>
  <r>
    <n v="513999"/>
    <s v="Sumár - náklady na repre."/>
    <s v="Výsledovka"/>
    <x v="2"/>
    <n v="29331.26"/>
    <n v="29331.26"/>
    <n v="31182.54"/>
    <n v="29331.26"/>
    <n v="0"/>
    <m/>
    <x v="138"/>
  </r>
  <r>
    <n v="518000"/>
    <s v="Ostatné služby"/>
    <s v="Výsledovka"/>
    <x v="1"/>
    <n v="0"/>
    <n v="0"/>
    <n v="0"/>
    <n v="0"/>
    <n v="0"/>
    <m/>
    <x v="139"/>
  </r>
  <r>
    <n v="518110"/>
    <s v="Nájomné nehnuteľnosť Vajnorska"/>
    <s v="Výsledovka"/>
    <x v="0"/>
    <n v="403320"/>
    <n v="403320"/>
    <n v="437880"/>
    <n v="403320"/>
    <n v="0"/>
    <m/>
    <x v="139"/>
  </r>
  <r>
    <n v="518111"/>
    <s v="Nájomné - externé vozidlá"/>
    <s v="Výsledovka"/>
    <x v="0"/>
    <n v="41333.120000000003"/>
    <n v="41333.120000000003"/>
    <n v="44083.41"/>
    <n v="42055.32"/>
    <n v="722.2"/>
    <m/>
    <x v="139"/>
  </r>
  <r>
    <n v="518120"/>
    <s v="Nájomné Lakovňa Vrakuňa"/>
    <s v="Výsledovka"/>
    <x v="0"/>
    <n v="52800"/>
    <n v="52800"/>
    <n v="61600"/>
    <n v="112259"/>
    <n v="59459"/>
    <m/>
    <x v="139"/>
  </r>
  <r>
    <n v="518130"/>
    <s v="Nájomné SF - Wella"/>
    <s v="Výsledovka"/>
    <x v="0"/>
    <n v="131640"/>
    <n v="131640"/>
    <n v="142920"/>
    <n v="131640"/>
    <n v="0"/>
    <m/>
    <x v="139"/>
  </r>
  <r>
    <n v="518200"/>
    <s v="Dialničné nálepky"/>
    <s v="Výsledovka"/>
    <x v="0"/>
    <n v="6670.33"/>
    <n v="6670.33"/>
    <n v="6990.49"/>
    <n v="6885"/>
    <n v="214.67"/>
    <m/>
    <x v="139"/>
  </r>
  <r>
    <n v="518210"/>
    <s v="Poštové služby"/>
    <s v="Výsledovka"/>
    <x v="0"/>
    <n v="2988.14"/>
    <n v="2988.14"/>
    <n v="3516.64"/>
    <n v="2988.14"/>
    <n v="0"/>
    <m/>
    <x v="139"/>
  </r>
  <r>
    <n v="518220"/>
    <s v="Telekom.náklady - pevné linky"/>
    <s v="Výsledovka"/>
    <x v="0"/>
    <n v="1713.76"/>
    <n v="1713.76"/>
    <n v="1985.89"/>
    <n v="4113.76"/>
    <n v="2400"/>
    <m/>
    <x v="139"/>
  </r>
  <r>
    <n v="518230"/>
    <s v="Telekom.náklady - mob.a dát.sl"/>
    <s v="Výsledovka"/>
    <x v="0"/>
    <n v="7815.96"/>
    <n v="7815.96"/>
    <n v="9221.26"/>
    <n v="19672.5"/>
    <n v="11856.54"/>
    <m/>
    <x v="139"/>
  </r>
  <r>
    <n v="518250"/>
    <s v="Pomocné práce"/>
    <s v="Výsledovka"/>
    <x v="0"/>
    <n v="104614.53"/>
    <n v="104614.53"/>
    <n v="110729.53"/>
    <n v="107100.76"/>
    <n v="2486.23"/>
    <m/>
    <x v="139"/>
  </r>
  <r>
    <n v="518260"/>
    <s v="Služby prac.cesty-ubytovanie"/>
    <s v="Výsledovka"/>
    <x v="0"/>
    <n v="4965.76"/>
    <n v="4965.76"/>
    <n v="4965.76"/>
    <n v="4965.76"/>
    <n v="0"/>
    <m/>
    <x v="139"/>
  </r>
  <r>
    <n v="518270"/>
    <s v="Kuriérske služby"/>
    <s v="Výsledovka"/>
    <x v="0"/>
    <n v="2043.94"/>
    <n v="2043.94"/>
    <n v="2449.1799999999998"/>
    <n v="4443.9399999999996"/>
    <n v="2400"/>
    <m/>
    <x v="139"/>
  </r>
  <r>
    <n v="518510"/>
    <s v="Právne služby"/>
    <s v="Výsledovka"/>
    <x v="0"/>
    <n v="21203.54"/>
    <n v="21203.54"/>
    <n v="23603.54"/>
    <n v="34983.54"/>
    <n v="13780"/>
    <m/>
    <x v="139"/>
  </r>
  <r>
    <n v="518520"/>
    <s v="Účtovné,daňové a audit.služby"/>
    <s v="Výsledovka"/>
    <x v="0"/>
    <n v="43266.55"/>
    <n v="43266.55"/>
    <n v="46986.55"/>
    <n v="82080.67"/>
    <n v="38814.120000000003"/>
    <m/>
    <x v="139"/>
  </r>
  <r>
    <n v="518530"/>
    <s v="Program.sl.,softv.lic.popl."/>
    <s v="Výsledovka"/>
    <x v="0"/>
    <n v="100744.46"/>
    <n v="100744.46"/>
    <n v="107243.03"/>
    <n v="142419.46"/>
    <n v="41675"/>
    <m/>
    <x v="139"/>
  </r>
  <r>
    <n v="518550"/>
    <s v="Školenie,jazykové kurzy,vzdel."/>
    <s v="Výsledovka"/>
    <x v="0"/>
    <n v="33401.360000000001"/>
    <n v="33401.360000000001"/>
    <n v="39639.360000000001"/>
    <n v="76001.36"/>
    <n v="42600"/>
    <m/>
    <x v="139"/>
  </r>
  <r>
    <n v="518570"/>
    <s v="Prekladové a tlmočnícke služby"/>
    <s v="Výsledovka"/>
    <x v="0"/>
    <n v="0"/>
    <n v="0"/>
    <n v="0"/>
    <n v="0"/>
    <n v="0"/>
    <m/>
    <x v="139"/>
  </r>
  <r>
    <n v="518590"/>
    <s v="Ostatné ekon.-organ.charakter"/>
    <s v="Výsledovka"/>
    <x v="0"/>
    <n v="9391.4"/>
    <n v="9391.4"/>
    <n v="10563.76"/>
    <n v="13111.4"/>
    <n v="3720"/>
    <m/>
    <x v="139"/>
  </r>
  <r>
    <n v="518591"/>
    <s v="Programové vybavenie - softvér"/>
    <s v="Výsledovka"/>
    <x v="0"/>
    <n v="0"/>
    <n v="0"/>
    <n v="0"/>
    <n v="0"/>
    <n v="0"/>
    <m/>
    <x v="139"/>
  </r>
  <r>
    <n v="518592"/>
    <s v="Management fee - Intragroup"/>
    <s v="Výsledovka"/>
    <x v="0"/>
    <n v="319210.96000000002"/>
    <n v="319210.96000000002"/>
    <n v="339408.96"/>
    <n v="614044.96"/>
    <n v="294834"/>
    <m/>
    <x v="139"/>
  </r>
  <r>
    <n v="518593"/>
    <s v="IT služby - AubobinckCZ"/>
    <s v="Výsledovka"/>
    <x v="0"/>
    <n v="57518.92"/>
    <n v="57518.92"/>
    <n v="63171.92"/>
    <n v="124518.92"/>
    <n v="67000"/>
    <m/>
    <x v="139"/>
  </r>
  <r>
    <n v="518610"/>
    <s v="Sprostredkovateľské provízie"/>
    <s v="Výsledovka"/>
    <x v="0"/>
    <n v="3967"/>
    <n v="3967"/>
    <n v="4717"/>
    <n v="3967"/>
    <n v="0"/>
    <m/>
    <x v="139"/>
  </r>
  <r>
    <n v="518620"/>
    <s v="Náklady na predĺžené záruky"/>
    <s v="Výsledovka"/>
    <x v="0"/>
    <n v="329550"/>
    <n v="329550"/>
    <n v="344630"/>
    <n v="618600"/>
    <n v="289050"/>
    <m/>
    <x v="139"/>
  </r>
  <r>
    <n v="518630"/>
    <s v="Inzercia a reklama - periodiká"/>
    <s v="Výsledovka"/>
    <x v="0"/>
    <n v="12310.72"/>
    <n v="12310.72"/>
    <n v="12310.72"/>
    <n v="17466.080000000002"/>
    <n v="5155.3599999999997"/>
    <m/>
    <x v="139"/>
  </r>
  <r>
    <n v="518640"/>
    <s v="Reklamná kampaň - sales push"/>
    <s v="Výsledovka"/>
    <x v="0"/>
    <n v="112620.45"/>
    <n v="112620.45"/>
    <n v="123318.37"/>
    <n v="243896.95999999999"/>
    <n v="131276.51"/>
    <m/>
    <x v="139"/>
  </r>
  <r>
    <n v="518641"/>
    <s v="Vonkajšia reklama"/>
    <s v="Výsledovka"/>
    <x v="0"/>
    <n v="0"/>
    <n v="0"/>
    <n v="0"/>
    <n v="2720.81"/>
    <n v="2720.81"/>
    <m/>
    <x v="139"/>
  </r>
  <r>
    <n v="518642"/>
    <s v="Web - vlastné stránky"/>
    <s v="Výsledovka"/>
    <x v="0"/>
    <n v="8091.73"/>
    <n v="8091.73"/>
    <n v="8898.73"/>
    <n v="9904.33"/>
    <n v="1812.6"/>
    <m/>
    <x v="139"/>
  </r>
  <r>
    <n v="518643"/>
    <s v="Direct marketing"/>
    <s v="Výsledovka"/>
    <x v="0"/>
    <n v="0"/>
    <n v="0"/>
    <n v="0"/>
    <n v="0"/>
    <n v="0"/>
    <m/>
    <x v="139"/>
  </r>
  <r>
    <n v="518644"/>
    <s v="Branding  na pobočke"/>
    <s v="Výsledovka"/>
    <x v="0"/>
    <n v="602.08000000000004"/>
    <n v="602.08000000000004"/>
    <n v="602.08000000000004"/>
    <n v="889.08"/>
    <n v="287"/>
    <m/>
    <x v="139"/>
  </r>
  <r>
    <n v="518650"/>
    <s v="Ost.reklama-pren.plôch mimo AP"/>
    <s v="Výsledovka"/>
    <x v="0"/>
    <n v="21021.55"/>
    <n v="21021.55"/>
    <n v="24180.11"/>
    <n v="21021.55"/>
    <n v="0"/>
    <m/>
    <x v="139"/>
  </r>
  <r>
    <n v="518660"/>
    <s v="Reklama-Public relations"/>
    <s v="Výsledovka"/>
    <x v="0"/>
    <n v="46.24"/>
    <n v="46.24"/>
    <n v="46.24"/>
    <n v="46.24"/>
    <n v="0"/>
    <m/>
    <x v="139"/>
  </r>
  <r>
    <n v="518670"/>
    <s v="Náklady na akcie,výstavy,event"/>
    <s v="Výsledovka"/>
    <x v="0"/>
    <n v="19878.91"/>
    <n v="19878.91"/>
    <n v="19878.91"/>
    <n v="31713.41"/>
    <n v="11834.5"/>
    <m/>
    <x v="139"/>
  </r>
  <r>
    <n v="518680"/>
    <s v="Reklama - ostatná nedaňová"/>
    <s v="Výsledovka"/>
    <x v="0"/>
    <n v="0"/>
    <n v="0"/>
    <n v="0"/>
    <n v="0"/>
    <n v="0"/>
    <m/>
    <x v="139"/>
  </r>
  <r>
    <n v="518685"/>
    <s v="Reklama+inzercia na internete"/>
    <s v="Výsledovka"/>
    <x v="0"/>
    <n v="77485.350000000006"/>
    <n v="77485.350000000006"/>
    <n v="83871.22"/>
    <n v="99459.81"/>
    <n v="21974.46"/>
    <m/>
    <x v="139"/>
  </r>
  <r>
    <n v="518690"/>
    <s v="Ostatné obchodno-market.služby"/>
    <s v="Výsledovka"/>
    <x v="0"/>
    <n v="21297.27"/>
    <n v="21297.27"/>
    <n v="22889.27"/>
    <n v="23674.67"/>
    <n v="2377.4"/>
    <m/>
    <x v="139"/>
  </r>
  <r>
    <n v="518710"/>
    <s v="Parkovné a stojné - nové vozy"/>
    <s v="Výsledovka"/>
    <x v="0"/>
    <n v="0"/>
    <n v="0"/>
    <n v="0"/>
    <n v="0"/>
    <n v="0"/>
    <m/>
    <x v="139"/>
  </r>
  <r>
    <n v="518720"/>
    <s v="Prepravné"/>
    <s v="Výsledovka"/>
    <x v="0"/>
    <n v="1074.7"/>
    <n v="1074.7"/>
    <n v="1267.8499999999999"/>
    <n v="1074.7"/>
    <n v="0"/>
    <m/>
    <x v="139"/>
  </r>
  <r>
    <n v="518721"/>
    <s v="Prepravné-náklady odťah.služby"/>
    <s v="Výsledovka"/>
    <x v="0"/>
    <n v="750"/>
    <n v="750"/>
    <n v="750"/>
    <n v="750"/>
    <n v="0"/>
    <m/>
    <x v="139"/>
  </r>
  <r>
    <n v="518724"/>
    <s v="Lakovňa BMW"/>
    <s v="Výsledovka"/>
    <x v="0"/>
    <n v="80977.429999999993"/>
    <n v="80977.429999999993"/>
    <n v="80977.429999999993"/>
    <n v="80977.429999999993"/>
    <n v="0"/>
    <m/>
    <x v="139"/>
  </r>
  <r>
    <n v="518725"/>
    <s v="Dielňa BMW"/>
    <s v="Výsledovka"/>
    <x v="0"/>
    <n v="0"/>
    <n v="0"/>
    <n v="0"/>
    <n v="0"/>
    <n v="0"/>
    <m/>
    <x v="139"/>
  </r>
  <r>
    <n v="518728"/>
    <s v="Lakovňa MINI"/>
    <s v="Výsledovka"/>
    <x v="0"/>
    <n v="0"/>
    <n v="0"/>
    <n v="0"/>
    <n v="0"/>
    <n v="0"/>
    <m/>
    <x v="139"/>
  </r>
  <r>
    <n v="518729"/>
    <s v="Dielňa MINI"/>
    <s v="Výsledovka"/>
    <x v="0"/>
    <n v="0"/>
    <n v="0"/>
    <n v="0"/>
    <n v="0"/>
    <n v="0"/>
    <m/>
    <x v="139"/>
  </r>
  <r>
    <n v="518733"/>
    <s v="Externý servis ostatné"/>
    <s v="Výsledovka"/>
    <x v="0"/>
    <n v="27617.05"/>
    <n v="27617.05"/>
    <n v="29553.13"/>
    <n v="27619.05"/>
    <n v="2"/>
    <m/>
    <x v="139"/>
  </r>
  <r>
    <n v="518740"/>
    <s v="Sumár - externý servis -výkony"/>
    <s v="Výsledovka"/>
    <x v="2"/>
    <n v="108594.48"/>
    <n v="108594.48"/>
    <n v="110530.56"/>
    <n v="108596.48"/>
    <n v="2"/>
    <m/>
    <x v="139"/>
  </r>
  <r>
    <n v="518741"/>
    <s v="Nájom OOP, náradie - dielňa"/>
    <s v="Výsledovka"/>
    <x v="0"/>
    <n v="6099.4"/>
    <n v="6099.4"/>
    <n v="6193.15"/>
    <n v="7094.4"/>
    <n v="995"/>
    <m/>
    <x v="139"/>
  </r>
  <r>
    <n v="518750"/>
    <s v="Parkovné,mytie,ost.služby"/>
    <s v="Výsledovka"/>
    <x v="0"/>
    <n v="2955.26"/>
    <n v="2955.26"/>
    <n v="3135.26"/>
    <n v="4955.26"/>
    <n v="2000"/>
    <m/>
    <x v="139"/>
  </r>
  <r>
    <n v="518760"/>
    <s v="Upratovanie, čistenie"/>
    <s v="Výsledovka"/>
    <x v="0"/>
    <n v="53618.37"/>
    <n v="53618.37"/>
    <n v="61334.09"/>
    <n v="94593.37"/>
    <n v="40975"/>
    <m/>
    <x v="139"/>
  </r>
  <r>
    <n v="518770"/>
    <s v="Odvoz odpadu"/>
    <s v="Výsledovka"/>
    <x v="0"/>
    <n v="19454.48"/>
    <n v="19454.48"/>
    <n v="20478.91"/>
    <n v="19454.48"/>
    <n v="0"/>
    <m/>
    <x v="139"/>
  </r>
  <r>
    <n v="518775"/>
    <s v="Strážna služba"/>
    <s v="Výsledovka"/>
    <x v="0"/>
    <n v="62246.53"/>
    <n v="62246.53"/>
    <n v="72517.39"/>
    <n v="112546.53"/>
    <n v="50300"/>
    <m/>
    <x v="139"/>
  </r>
  <r>
    <n v="518790"/>
    <s v="Ostatné prev.-technické služby"/>
    <s v="Výsledovka"/>
    <x v="0"/>
    <n v="17122.84"/>
    <n v="17122.84"/>
    <n v="18192.84"/>
    <n v="17452.84"/>
    <n v="330"/>
    <m/>
    <x v="139"/>
  </r>
  <r>
    <n v="518810"/>
    <s v="Prihlasovanie vozidiel"/>
    <s v="Výsledovka"/>
    <x v="0"/>
    <n v="449773.87"/>
    <n v="449773.87"/>
    <n v="472204.57"/>
    <n v="450027.07"/>
    <n v="253.2"/>
    <m/>
    <x v="139"/>
  </r>
  <r>
    <n v="518830"/>
    <s v="Extern.čistenie skladových voz"/>
    <s v="Výsledovka"/>
    <x v="0"/>
    <n v="96262"/>
    <n v="96262"/>
    <n v="102392"/>
    <n v="96262"/>
    <n v="0"/>
    <m/>
    <x v="139"/>
  </r>
  <r>
    <n v="518840"/>
    <s v="Poplatky za prevozné značky"/>
    <s v="Výsledovka"/>
    <x v="0"/>
    <n v="0"/>
    <n v="0"/>
    <n v="0"/>
    <n v="0"/>
    <n v="0"/>
    <m/>
    <x v="139"/>
  </r>
  <r>
    <n v="518996"/>
    <s v="Cestovné a ubytovanie - nedaňové"/>
    <s v="Výsledovka"/>
    <x v="0"/>
    <n v="4595.1000000000004"/>
    <n v="4595.1000000000004"/>
    <n v="6089.42"/>
    <n v="4595.1000000000004"/>
    <n v="0"/>
    <m/>
    <x v="139"/>
  </r>
  <r>
    <n v="518997"/>
    <s v="Služby nedaňové"/>
    <s v="Výsledovka"/>
    <x v="0"/>
    <n v="0"/>
    <n v="0"/>
    <n v="0"/>
    <n v="1504.67"/>
    <n v="1504.67"/>
    <m/>
    <x v="139"/>
  </r>
  <r>
    <n v="518998"/>
    <s v="Sumár - ostatné služby"/>
    <s v="Výsledovka"/>
    <x v="2"/>
    <n v="2774061.06"/>
    <n v="2774061.06"/>
    <n v="2977387.97"/>
    <n v="3918871.33"/>
    <n v="1144810.27"/>
    <m/>
    <x v="139"/>
  </r>
  <r>
    <n v="518999"/>
    <s v="Sumár - služby"/>
    <s v="Výsledovka"/>
    <x v="2"/>
    <n v="2838940.09"/>
    <n v="2838940.09"/>
    <n v="3045648.88"/>
    <n v="3984229.84"/>
    <n v="1145289.75"/>
    <m/>
    <x v="139"/>
  </r>
  <r>
    <n v="520000"/>
    <s v="Osobné náklady"/>
    <s v="Výsledovka"/>
    <x v="1"/>
    <n v="0"/>
    <n v="0"/>
    <n v="0"/>
    <n v="0"/>
    <n v="0"/>
    <m/>
    <x v="140"/>
  </r>
  <r>
    <n v="521000"/>
    <s v="Mzdové náklady"/>
    <s v="Výsledovka"/>
    <x v="1"/>
    <n v="0"/>
    <n v="0"/>
    <n v="0"/>
    <n v="0"/>
    <n v="0"/>
    <m/>
    <x v="141"/>
  </r>
  <r>
    <n v="521100"/>
    <s v="Mzdy"/>
    <s v="Výsledovka"/>
    <x v="0"/>
    <n v="1886183.4"/>
    <n v="1886183.4"/>
    <n v="2157296.61"/>
    <n v="1950263.38"/>
    <n v="64079.98"/>
    <m/>
    <x v="141"/>
  </r>
  <r>
    <n v="521200"/>
    <s v="Mzdy - prémie"/>
    <s v="Výsledovka"/>
    <x v="0"/>
    <n v="0"/>
    <n v="0"/>
    <n v="0"/>
    <n v="0"/>
    <n v="0"/>
    <m/>
    <x v="141"/>
  </r>
  <r>
    <n v="521300"/>
    <s v="Mzdy - mimoriadne odmeny"/>
    <s v="Výsledovka"/>
    <x v="0"/>
    <n v="0"/>
    <n v="0"/>
    <n v="0"/>
    <n v="0"/>
    <n v="0"/>
    <m/>
    <x v="141"/>
  </r>
  <r>
    <n v="521350"/>
    <s v="Rezerva na odmeny"/>
    <s v="Výsledovka"/>
    <x v="0"/>
    <n v="8015"/>
    <n v="8015"/>
    <n v="-120885"/>
    <n v="313104"/>
    <n v="305089"/>
    <m/>
    <x v="141"/>
  </r>
  <r>
    <n v="521400"/>
    <s v="Priame mzdy - servis"/>
    <s v="Výsledovka"/>
    <x v="0"/>
    <n v="476163.03"/>
    <n v="476163.03"/>
    <n v="506349.7"/>
    <n v="476163.03"/>
    <n v="0"/>
    <m/>
    <x v="141"/>
  </r>
  <r>
    <n v="521600"/>
    <s v="Mzdové náklady - PN prvých 10"/>
    <s v="Výsledovka"/>
    <x v="0"/>
    <n v="4149.25"/>
    <n v="4149.25"/>
    <n v="4149.25"/>
    <n v="4149.25"/>
    <n v="0"/>
    <m/>
    <x v="141"/>
  </r>
  <r>
    <n v="521700"/>
    <s v="Mzdy-tvorba rezervy na dovolen"/>
    <s v="Výsledovka"/>
    <x v="0"/>
    <n v="-14379.21"/>
    <n v="-14379.21"/>
    <n v="-21162.21"/>
    <n v="68397.850000000006"/>
    <n v="82777.06"/>
    <m/>
    <x v="141"/>
  </r>
  <r>
    <n v="521900"/>
    <s v="Mzdy - nedaňové"/>
    <s v="Výsledovka"/>
    <x v="0"/>
    <n v="0"/>
    <n v="0"/>
    <n v="0"/>
    <n v="0"/>
    <n v="0"/>
    <m/>
    <x v="141"/>
  </r>
  <r>
    <n v="521999"/>
    <s v="Sumár - mzdové náklady"/>
    <s v="Výsledovka"/>
    <x v="2"/>
    <n v="2360131.4700000002"/>
    <n v="2360131.4700000002"/>
    <n v="2525748.35"/>
    <n v="2812077.51"/>
    <n v="451946.04"/>
    <m/>
    <x v="141"/>
  </r>
  <r>
    <n v="522000"/>
    <s v="Príjmy spoloč.a členov druž."/>
    <s v="Výsledovka"/>
    <x v="1"/>
    <n v="0"/>
    <n v="0"/>
    <n v="0"/>
    <n v="0"/>
    <n v="0"/>
    <m/>
    <x v="142"/>
  </r>
  <r>
    <n v="522100"/>
    <s v="Príjmy spoloč.a členov druž."/>
    <s v="Výsledovka"/>
    <x v="0"/>
    <n v="0"/>
    <n v="0"/>
    <n v="0"/>
    <n v="0"/>
    <n v="0"/>
    <m/>
    <x v="142"/>
  </r>
  <r>
    <n v="522999"/>
    <s v="Sumár-príj.spoloč.a členov dr."/>
    <s v="Výsledovka"/>
    <x v="2"/>
    <n v="0"/>
    <n v="0"/>
    <n v="0"/>
    <n v="0"/>
    <n v="0"/>
    <m/>
    <x v="142"/>
  </r>
  <r>
    <n v="523000"/>
    <s v="Odm.čl.org.spol.a druž."/>
    <s v="Výsledovka"/>
    <x v="1"/>
    <n v="0"/>
    <n v="0"/>
    <n v="0"/>
    <n v="0"/>
    <n v="0"/>
    <m/>
    <x v="143"/>
  </r>
  <r>
    <n v="523100"/>
    <s v="Odm.čl.org.spol.a druž."/>
    <s v="Výsledovka"/>
    <x v="0"/>
    <n v="0"/>
    <n v="0"/>
    <n v="0"/>
    <n v="0"/>
    <n v="0"/>
    <m/>
    <x v="143"/>
  </r>
  <r>
    <n v="523999"/>
    <s v="Sumár-Odm.čl.org.spol.a druž."/>
    <s v="Výsledovka"/>
    <x v="2"/>
    <n v="0"/>
    <n v="0"/>
    <n v="0"/>
    <n v="0"/>
    <n v="0"/>
    <m/>
    <x v="143"/>
  </r>
  <r>
    <n v="524000"/>
    <s v="Zákonné sociálne poistenie"/>
    <s v="Výsledovka"/>
    <x v="1"/>
    <n v="0"/>
    <n v="0"/>
    <n v="0"/>
    <n v="0"/>
    <n v="0"/>
    <m/>
    <x v="144"/>
  </r>
  <r>
    <n v="524100"/>
    <s v="Zdravotné poistenie"/>
    <s v="Výsledovka"/>
    <x v="0"/>
    <n v="197976.02"/>
    <n v="197976.02"/>
    <n v="225759.3"/>
    <n v="210684.02"/>
    <n v="12708"/>
    <m/>
    <x v="144"/>
  </r>
  <r>
    <n v="524200"/>
    <s v="Sociálne poistenie"/>
    <s v="Výsledovka"/>
    <x v="0"/>
    <n v="477307.26"/>
    <n v="477307.26"/>
    <n v="535680.56999999995"/>
    <n v="487155.39"/>
    <n v="9848.1299999999992"/>
    <m/>
    <x v="144"/>
  </r>
  <r>
    <n v="524350"/>
    <s v="Odvody k rezerve na odmeny"/>
    <s v="Výsledovka"/>
    <x v="0"/>
    <n v="20991.62"/>
    <n v="20991.62"/>
    <n v="-19403.38"/>
    <n v="96299"/>
    <n v="75307.38"/>
    <m/>
    <x v="144"/>
  </r>
  <r>
    <n v="524400"/>
    <s v="Odvody k priamym mzdám"/>
    <s v="Výsledovka"/>
    <x v="0"/>
    <n v="167609.4"/>
    <n v="167609.4"/>
    <n v="178235.1"/>
    <n v="167609.4"/>
    <n v="0"/>
    <m/>
    <x v="144"/>
  </r>
  <r>
    <n v="524700"/>
    <s v="Tvorba rezer. na poist.z dovol"/>
    <s v="Výsledovka"/>
    <x v="0"/>
    <n v="-5061.46"/>
    <n v="-5061.46"/>
    <n v="-7449.08"/>
    <n v="24076.06"/>
    <n v="29137.52"/>
    <m/>
    <x v="144"/>
  </r>
  <r>
    <n v="524999"/>
    <s v="Sumár - zák. sociálne poist."/>
    <s v="Výsledovka"/>
    <x v="2"/>
    <n v="858822.84"/>
    <n v="858822.84"/>
    <n v="912822.51"/>
    <n v="985823.87"/>
    <n v="127001.03"/>
    <m/>
    <x v="144"/>
  </r>
  <r>
    <n v="525000"/>
    <s v="Ost. soc. poistenie"/>
    <s v="Výsledovka"/>
    <x v="1"/>
    <n v="0"/>
    <n v="0"/>
    <n v="0"/>
    <n v="0"/>
    <n v="0"/>
    <m/>
    <x v="145"/>
  </r>
  <r>
    <n v="525999"/>
    <s v="Sumár - Ost. soc. poistenie"/>
    <s v="Výsledovka"/>
    <x v="2"/>
    <n v="0"/>
    <n v="0"/>
    <n v="0"/>
    <n v="0"/>
    <n v="0"/>
    <m/>
    <x v="145"/>
  </r>
  <r>
    <n v="526000"/>
    <s v="Soc.nákl.FO - podnik."/>
    <s v="Výsledovka"/>
    <x v="1"/>
    <n v="0"/>
    <n v="0"/>
    <n v="0"/>
    <n v="0"/>
    <n v="0"/>
    <m/>
    <x v="146"/>
  </r>
  <r>
    <n v="526999"/>
    <s v="Sumár - Soc.nákl.FO - podnik."/>
    <s v="Výsledovka"/>
    <x v="2"/>
    <n v="0"/>
    <n v="0"/>
    <n v="0"/>
    <n v="0"/>
    <n v="0"/>
    <m/>
    <x v="146"/>
  </r>
  <r>
    <n v="527000"/>
    <s v="Zákonné sociálne náklady"/>
    <s v="Výsledovka"/>
    <x v="1"/>
    <n v="0"/>
    <n v="0"/>
    <n v="0"/>
    <n v="0"/>
    <n v="0"/>
    <m/>
    <x v="147"/>
  </r>
  <r>
    <n v="527100"/>
    <s v="Príspevok na stravovanie"/>
    <s v="Výsledovka"/>
    <x v="0"/>
    <n v="44187"/>
    <n v="44187"/>
    <n v="47399"/>
    <n v="44187"/>
    <n v="0"/>
    <m/>
    <x v="147"/>
  </r>
  <r>
    <n v="527200"/>
    <s v="Tvorba sociálneho fondu"/>
    <s v="Výsledovka"/>
    <x v="0"/>
    <n v="11983.17"/>
    <n v="11983.17"/>
    <n v="13579.59"/>
    <n v="11983.17"/>
    <n v="0"/>
    <m/>
    <x v="147"/>
  </r>
  <r>
    <n v="527300"/>
    <s v="Rekreačné poukazy"/>
    <s v="Výsledovka"/>
    <x v="0"/>
    <n v="1703.94"/>
    <n v="1703.94"/>
    <n v="1703.94"/>
    <n v="5278.94"/>
    <n v="3575"/>
    <m/>
    <x v="147"/>
  </r>
  <r>
    <n v="527900"/>
    <s v="Ostatné sociálne náklady"/>
    <s v="Výsledovka"/>
    <x v="0"/>
    <n v="8008.81"/>
    <n v="8008.81"/>
    <n v="11122.78"/>
    <n v="8014.35"/>
    <n v="5.54"/>
    <m/>
    <x v="147"/>
  </r>
  <r>
    <n v="527990"/>
    <s v="Tvorba SF nad rámec - nedaňová"/>
    <s v="Výsledovka"/>
    <x v="0"/>
    <n v="28049.98"/>
    <n v="28049.98"/>
    <n v="28899.97"/>
    <n v="28049.98"/>
    <n v="0"/>
    <m/>
    <x v="147"/>
  </r>
  <r>
    <n v="527999"/>
    <s v="Sumár - zák. sociálne náklady"/>
    <s v="Výsledovka"/>
    <x v="2"/>
    <n v="93932.9"/>
    <n v="93932.9"/>
    <n v="102705.28"/>
    <n v="97513.44"/>
    <n v="3580.54"/>
    <m/>
    <x v="147"/>
  </r>
  <r>
    <n v="528000"/>
    <s v="Ostatné sociálne náklady"/>
    <s v="Výsledovka"/>
    <x v="1"/>
    <n v="0"/>
    <n v="0"/>
    <n v="0"/>
    <n v="0"/>
    <n v="0"/>
    <m/>
    <x v="148"/>
  </r>
  <r>
    <n v="528100"/>
    <s v="Sociálne náklady - nedaňové"/>
    <s v="Výsledovka"/>
    <x v="0"/>
    <n v="3864.13"/>
    <n v="3864.13"/>
    <n v="3864.13"/>
    <n v="3864.13"/>
    <n v="0"/>
    <m/>
    <x v="148"/>
  </r>
  <r>
    <n v="528900"/>
    <s v="Ostatné sociálne náklady"/>
    <s v="Výsledovka"/>
    <x v="0"/>
    <n v="0"/>
    <n v="0"/>
    <n v="0"/>
    <n v="0"/>
    <n v="0"/>
    <m/>
    <x v="148"/>
  </r>
  <r>
    <n v="528999"/>
    <s v="Sumár - ost. sociálne náklady"/>
    <s v="Výsledovka"/>
    <x v="2"/>
    <n v="3864.13"/>
    <n v="3864.13"/>
    <n v="3864.13"/>
    <n v="3864.13"/>
    <n v="0"/>
    <m/>
    <x v="148"/>
  </r>
  <r>
    <n v="529999"/>
    <s v="Sumár - osobné náklady"/>
    <s v="Výsledovka"/>
    <x v="2"/>
    <n v="3316751.34"/>
    <n v="3316751.34"/>
    <n v="3545140.27"/>
    <n v="3899278.95"/>
    <n v="582527.61"/>
    <m/>
    <x v="149"/>
  </r>
  <r>
    <n v="530000"/>
    <s v="Dane a poplatky"/>
    <s v="Výsledovka"/>
    <x v="1"/>
    <n v="0"/>
    <n v="0"/>
    <n v="0"/>
    <n v="0"/>
    <n v="0"/>
    <m/>
    <x v="150"/>
  </r>
  <r>
    <n v="531000"/>
    <s v="Cestná daň"/>
    <s v="Výsledovka"/>
    <x v="1"/>
    <n v="0"/>
    <n v="0"/>
    <n v="0"/>
    <n v="0"/>
    <n v="0"/>
    <m/>
    <x v="151"/>
  </r>
  <r>
    <n v="531100"/>
    <s v="Cestná daň"/>
    <s v="Výsledovka"/>
    <x v="0"/>
    <n v="9455.25"/>
    <n v="9455.25"/>
    <n v="9059.5499999999993"/>
    <n v="9455.25"/>
    <n v="0"/>
    <m/>
    <x v="151"/>
  </r>
  <r>
    <n v="531999"/>
    <s v="Sumár - cestná daň"/>
    <s v="Výsledovka"/>
    <x v="2"/>
    <n v="9455.25"/>
    <n v="9455.25"/>
    <n v="9059.5499999999993"/>
    <n v="9455.25"/>
    <n v="0"/>
    <m/>
    <x v="151"/>
  </r>
  <r>
    <n v="532000"/>
    <s v="Daň z nehnuteľnosti"/>
    <s v="Výsledovka"/>
    <x v="1"/>
    <n v="0"/>
    <n v="0"/>
    <n v="0"/>
    <n v="0"/>
    <n v="0"/>
    <m/>
    <x v="152"/>
  </r>
  <r>
    <n v="532999"/>
    <s v="Sumár - daň z nehnuteľnosti"/>
    <s v="Výsledovka"/>
    <x v="2"/>
    <n v="0"/>
    <n v="0"/>
    <n v="0"/>
    <n v="0"/>
    <n v="0"/>
    <m/>
    <x v="152"/>
  </r>
  <r>
    <n v="538000"/>
    <s v="Ostatné dane a poplatky"/>
    <s v="Výsledovka"/>
    <x v="1"/>
    <n v="0"/>
    <n v="0"/>
    <n v="0"/>
    <n v="0"/>
    <n v="0"/>
    <m/>
    <x v="153"/>
  </r>
  <r>
    <n v="538100"/>
    <s v="Poplatky v kolkoch"/>
    <s v="Výsledovka"/>
    <x v="0"/>
    <n v="16.5"/>
    <n v="16.5"/>
    <n v="16.5"/>
    <n v="16.5"/>
    <n v="0"/>
    <m/>
    <x v="153"/>
  </r>
  <r>
    <n v="538300"/>
    <s v="Ostatné dane a poplatky"/>
    <s v="Výsledovka"/>
    <x v="0"/>
    <n v="1107.92"/>
    <n v="1107.92"/>
    <n v="1346.9"/>
    <n v="1107.92"/>
    <n v="0"/>
    <m/>
    <x v="153"/>
  </r>
  <r>
    <n v="538500"/>
    <s v="Ostatné dane a poplatky -súdne"/>
    <s v="Výsledovka"/>
    <x v="0"/>
    <n v="4089.89"/>
    <n v="4089.89"/>
    <n v="4089.89"/>
    <n v="4089.89"/>
    <n v="0"/>
    <m/>
    <x v="153"/>
  </r>
  <r>
    <n v="538900"/>
    <s v="Ost. dane a koncesionárske pop"/>
    <s v="Výsledovka"/>
    <x v="0"/>
    <n v="0"/>
    <n v="0"/>
    <n v="0"/>
    <n v="0"/>
    <n v="0"/>
    <m/>
    <x v="153"/>
  </r>
  <r>
    <n v="538999"/>
    <s v="Sumár - ost.dane a poplatky"/>
    <s v="Výsledovka"/>
    <x v="2"/>
    <n v="5214.3100000000004"/>
    <n v="5214.3100000000004"/>
    <n v="5453.29"/>
    <n v="5214.3100000000004"/>
    <n v="0"/>
    <m/>
    <x v="153"/>
  </r>
  <r>
    <n v="539999"/>
    <s v="Sumár - dane a poplatky"/>
    <s v="Výsledovka"/>
    <x v="2"/>
    <n v="14669.56"/>
    <n v="14669.56"/>
    <n v="14512.84"/>
    <n v="14669.56"/>
    <n v="0"/>
    <m/>
    <x v="154"/>
  </r>
  <r>
    <n v="540000"/>
    <s v="Iné náklady na hosp. činnosť"/>
    <s v="Výsledovka"/>
    <x v="1"/>
    <n v="0"/>
    <n v="0"/>
    <n v="0"/>
    <n v="0"/>
    <n v="0"/>
    <m/>
    <x v="155"/>
  </r>
  <r>
    <n v="541000"/>
    <s v="ZC predaného DNM a DHIM"/>
    <s v="Výsledovka"/>
    <x v="1"/>
    <n v="0"/>
    <n v="0"/>
    <n v="0"/>
    <n v="0"/>
    <n v="0"/>
    <m/>
    <x v="156"/>
  </r>
  <r>
    <n v="541082"/>
    <s v="ZC predaného HIM - zariadenia"/>
    <s v="Výsledovka"/>
    <x v="0"/>
    <n v="242.35"/>
    <n v="242.35"/>
    <n v="242.35"/>
    <n v="242.35"/>
    <n v="0"/>
    <m/>
    <x v="156"/>
  </r>
  <r>
    <n v="541084"/>
    <s v="ZC predaného majetku -inventár"/>
    <s v="Výsledovka"/>
    <x v="0"/>
    <n v="0"/>
    <n v="0"/>
    <n v="0"/>
    <n v="0"/>
    <n v="0"/>
    <m/>
    <x v="156"/>
  </r>
  <r>
    <n v="541401"/>
    <s v="ZC - autá predvádzacie"/>
    <s v="Výsledovka"/>
    <x v="0"/>
    <n v="6126710.79"/>
    <n v="6126710.79"/>
    <n v="6587983.7800000003"/>
    <n v="6126962.6900000004"/>
    <n v="251.9"/>
    <m/>
    <x v="156"/>
  </r>
  <r>
    <n v="541402"/>
    <s v="ZC - autá servisné NVS"/>
    <s v="Výsledovka"/>
    <x v="0"/>
    <n v="264188.18"/>
    <n v="264188.18"/>
    <n v="264188.18"/>
    <n v="264188.18"/>
    <n v="0"/>
    <m/>
    <x v="156"/>
  </r>
  <r>
    <n v="541404"/>
    <s v="ZC - autá ostatné"/>
    <s v="Výsledovka"/>
    <x v="0"/>
    <n v="30429.13"/>
    <n v="30429.13"/>
    <n v="30429.13"/>
    <n v="30429.13"/>
    <n v="0"/>
    <m/>
    <x v="156"/>
  </r>
  <r>
    <n v="541420"/>
    <s v="ZC voz. maj. BMW 3"/>
    <s v="Výsledovka"/>
    <x v="0"/>
    <n v="0"/>
    <n v="0"/>
    <n v="0"/>
    <n v="0"/>
    <n v="0"/>
    <m/>
    <x v="156"/>
  </r>
  <r>
    <n v="541430"/>
    <s v="ZC voz. maj. BMW 5"/>
    <s v="Výsledovka"/>
    <x v="0"/>
    <n v="0"/>
    <n v="0"/>
    <n v="0"/>
    <n v="0"/>
    <n v="0"/>
    <m/>
    <x v="156"/>
  </r>
  <r>
    <n v="541480"/>
    <s v="ZC voz. maj. BMW X5"/>
    <s v="Výsledovka"/>
    <x v="0"/>
    <n v="0"/>
    <n v="0"/>
    <n v="0"/>
    <n v="0"/>
    <n v="0"/>
    <m/>
    <x v="156"/>
  </r>
  <r>
    <n v="541500"/>
    <s v="ZC voz. maj. BMW Z"/>
    <s v="Výsledovka"/>
    <x v="0"/>
    <n v="0"/>
    <n v="0"/>
    <n v="0"/>
    <n v="0"/>
    <n v="0"/>
    <m/>
    <x v="156"/>
  </r>
  <r>
    <n v="541601"/>
    <s v="Podpory a zmeny ceny DEMO"/>
    <s v="Výsledovka"/>
    <x v="0"/>
    <n v="-974132.84"/>
    <n v="-974132.84"/>
    <n v="-1057249.6100000001"/>
    <n v="48760.29"/>
    <n v="1022893.13"/>
    <m/>
    <x v="156"/>
  </r>
  <r>
    <n v="541602"/>
    <s v="Podpory a zmeny ceny NVS"/>
    <s v="Výsledovka"/>
    <x v="0"/>
    <n v="0"/>
    <n v="0"/>
    <n v="0"/>
    <n v="0"/>
    <n v="0"/>
    <m/>
    <x v="156"/>
  </r>
  <r>
    <n v="541603"/>
    <s v="Zmena predplatby na podp.DEMO"/>
    <s v="Výsledovka"/>
    <x v="0"/>
    <n v="-81617.64"/>
    <n v="-81617.64"/>
    <n v="-81617.64"/>
    <n v="116281.60000000001"/>
    <n v="197899.24"/>
    <m/>
    <x v="156"/>
  </r>
  <r>
    <n v="541701"/>
    <s v="SSCC DEMO podpora"/>
    <s v="Výsledovka"/>
    <x v="0"/>
    <n v="0"/>
    <n v="0"/>
    <n v="0"/>
    <n v="0"/>
    <n v="0"/>
    <m/>
    <x v="156"/>
  </r>
  <r>
    <n v="541999"/>
    <s v="Sumár -ZC predaného DNM a DHIM"/>
    <s v="Výsledovka"/>
    <x v="2"/>
    <n v="5365819.97"/>
    <n v="5365819.97"/>
    <n v="5743976.1900000004"/>
    <n v="6586864.2400000002"/>
    <n v="1221044.27"/>
    <m/>
    <x v="156"/>
  </r>
  <r>
    <n v="542000"/>
    <s v="Predaný materiál"/>
    <s v="Výsledovka"/>
    <x v="1"/>
    <n v="0"/>
    <n v="0"/>
    <n v="0"/>
    <n v="0"/>
    <n v="0"/>
    <m/>
    <x v="157"/>
  </r>
  <r>
    <n v="542100"/>
    <s v="Predaný materiál"/>
    <s v="Výsledovka"/>
    <x v="0"/>
    <n v="0"/>
    <n v="0"/>
    <n v="0"/>
    <n v="0"/>
    <n v="0"/>
    <m/>
    <x v="157"/>
  </r>
  <r>
    <n v="542710"/>
    <s v="Predaný materiál - ND BMW"/>
    <s v="Výsledovka"/>
    <x v="1"/>
    <n v="0"/>
    <n v="0"/>
    <n v="0"/>
    <n v="0"/>
    <n v="0"/>
    <m/>
    <x v="157"/>
  </r>
  <r>
    <n v="542719"/>
    <s v="Sumár - predaný mat. ND BMW"/>
    <s v="Výsledovka"/>
    <x v="2"/>
    <n v="0"/>
    <n v="0"/>
    <n v="0"/>
    <n v="0"/>
    <n v="0"/>
    <m/>
    <x v="157"/>
  </r>
  <r>
    <n v="542720"/>
    <s v="Predaný materiál - ND MINI"/>
    <s v="Výsledovka"/>
    <x v="1"/>
    <n v="0"/>
    <n v="0"/>
    <n v="0"/>
    <n v="0"/>
    <n v="0"/>
    <m/>
    <x v="157"/>
  </r>
  <r>
    <n v="542729"/>
    <s v="Sumár - predaný mat. ND MINI"/>
    <s v="Výsledovka"/>
    <x v="2"/>
    <n v="0"/>
    <n v="0"/>
    <n v="0"/>
    <n v="0"/>
    <n v="0"/>
    <m/>
    <x v="157"/>
  </r>
  <r>
    <n v="542999"/>
    <s v="Sumár - Predaný materiál"/>
    <s v="Výsledovka"/>
    <x v="2"/>
    <n v="0"/>
    <n v="0"/>
    <n v="0"/>
    <n v="0"/>
    <n v="0"/>
    <m/>
    <x v="157"/>
  </r>
  <r>
    <n v="543000"/>
    <s v="Dary"/>
    <s v="Výsledovka"/>
    <x v="1"/>
    <n v="0"/>
    <n v="0"/>
    <n v="0"/>
    <n v="0"/>
    <n v="0"/>
    <m/>
    <x v="158"/>
  </r>
  <r>
    <n v="543100"/>
    <s v="Dary"/>
    <s v="Výsledovka"/>
    <x v="0"/>
    <n v="1200"/>
    <n v="1200"/>
    <n v="1200"/>
    <n v="1200"/>
    <n v="0"/>
    <m/>
    <x v="158"/>
  </r>
  <r>
    <n v="543999"/>
    <s v="Sumár - dary"/>
    <s v="Výsledovka"/>
    <x v="2"/>
    <n v="1200"/>
    <n v="1200"/>
    <n v="1200"/>
    <n v="1200"/>
    <n v="0"/>
    <m/>
    <x v="158"/>
  </r>
  <r>
    <n v="544000"/>
    <s v="Zmluvné pokuty a penále"/>
    <s v="Výsledovka"/>
    <x v="1"/>
    <n v="0"/>
    <n v="0"/>
    <n v="0"/>
    <n v="0"/>
    <n v="0"/>
    <m/>
    <x v="159"/>
  </r>
  <r>
    <n v="544100"/>
    <s v="Úroky z omeškania dodávok BMW"/>
    <s v="Výsledovka"/>
    <x v="0"/>
    <n v="0"/>
    <n v="0"/>
    <n v="0"/>
    <n v="0"/>
    <n v="0"/>
    <m/>
    <x v="159"/>
  </r>
  <r>
    <n v="544300"/>
    <s v="Ostatné zmluvné pokuty"/>
    <s v="Výsledovka"/>
    <x v="0"/>
    <n v="7.04"/>
    <n v="7.04"/>
    <n v="7.04"/>
    <n v="7.04"/>
    <n v="0"/>
    <m/>
    <x v="159"/>
  </r>
  <r>
    <n v="544999"/>
    <s v="Sumár -zmluvné pokuty a penále"/>
    <s v="Výsledovka"/>
    <x v="2"/>
    <n v="7.04"/>
    <n v="7.04"/>
    <n v="7.04"/>
    <n v="7.04"/>
    <n v="0"/>
    <m/>
    <x v="159"/>
  </r>
  <r>
    <n v="545000"/>
    <s v="Ostatné pokuty,penále, úr.z om"/>
    <s v="Výsledovka"/>
    <x v="1"/>
    <n v="0"/>
    <n v="0"/>
    <n v="0"/>
    <n v="0"/>
    <n v="0"/>
    <m/>
    <x v="160"/>
  </r>
  <r>
    <n v="545100"/>
    <s v="Ostatné pokuty a penále"/>
    <s v="Výsledovka"/>
    <x v="0"/>
    <n v="730"/>
    <n v="730"/>
    <n v="730"/>
    <n v="730"/>
    <n v="0"/>
    <m/>
    <x v="160"/>
  </r>
  <r>
    <n v="545999"/>
    <s v="Sumár -ostatné pokuty a penále"/>
    <s v="Výsledovka"/>
    <x v="2"/>
    <n v="730"/>
    <n v="730"/>
    <n v="730"/>
    <n v="730"/>
    <n v="0"/>
    <m/>
    <x v="160"/>
  </r>
  <r>
    <n v="546000"/>
    <s v="Odpis pohľadávky"/>
    <s v="Výsledovka"/>
    <x v="1"/>
    <n v="0"/>
    <n v="0"/>
    <n v="0"/>
    <n v="0"/>
    <n v="0"/>
    <m/>
    <x v="161"/>
  </r>
  <r>
    <n v="546100"/>
    <s v="Odpis pohľadávky - nedaňový"/>
    <s v="Výsledovka"/>
    <x v="0"/>
    <n v="1363.59"/>
    <n v="1363.59"/>
    <n v="1363.59"/>
    <n v="1363.59"/>
    <n v="0"/>
    <m/>
    <x v="161"/>
  </r>
  <r>
    <n v="546200"/>
    <s v="Postúpené pohľadávky"/>
    <s v="Výsledovka"/>
    <x v="0"/>
    <n v="0"/>
    <n v="0"/>
    <n v="0"/>
    <n v="0"/>
    <n v="0"/>
    <m/>
    <x v="161"/>
  </r>
  <r>
    <n v="546300"/>
    <s v="Odpis pohľadávky - daňový"/>
    <s v="Výsledovka"/>
    <x v="0"/>
    <n v="2936.27"/>
    <n v="2936.27"/>
    <n v="2936.27"/>
    <n v="2936.27"/>
    <n v="0"/>
    <m/>
    <x v="161"/>
  </r>
  <r>
    <n v="546999"/>
    <s v="Sumár - odpis pohľadávky"/>
    <s v="Výsledovka"/>
    <x v="2"/>
    <n v="4299.8599999999997"/>
    <n v="4299.8599999999997"/>
    <n v="4299.8599999999997"/>
    <n v="4299.8599999999997"/>
    <n v="0"/>
    <m/>
    <x v="161"/>
  </r>
  <r>
    <n v="547000"/>
    <s v="Tvorba a zúč.opr.pol.k pohľ."/>
    <s v="Výsledovka"/>
    <x v="1"/>
    <n v="0"/>
    <n v="0"/>
    <n v="0"/>
    <n v="0"/>
    <n v="0"/>
    <m/>
    <x v="162"/>
  </r>
  <r>
    <n v="547100"/>
    <s v="Tvorba a zúč.opr.pol.k pohľ."/>
    <s v="Výsledovka"/>
    <x v="0"/>
    <n v="0"/>
    <n v="0"/>
    <n v="0"/>
    <n v="0"/>
    <n v="0"/>
    <m/>
    <x v="162"/>
  </r>
  <r>
    <n v="547999"/>
    <s v="Sumár-Tvor.a zúč.op.pol.k pohľ"/>
    <s v="Výsledovka"/>
    <x v="2"/>
    <n v="0"/>
    <n v="0"/>
    <n v="0"/>
    <n v="0"/>
    <n v="0"/>
    <m/>
    <x v="162"/>
  </r>
  <r>
    <n v="548000"/>
    <s v="Ostatné nákl.na hosp.činnosť"/>
    <s v="Výsledovka"/>
    <x v="1"/>
    <n v="0"/>
    <n v="0"/>
    <n v="0"/>
    <n v="0"/>
    <n v="0"/>
    <m/>
    <x v="163"/>
  </r>
  <r>
    <n v="548100"/>
    <s v="Centové vyrovnanie"/>
    <s v="Výsledovka"/>
    <x v="0"/>
    <n v="24.35"/>
    <n v="24.35"/>
    <n v="24.38"/>
    <n v="26.48"/>
    <n v="2.13"/>
    <m/>
    <x v="163"/>
  </r>
  <r>
    <n v="548120"/>
    <s v="Ost.prev.N-trovy exekúcie"/>
    <s v="Výsledovka"/>
    <x v="0"/>
    <n v="638"/>
    <n v="638"/>
    <n v="638"/>
    <n v="638"/>
    <n v="0"/>
    <m/>
    <x v="163"/>
  </r>
  <r>
    <n v="548200"/>
    <s v="Poistenie mot. voz./PZP+KASKO/"/>
    <s v="Výsledovka"/>
    <x v="0"/>
    <n v="120020.17"/>
    <n v="120020.17"/>
    <n v="139019.59"/>
    <n v="134356.39000000001"/>
    <n v="14336.22"/>
    <m/>
    <x v="163"/>
  </r>
  <r>
    <n v="548310"/>
    <s v="Poistenie zásob"/>
    <s v="Výsledovka"/>
    <x v="0"/>
    <n v="12108.3"/>
    <n v="12108.3"/>
    <n v="13108.3"/>
    <n v="21108.3"/>
    <n v="9000"/>
    <m/>
    <x v="163"/>
  </r>
  <r>
    <n v="548320"/>
    <s v="Poistenie majetku"/>
    <s v="Výsledovka"/>
    <x v="0"/>
    <n v="4256.95"/>
    <n v="4256.95"/>
    <n v="4503.87"/>
    <n v="4256.95"/>
    <n v="0"/>
    <m/>
    <x v="163"/>
  </r>
  <r>
    <n v="548330"/>
    <s v="Poistenie zodpovednosti firmy"/>
    <s v="Výsledovka"/>
    <x v="0"/>
    <n v="3572.69"/>
    <n v="3572.69"/>
    <n v="3875.81"/>
    <n v="3572.69"/>
    <n v="0"/>
    <m/>
    <x v="163"/>
  </r>
  <r>
    <n v="548340"/>
    <s v="Poist.prepravy zásielok,výstav"/>
    <s v="Výsledovka"/>
    <x v="0"/>
    <n v="563.35"/>
    <n v="563.35"/>
    <n v="1461.92"/>
    <n v="4463.3500000000004"/>
    <n v="3900"/>
    <m/>
    <x v="163"/>
  </r>
  <r>
    <n v="548350"/>
    <s v="Poist zodpovednost-zamestnanci"/>
    <s v="Výsledovka"/>
    <x v="0"/>
    <n v="10914.02"/>
    <n v="10914.02"/>
    <n v="11831.44"/>
    <n v="10914.02"/>
    <n v="0"/>
    <m/>
    <x v="163"/>
  </r>
  <r>
    <n v="548700"/>
    <s v="Reklamácie predaných vozidiel"/>
    <s v="Výsledovka"/>
    <x v="0"/>
    <n v="0"/>
    <n v="0"/>
    <n v="0"/>
    <n v="0"/>
    <n v="0"/>
    <m/>
    <x v="163"/>
  </r>
  <r>
    <n v="548800"/>
    <s v="Spoluúčasti - opravy APBA voz."/>
    <s v="Výsledovka"/>
    <x v="0"/>
    <n v="9462.2999999999993"/>
    <n v="9462.2999999999993"/>
    <n v="9762.2999999999993"/>
    <n v="10277.58"/>
    <n v="815.28"/>
    <m/>
    <x v="163"/>
  </r>
  <r>
    <n v="548805"/>
    <s v="Spoluúčasť na opravách servisu"/>
    <s v="Výsledovka"/>
    <x v="0"/>
    <n v="600"/>
    <n v="600"/>
    <n v="600"/>
    <n v="600"/>
    <n v="0"/>
    <m/>
    <x v="163"/>
  </r>
  <r>
    <n v="548810"/>
    <s v="Odpis neuznaných vrátených ND"/>
    <s v="Výsledovka"/>
    <x v="0"/>
    <n v="0"/>
    <n v="0"/>
    <n v="0"/>
    <n v="0"/>
    <n v="0"/>
    <m/>
    <x v="163"/>
  </r>
  <r>
    <n v="548820"/>
    <s v="Náklady na zošrotované ND"/>
    <s v="Výsledovka"/>
    <x v="0"/>
    <n v="0"/>
    <n v="0"/>
    <n v="0"/>
    <n v="0"/>
    <n v="0"/>
    <m/>
    <x v="163"/>
  </r>
  <r>
    <n v="548900"/>
    <s v="Ost.prev.nákl.-nedaňové"/>
    <s v="Výsledovka"/>
    <x v="0"/>
    <n v="7302.79"/>
    <n v="7302.79"/>
    <n v="7021.63"/>
    <n v="7302.79"/>
    <n v="0"/>
    <m/>
    <x v="163"/>
  </r>
  <r>
    <n v="548950"/>
    <s v="Nevyžiadaná DPH"/>
    <s v="Výsledovka"/>
    <x v="0"/>
    <n v="0"/>
    <n v="0"/>
    <n v="0"/>
    <n v="0"/>
    <n v="0"/>
    <m/>
    <x v="163"/>
  </r>
  <r>
    <n v="548990"/>
    <s v="Nevyžiadaná DPH - nedaňová"/>
    <s v="Výsledovka"/>
    <x v="0"/>
    <n v="557.17999999999995"/>
    <n v="557.17999999999995"/>
    <n v="557.17999999999995"/>
    <n v="557.17999999999995"/>
    <n v="0"/>
    <m/>
    <x v="163"/>
  </r>
  <r>
    <n v="548999"/>
    <s v="Sumár - ostatné N na hosp.čin."/>
    <s v="Výsledovka"/>
    <x v="2"/>
    <n v="170020.1"/>
    <n v="170020.1"/>
    <n v="192404.42"/>
    <n v="198073.73"/>
    <n v="28053.63"/>
    <m/>
    <x v="163"/>
  </r>
  <r>
    <n v="549000"/>
    <s v="Manká a škody"/>
    <s v="Výsledovka"/>
    <x v="1"/>
    <n v="0"/>
    <n v="0"/>
    <n v="0"/>
    <n v="0"/>
    <n v="0"/>
    <m/>
    <x v="164"/>
  </r>
  <r>
    <n v="549100"/>
    <s v="Manká a škody na HIM a DHIM"/>
    <s v="Výsledovka"/>
    <x v="0"/>
    <n v="0"/>
    <n v="0"/>
    <n v="0"/>
    <n v="0"/>
    <n v="0"/>
    <m/>
    <x v="164"/>
  </r>
  <r>
    <n v="549300"/>
    <s v="Manká a škody - sklad ND"/>
    <s v="Výsledovka"/>
    <x v="0"/>
    <n v="0"/>
    <n v="0"/>
    <n v="0"/>
    <n v="0"/>
    <n v="0"/>
    <m/>
    <x v="164"/>
  </r>
  <r>
    <n v="549800"/>
    <s v="Manká a škody - krádež vozidla"/>
    <s v="Výsledovka"/>
    <x v="0"/>
    <n v="0"/>
    <n v="0"/>
    <n v="0"/>
    <n v="0"/>
    <n v="0"/>
    <m/>
    <x v="164"/>
  </r>
  <r>
    <n v="549998"/>
    <s v="Sumár - manká a škody"/>
    <s v="Výsledovka"/>
    <x v="2"/>
    <n v="0"/>
    <n v="0"/>
    <n v="0"/>
    <n v="0"/>
    <n v="0"/>
    <m/>
    <x v="164"/>
  </r>
  <r>
    <n v="549999"/>
    <s v="Sumár - iné nákl.na hosp.činn."/>
    <s v="Výsledovka"/>
    <x v="2"/>
    <n v="5542076.9699999997"/>
    <n v="5542076.9699999997"/>
    <n v="5942617.5099999998"/>
    <n v="6791174.8700000001"/>
    <n v="1249097.8999999999"/>
    <m/>
    <x v="164"/>
  </r>
  <r>
    <n v="550000"/>
    <s v="Odpisy,rez.a opr.pol.prev.nákl"/>
    <s v="Výsledovka"/>
    <x v="1"/>
    <n v="0"/>
    <n v="0"/>
    <n v="0"/>
    <n v="0"/>
    <n v="0"/>
    <m/>
    <x v="165"/>
  </r>
  <r>
    <n v="551000"/>
    <s v="Odpisy"/>
    <s v="Výsledovka"/>
    <x v="1"/>
    <n v="0"/>
    <n v="0"/>
    <n v="0"/>
    <n v="0"/>
    <n v="0"/>
    <m/>
    <x v="166"/>
  </r>
  <r>
    <n v="551073"/>
    <s v="Odpisy - softvér a ost. NIM"/>
    <s v="Výsledovka"/>
    <x v="0"/>
    <n v="971.42"/>
    <n v="971.42"/>
    <n v="1046.25"/>
    <n v="971.42"/>
    <n v="0"/>
    <m/>
    <x v="166"/>
  </r>
  <r>
    <n v="551081"/>
    <s v="Odpisy - budovy a stavby"/>
    <s v="Výsledovka"/>
    <x v="0"/>
    <n v="1051.8599999999999"/>
    <n v="1051.8599999999999"/>
    <n v="1139.51"/>
    <n v="1051.8599999999999"/>
    <n v="0"/>
    <m/>
    <x v="166"/>
  </r>
  <r>
    <n v="551089"/>
    <s v="Odpisy - ostatný HIM"/>
    <s v="Výsledovka"/>
    <x v="0"/>
    <n v="157.06"/>
    <n v="157.06"/>
    <n v="172.46"/>
    <n v="157.06"/>
    <n v="0"/>
    <m/>
    <x v="166"/>
  </r>
  <r>
    <n v="551401"/>
    <s v="Odpisy - autá predvádzacie"/>
    <s v="Výsledovka"/>
    <x v="0"/>
    <n v="322035.74"/>
    <n v="322035.74"/>
    <n v="350578.67"/>
    <n v="322789.78000000003"/>
    <n v="754.04"/>
    <m/>
    <x v="166"/>
  </r>
  <r>
    <n v="551402"/>
    <s v="Odpisy - autá servisné NVS"/>
    <s v="Výsledovka"/>
    <x v="0"/>
    <n v="76383.48"/>
    <n v="76383.48"/>
    <n v="83664.73"/>
    <n v="76383.48"/>
    <n v="0"/>
    <m/>
    <x v="166"/>
  </r>
  <r>
    <n v="551404"/>
    <s v="Odpisy - autá ostatné"/>
    <s v="Výsledovka"/>
    <x v="0"/>
    <n v="30861.38"/>
    <n v="30861.38"/>
    <n v="32978.019999999997"/>
    <n v="30861.38"/>
    <n v="0"/>
    <m/>
    <x v="166"/>
  </r>
  <r>
    <n v="551601"/>
    <s v="Odpisy - hardware nad limit"/>
    <s v="Výsledovka"/>
    <x v="0"/>
    <n v="0"/>
    <n v="0"/>
    <n v="0"/>
    <n v="0"/>
    <n v="0"/>
    <m/>
    <x v="166"/>
  </r>
  <r>
    <n v="551603"/>
    <s v="Odpisy - servisné vyb. nad lim"/>
    <s v="Výsledovka"/>
    <x v="0"/>
    <n v="54459.55"/>
    <n v="54459.55"/>
    <n v="58913.75"/>
    <n v="54459.55"/>
    <n v="0"/>
    <m/>
    <x v="166"/>
  </r>
  <r>
    <n v="551604"/>
    <s v="Odpisy - inventár nad limit"/>
    <s v="Výsledovka"/>
    <x v="0"/>
    <n v="583.16"/>
    <n v="583.16"/>
    <n v="599.13"/>
    <n v="583.16"/>
    <n v="0"/>
    <m/>
    <x v="166"/>
  </r>
  <r>
    <n v="551605"/>
    <s v="Odpisy - OCS značenie nad lim."/>
    <s v="Výsledovka"/>
    <x v="0"/>
    <n v="0"/>
    <n v="0"/>
    <n v="0"/>
    <n v="0"/>
    <n v="0"/>
    <m/>
    <x v="166"/>
  </r>
  <r>
    <n v="551701"/>
    <s v="Odpisy - drobný hardware"/>
    <s v="Výsledovka"/>
    <x v="0"/>
    <n v="3638.07"/>
    <n v="3638.07"/>
    <n v="4088.12"/>
    <n v="3638.07"/>
    <n v="0"/>
    <m/>
    <x v="166"/>
  </r>
  <r>
    <n v="551702"/>
    <s v="Odpisy - drobná kanc. technika"/>
    <s v="Výsledovka"/>
    <x v="0"/>
    <n v="18475.63"/>
    <n v="18475.63"/>
    <n v="20063.060000000001"/>
    <n v="18475.63"/>
    <n v="0"/>
    <m/>
    <x v="166"/>
  </r>
  <r>
    <n v="551703"/>
    <s v="Odpisy - drob. servisné vybav."/>
    <s v="Výsledovka"/>
    <x v="0"/>
    <n v="15699.93"/>
    <n v="15699.93"/>
    <n v="17283.72"/>
    <n v="15699.93"/>
    <n v="0"/>
    <m/>
    <x v="166"/>
  </r>
  <r>
    <n v="551704"/>
    <s v="Odpisy - drobný inventár"/>
    <s v="Výsledovka"/>
    <x v="0"/>
    <n v="25527.38"/>
    <n v="25527.38"/>
    <n v="27696.639999999999"/>
    <n v="25527.38"/>
    <n v="0"/>
    <m/>
    <x v="166"/>
  </r>
  <r>
    <n v="551705"/>
    <s v="Odpisy - drboné OCS značenie"/>
    <s v="Výsledovka"/>
    <x v="0"/>
    <n v="968.16"/>
    <n v="968.16"/>
    <n v="1048.8399999999999"/>
    <n v="968.16"/>
    <n v="0"/>
    <m/>
    <x v="166"/>
  </r>
  <r>
    <n v="551710"/>
    <s v="Odpisy špeciálne náradie serv."/>
    <s v="Výsledovka"/>
    <x v="0"/>
    <n v="6231.67"/>
    <n v="6231.67"/>
    <n v="6742.95"/>
    <n v="6231.67"/>
    <n v="0"/>
    <m/>
    <x v="166"/>
  </r>
  <r>
    <n v="551999"/>
    <s v="Sumár - odpisy"/>
    <s v="Výsledovka"/>
    <x v="2"/>
    <n v="557044.49"/>
    <n v="557044.49"/>
    <n v="606015.85"/>
    <n v="557798.53"/>
    <n v="754.04"/>
    <m/>
    <x v="166"/>
  </r>
  <r>
    <n v="553000"/>
    <s v="Tvor.a zúč.opr.pol. k DM"/>
    <s v="Výsledovka"/>
    <x v="1"/>
    <n v="0"/>
    <n v="0"/>
    <n v="0"/>
    <n v="0"/>
    <n v="0"/>
    <m/>
    <x v="167"/>
  </r>
  <r>
    <n v="553100"/>
    <s v="Tvor.a zúč.opr.pol. k DM"/>
    <s v="Výsledovka"/>
    <x v="0"/>
    <n v="0"/>
    <n v="0"/>
    <n v="0"/>
    <n v="0"/>
    <n v="0"/>
    <m/>
    <x v="167"/>
  </r>
  <r>
    <n v="553401"/>
    <s v="Opravné položky k DEMO autám"/>
    <s v="Výsledovka"/>
    <x v="0"/>
    <n v="0"/>
    <n v="0"/>
    <n v="0"/>
    <n v="0"/>
    <n v="0"/>
    <m/>
    <x v="167"/>
  </r>
  <r>
    <n v="553402"/>
    <s v="Opravné položky k NVS autám"/>
    <s v="Výsledovka"/>
    <x v="0"/>
    <n v="0"/>
    <n v="0"/>
    <n v="0"/>
    <n v="0"/>
    <n v="0"/>
    <m/>
    <x v="167"/>
  </r>
  <r>
    <n v="553999"/>
    <s v="Sumár-Tvor.a zúč.opr.pol. k DM"/>
    <s v="Výsledovka"/>
    <x v="2"/>
    <n v="0"/>
    <n v="0"/>
    <n v="0"/>
    <n v="0"/>
    <n v="0"/>
    <m/>
    <x v="167"/>
  </r>
  <r>
    <n v="557000"/>
    <s v="Zúčt.oprávky k opr.pol.k maj."/>
    <s v="Výsledovka"/>
    <x v="1"/>
    <n v="0"/>
    <n v="0"/>
    <n v="0"/>
    <n v="0"/>
    <n v="0"/>
    <m/>
    <x v="168"/>
  </r>
  <r>
    <n v="557999"/>
    <s v="Sumár - zúčt.opráv.k opr.pol.m"/>
    <s v="Výsledovka"/>
    <x v="2"/>
    <n v="0"/>
    <n v="0"/>
    <n v="0"/>
    <n v="0"/>
    <n v="0"/>
    <m/>
    <x v="168"/>
  </r>
  <r>
    <n v="559000"/>
    <s v="Tvorba opravných položiek"/>
    <s v="Výsledovka"/>
    <x v="1"/>
    <n v="0"/>
    <n v="0"/>
    <n v="0"/>
    <n v="0"/>
    <n v="0"/>
    <m/>
    <x v="169"/>
  </r>
  <r>
    <n v="559100"/>
    <s v="Tvorba OP k pohľ.-nedaňové"/>
    <s v="Výsledovka"/>
    <x v="0"/>
    <n v="0"/>
    <n v="0"/>
    <n v="0"/>
    <n v="0"/>
    <n v="0"/>
    <m/>
    <x v="169"/>
  </r>
  <r>
    <n v="559998"/>
    <s v="Sumár - tvorba OP"/>
    <s v="Výsledovka"/>
    <x v="2"/>
    <n v="0"/>
    <n v="0"/>
    <n v="0"/>
    <n v="0"/>
    <n v="0"/>
    <m/>
    <x v="169"/>
  </r>
  <r>
    <n v="559999"/>
    <s v="Sumár - odpisy,rezervy a OP"/>
    <s v="Výsledovka"/>
    <x v="2"/>
    <n v="557044.49"/>
    <n v="557044.49"/>
    <n v="606015.85"/>
    <n v="557798.53"/>
    <n v="754.04"/>
    <m/>
    <x v="169"/>
  </r>
  <r>
    <n v="560000"/>
    <s v="Finančné náklady"/>
    <s v="Výsledovka"/>
    <x v="1"/>
    <n v="0"/>
    <n v="0"/>
    <n v="0"/>
    <n v="0"/>
    <n v="0"/>
    <m/>
    <x v="170"/>
  </r>
  <r>
    <n v="561000"/>
    <s v="Predané CP a vklady"/>
    <s v="Výsledovka"/>
    <x v="1"/>
    <n v="0"/>
    <n v="0"/>
    <n v="0"/>
    <n v="0"/>
    <n v="0"/>
    <m/>
    <x v="171"/>
  </r>
  <r>
    <n v="561999"/>
    <s v="Sumár - Predané CP a vklady"/>
    <s v="Výsledovka"/>
    <x v="2"/>
    <n v="0"/>
    <n v="0"/>
    <n v="0"/>
    <n v="0"/>
    <n v="0"/>
    <m/>
    <x v="171"/>
  </r>
  <r>
    <n v="562000"/>
    <s v="Úroky"/>
    <s v="Výsledovka"/>
    <x v="1"/>
    <n v="0"/>
    <n v="0"/>
    <n v="0"/>
    <n v="0"/>
    <n v="0"/>
    <m/>
    <x v="172"/>
  </r>
  <r>
    <n v="562100"/>
    <s v="Úroky bankové"/>
    <s v="Výsledovka"/>
    <x v="0"/>
    <n v="1407.92"/>
    <n v="1407.92"/>
    <n v="2235.21"/>
    <n v="1407.92"/>
    <n v="0"/>
    <m/>
    <x v="172"/>
  </r>
  <r>
    <n v="562200"/>
    <s v="Úroky z financovania vozidiel"/>
    <s v="Výsledovka"/>
    <x v="0"/>
    <n v="52007.92"/>
    <n v="52007.92"/>
    <n v="54861.17"/>
    <n v="52007.92"/>
    <n v="0"/>
    <m/>
    <x v="172"/>
  </r>
  <r>
    <n v="562300"/>
    <s v="Úroky za skupinové úvery"/>
    <s v="Výsledovka"/>
    <x v="0"/>
    <n v="0"/>
    <n v="0"/>
    <n v="0"/>
    <n v="0"/>
    <n v="0"/>
    <m/>
    <x v="172"/>
  </r>
  <r>
    <n v="562999"/>
    <s v="Sumár - úroky"/>
    <s v="Výsledovka"/>
    <x v="2"/>
    <n v="53415.839999999997"/>
    <n v="53415.839999999997"/>
    <n v="57096.38"/>
    <n v="53415.839999999997"/>
    <n v="0"/>
    <m/>
    <x v="172"/>
  </r>
  <r>
    <n v="563000"/>
    <s v="Kurzové straty"/>
    <s v="Výsledovka"/>
    <x v="1"/>
    <n v="0"/>
    <n v="0"/>
    <n v="0"/>
    <n v="0"/>
    <n v="0"/>
    <m/>
    <x v="173"/>
  </r>
  <r>
    <n v="563100"/>
    <s v="Kurzové straty z obch.činnosti"/>
    <s v="Výsledovka"/>
    <x v="0"/>
    <n v="15081.69"/>
    <n v="15081.69"/>
    <n v="16937.650000000001"/>
    <n v="15045.32"/>
    <n v="-36.369999999999997"/>
    <m/>
    <x v="173"/>
  </r>
  <r>
    <n v="563600"/>
    <s v="Kurzové straty nerealizované"/>
    <s v="Výsledovka"/>
    <x v="0"/>
    <n v="163.71"/>
    <n v="163.71"/>
    <n v="163.71"/>
    <n v="164.61"/>
    <n v="0.9"/>
    <m/>
    <x v="173"/>
  </r>
  <r>
    <n v="563999"/>
    <s v="Sumár - kurzové straty"/>
    <s v="Výsledovka"/>
    <x v="2"/>
    <n v="15245.4"/>
    <n v="15245.4"/>
    <n v="17101.36"/>
    <n v="15209.93"/>
    <n v="-35.47"/>
    <m/>
    <x v="173"/>
  </r>
  <r>
    <n v="568000"/>
    <s v="Ostatné finančné náklady"/>
    <s v="Výsledovka"/>
    <x v="1"/>
    <n v="0"/>
    <n v="0"/>
    <n v="0"/>
    <n v="0"/>
    <n v="0"/>
    <m/>
    <x v="174"/>
  </r>
  <r>
    <n v="568300"/>
    <s v="Bankové poplatky ostatné"/>
    <s v="Výsledovka"/>
    <x v="0"/>
    <n v="2751.45"/>
    <n v="2751.45"/>
    <n v="2925.85"/>
    <n v="2754.25"/>
    <n v="2.8"/>
    <m/>
    <x v="174"/>
  </r>
  <r>
    <n v="568350"/>
    <s v="Bankové poplatky z terminálu"/>
    <s v="Výsledovka"/>
    <x v="0"/>
    <n v="14548.61"/>
    <n v="14548.61"/>
    <n v="15357.38"/>
    <n v="15824.66"/>
    <n v="1276.05"/>
    <m/>
    <x v="174"/>
  </r>
  <r>
    <n v="568400"/>
    <s v="Poistenie mot.vozidiel"/>
    <s v="Výsledovka"/>
    <x v="0"/>
    <n v="0"/>
    <n v="0"/>
    <n v="0"/>
    <n v="0"/>
    <n v="0"/>
    <m/>
    <x v="174"/>
  </r>
  <r>
    <n v="568410"/>
    <s v="Poistenie mot.voz.-zákonné"/>
    <s v="Výsledovka"/>
    <x v="0"/>
    <n v="0"/>
    <n v="0"/>
    <n v="0"/>
    <n v="0"/>
    <n v="0"/>
    <m/>
    <x v="174"/>
  </r>
  <r>
    <n v="568500"/>
    <s v="Poistenie tovaru - voz., ND"/>
    <s v="Výsledovka"/>
    <x v="0"/>
    <n v="0"/>
    <n v="0"/>
    <n v="0"/>
    <n v="0"/>
    <n v="0"/>
    <m/>
    <x v="174"/>
  </r>
  <r>
    <n v="568700"/>
    <s v="Poistenie zodpoved.za škodu"/>
    <s v="Výsledovka"/>
    <x v="0"/>
    <n v="0"/>
    <n v="0"/>
    <n v="0"/>
    <n v="0"/>
    <n v="0"/>
    <m/>
    <x v="174"/>
  </r>
  <r>
    <n v="568760"/>
    <s v="Poistenie - cestovné a asist."/>
    <s v="Výsledovka"/>
    <x v="0"/>
    <n v="0"/>
    <n v="0"/>
    <n v="0"/>
    <n v="0"/>
    <n v="0"/>
    <m/>
    <x v="174"/>
  </r>
  <r>
    <n v="568999"/>
    <s v="Sumár - ost. finančné náklady"/>
    <s v="Výsledovka"/>
    <x v="2"/>
    <n v="17300.060000000001"/>
    <n v="17300.060000000001"/>
    <n v="18283.23"/>
    <n v="18578.91"/>
    <n v="1278.8499999999999"/>
    <m/>
    <x v="174"/>
  </r>
  <r>
    <n v="569000"/>
    <s v="Manká a škody na fin.maj."/>
    <s v="Výsledovka"/>
    <x v="1"/>
    <n v="0"/>
    <n v="0"/>
    <n v="0"/>
    <n v="0"/>
    <n v="0"/>
    <m/>
    <x v="175"/>
  </r>
  <r>
    <n v="569998"/>
    <s v="Sumár-Manká a šk. na fin. maj."/>
    <s v="Výsledovka"/>
    <x v="2"/>
    <n v="0"/>
    <n v="0"/>
    <n v="0"/>
    <n v="0"/>
    <n v="0"/>
    <m/>
    <x v="175"/>
  </r>
  <r>
    <n v="569999"/>
    <s v="Sumár - finančné náklady"/>
    <s v="Výsledovka"/>
    <x v="2"/>
    <n v="85961.3"/>
    <n v="85961.3"/>
    <n v="92480.97"/>
    <n v="87204.68"/>
    <n v="1243.3800000000001"/>
    <m/>
    <x v="175"/>
  </r>
  <r>
    <n v="580000"/>
    <s v="Mimoriadne náklady"/>
    <s v="Výsledovka"/>
    <x v="1"/>
    <n v="0"/>
    <n v="0"/>
    <n v="0"/>
    <n v="0"/>
    <n v="0"/>
    <m/>
    <x v="176"/>
  </r>
  <r>
    <n v="582000"/>
    <s v="Škody"/>
    <s v="Výsledovka"/>
    <x v="1"/>
    <n v="0"/>
    <n v="0"/>
    <n v="0"/>
    <n v="0"/>
    <n v="0"/>
    <m/>
    <x v="177"/>
  </r>
  <r>
    <n v="582999"/>
    <s v="Sumár - škody"/>
    <s v="Výsledovka"/>
    <x v="2"/>
    <n v="0"/>
    <n v="0"/>
    <n v="0"/>
    <n v="0"/>
    <n v="0"/>
    <m/>
    <x v="177"/>
  </r>
  <r>
    <n v="588000"/>
    <s v="Ostatné mimoriadne náklady"/>
    <s v="Výsledovka"/>
    <x v="1"/>
    <n v="0"/>
    <n v="0"/>
    <n v="0"/>
    <n v="0"/>
    <n v="0"/>
    <m/>
    <x v="178"/>
  </r>
  <r>
    <n v="588200"/>
    <s v="Ostatné mimoriadne náklady"/>
    <s v="Výsledovka"/>
    <x v="0"/>
    <n v="0"/>
    <n v="0"/>
    <n v="0"/>
    <n v="0"/>
    <n v="0"/>
    <m/>
    <x v="178"/>
  </r>
  <r>
    <n v="588999"/>
    <s v="Sumár - ostat.mimoriadne nákl."/>
    <s v="Výsledovka"/>
    <x v="2"/>
    <n v="0"/>
    <n v="0"/>
    <n v="0"/>
    <n v="0"/>
    <n v="0"/>
    <m/>
    <x v="178"/>
  </r>
  <r>
    <n v="589000"/>
    <s v="Tvorba opr.pol.-ND + ost."/>
    <s v="Výsledovka"/>
    <x v="1"/>
    <n v="0"/>
    <n v="0"/>
    <n v="0"/>
    <n v="0"/>
    <n v="0"/>
    <m/>
    <x v="179"/>
  </r>
  <r>
    <n v="589998"/>
    <s v="Sumár -Tv.opr.polož. - ND+ost."/>
    <s v="Výsledovka"/>
    <x v="2"/>
    <n v="0"/>
    <n v="0"/>
    <n v="0"/>
    <n v="0"/>
    <n v="0"/>
    <m/>
    <x v="179"/>
  </r>
  <r>
    <n v="589999"/>
    <s v="Sumár - mimoriadne náklady"/>
    <s v="Výsledovka"/>
    <x v="2"/>
    <n v="0"/>
    <n v="0"/>
    <n v="0"/>
    <n v="0"/>
    <n v="0"/>
    <m/>
    <x v="179"/>
  </r>
  <r>
    <n v="590000"/>
    <s v="Dane z príjmov a prevodov. účt"/>
    <s v="Výsledovka"/>
    <x v="1"/>
    <n v="0"/>
    <n v="0"/>
    <n v="0"/>
    <n v="0"/>
    <n v="0"/>
    <m/>
    <x v="180"/>
  </r>
  <r>
    <n v="591000"/>
    <s v="Daň.ter.vkl.+príjmy z čin."/>
    <s v="Výsledovka"/>
    <x v="1"/>
    <n v="0"/>
    <n v="0"/>
    <n v="0"/>
    <n v="0"/>
    <n v="0"/>
    <m/>
    <x v="181"/>
  </r>
  <r>
    <n v="591100"/>
    <s v="DzP PO  z bankových účtov"/>
    <s v="Výsledovka"/>
    <x v="0"/>
    <n v="0"/>
    <n v="0"/>
    <n v="0"/>
    <n v="0"/>
    <n v="0"/>
    <m/>
    <x v="181"/>
  </r>
  <r>
    <n v="591200"/>
    <s v="Daň z príjmov z bez. činnosti"/>
    <s v="Výsledovka"/>
    <x v="0"/>
    <n v="228884.91"/>
    <n v="228884.91"/>
    <n v="228884.91"/>
    <n v="390788.4"/>
    <n v="161903.49"/>
    <m/>
    <x v="181"/>
  </r>
  <r>
    <n v="591999"/>
    <s v="Sumár-daň.ter.vkl.+pr.z čin.sp"/>
    <s v="Výsledovka"/>
    <x v="2"/>
    <n v="228884.91"/>
    <n v="228884.91"/>
    <n v="228884.91"/>
    <n v="390788.4"/>
    <n v="161903.49"/>
    <m/>
    <x v="181"/>
  </r>
  <r>
    <n v="592000"/>
    <s v="Daň z príjmov z bežnej činn."/>
    <s v="Výsledovka"/>
    <x v="1"/>
    <n v="0"/>
    <n v="0"/>
    <n v="0"/>
    <n v="0"/>
    <n v="0"/>
    <m/>
    <x v="182"/>
  </r>
  <r>
    <n v="592104"/>
    <s v="Daň z príjmov z bež.čin.-odlož"/>
    <s v="Výsledovka"/>
    <x v="0"/>
    <n v="-23421.96"/>
    <n v="-23421.96"/>
    <n v="-23421.96"/>
    <n v="31378.84"/>
    <n v="54800.800000000003"/>
    <m/>
    <x v="182"/>
  </r>
  <r>
    <n v="592999"/>
    <s v="Sumár-daň z príj.z bež.čin."/>
    <s v="Výsledovka"/>
    <x v="2"/>
    <n v="-23421.96"/>
    <n v="-23421.96"/>
    <n v="-23421.96"/>
    <n v="31378.84"/>
    <n v="54800.800000000003"/>
    <m/>
    <x v="182"/>
  </r>
  <r>
    <n v="593000"/>
    <s v="Daň z príj.z mimor.čin.-splat."/>
    <s v="Výsledovka"/>
    <x v="1"/>
    <n v="0"/>
    <n v="0"/>
    <n v="0"/>
    <n v="0"/>
    <n v="0"/>
    <m/>
    <x v="183"/>
  </r>
  <r>
    <n v="593999"/>
    <s v="Sumár-Daň z príj.z mim.čin.-sp"/>
    <s v="Výsledovka"/>
    <x v="2"/>
    <n v="0"/>
    <n v="0"/>
    <n v="0"/>
    <n v="0"/>
    <n v="0"/>
    <m/>
    <x v="183"/>
  </r>
  <r>
    <n v="594000"/>
    <s v="Daň z príj.z mimor.čin.-odlož."/>
    <s v="Výsledovka"/>
    <x v="1"/>
    <n v="0"/>
    <n v="0"/>
    <n v="0"/>
    <n v="0"/>
    <n v="0"/>
    <m/>
    <x v="184"/>
  </r>
  <r>
    <n v="594999"/>
    <s v="Sumár-Daň z príj.z mim.čin.-od"/>
    <s v="Výsledovka"/>
    <x v="2"/>
    <n v="0"/>
    <n v="0"/>
    <n v="0"/>
    <n v="0"/>
    <n v="0"/>
    <m/>
    <x v="184"/>
  </r>
  <r>
    <n v="595000"/>
    <s v="Dodatočné odvody dane z príj."/>
    <s v="Výsledovka"/>
    <x v="1"/>
    <n v="0"/>
    <n v="0"/>
    <n v="0"/>
    <n v="0"/>
    <n v="0"/>
    <m/>
    <x v="185"/>
  </r>
  <r>
    <n v="595100"/>
    <s v="Dodatočné odvody dane z príj."/>
    <s v="Výsledovka"/>
    <x v="0"/>
    <n v="0"/>
    <n v="0"/>
    <n v="0"/>
    <n v="0"/>
    <n v="0"/>
    <m/>
    <x v="185"/>
  </r>
  <r>
    <n v="595999"/>
    <s v="Sumár-dodat.odvod.dane z príj."/>
    <s v="Výsledovka"/>
    <x v="2"/>
    <n v="0"/>
    <n v="0"/>
    <n v="0"/>
    <n v="0"/>
    <n v="0"/>
    <m/>
    <x v="185"/>
  </r>
  <r>
    <n v="598999"/>
    <s v="Sumár - Dane z príj.a prev.účt"/>
    <s v="Výsledovka"/>
    <x v="2"/>
    <n v="205462.95"/>
    <n v="205462.95"/>
    <n v="205462.95"/>
    <n v="422167.24"/>
    <n v="216704.29"/>
    <m/>
    <x v="186"/>
  </r>
  <r>
    <n v="599999"/>
    <s v="Sumár - náklady"/>
    <s v="Výsledovka"/>
    <x v="3"/>
    <n v="49013264.789999999"/>
    <n v="49013264.789999999"/>
    <n v="53423372.43"/>
    <n v="64668507.130000003"/>
    <n v="15655242.34"/>
    <m/>
    <x v="187"/>
  </r>
  <r>
    <n v="600000"/>
    <s v="Výnosy"/>
    <s v="Výsledovka"/>
    <x v="1"/>
    <n v="0"/>
    <n v="0"/>
    <n v="0"/>
    <n v="0"/>
    <n v="0"/>
    <m/>
    <x v="188"/>
  </r>
  <r>
    <n v="602000"/>
    <s v="Tržby z predaja služieb"/>
    <s v="Výsledovka"/>
    <x v="1"/>
    <n v="0"/>
    <n v="0"/>
    <n v="0"/>
    <n v="0"/>
    <n v="0"/>
    <m/>
    <x v="189"/>
  </r>
  <r>
    <n v="602100"/>
    <s v="Tržby za servis"/>
    <s v="Výsledovka"/>
    <x v="1"/>
    <n v="0"/>
    <n v="0"/>
    <n v="0"/>
    <n v="0"/>
    <n v="0"/>
    <m/>
    <x v="189"/>
  </r>
  <r>
    <n v="602111"/>
    <s v="Tržby - servis - subdodávky"/>
    <s v="Výsledovka"/>
    <x v="0"/>
    <n v="-50"/>
    <n v="-50"/>
    <n v="-50"/>
    <n v="0"/>
    <n v="50"/>
    <m/>
    <x v="189"/>
  </r>
  <r>
    <n v="602112"/>
    <s v="Tržby - servis - subdodávky"/>
    <s v="Výsledovka"/>
    <x v="0"/>
    <n v="-43483.74"/>
    <n v="-43483.74"/>
    <n v="-43483.74"/>
    <n v="0"/>
    <n v="43483.74"/>
    <m/>
    <x v="189"/>
  </r>
  <r>
    <n v="602121"/>
    <s v="Tržby servis - BMW externé"/>
    <s v="Výsledovka"/>
    <x v="0"/>
    <n v="-116208.2"/>
    <n v="-116208.2"/>
    <n v="-118202.9"/>
    <n v="2065"/>
    <n v="118273.2"/>
    <m/>
    <x v="189"/>
  </r>
  <r>
    <n v="602123"/>
    <s v="Tržby servis - BMW bežný serv."/>
    <s v="Výsledovka"/>
    <x v="0"/>
    <n v="-277.18"/>
    <n v="-277.18"/>
    <n v="-277.18"/>
    <n v="0"/>
    <n v="277.18"/>
    <m/>
    <x v="189"/>
  </r>
  <r>
    <n v="602126"/>
    <s v="Trž.Vrakuňa- lakovací materiál"/>
    <s v="Výsledovka"/>
    <x v="0"/>
    <n v="-238871.4"/>
    <n v="-238871.4"/>
    <n v="-262366.01"/>
    <n v="7001.64"/>
    <n v="245873.04"/>
    <m/>
    <x v="189"/>
  </r>
  <r>
    <n v="602127"/>
    <s v="Trž.Vrakuňa - spotrebný mat."/>
    <s v="Výsledovka"/>
    <x v="0"/>
    <n v="-331.05"/>
    <n v="-331.05"/>
    <n v="-365.44"/>
    <n v="4.4400000000000004"/>
    <n v="335.49"/>
    <m/>
    <x v="189"/>
  </r>
  <r>
    <n v="602131"/>
    <s v="Tržby servis - MINI externé"/>
    <s v="Výsledovka"/>
    <x v="0"/>
    <n v="0"/>
    <n v="0"/>
    <n v="0"/>
    <n v="0"/>
    <n v="0"/>
    <m/>
    <x v="189"/>
  </r>
  <r>
    <n v="602170"/>
    <s v="Tržby sevis ostatné"/>
    <s v="Výsledovka"/>
    <x v="0"/>
    <n v="-51.7"/>
    <n v="-51.7"/>
    <n v="-51.7"/>
    <n v="0"/>
    <n v="51.7"/>
    <m/>
    <x v="189"/>
  </r>
  <r>
    <n v="602180"/>
    <s v="Tržby servis pneu"/>
    <s v="Výsledovka"/>
    <x v="0"/>
    <n v="476.11"/>
    <n v="476.11"/>
    <n v="476.11"/>
    <n v="476.11"/>
    <n v="0"/>
    <m/>
    <x v="189"/>
  </r>
  <r>
    <n v="602185"/>
    <s v="Tržby servis - odťah vozidla"/>
    <s v="Výsledovka"/>
    <x v="0"/>
    <n v="0"/>
    <n v="0"/>
    <n v="0"/>
    <n v="0"/>
    <n v="0"/>
    <m/>
    <x v="189"/>
  </r>
  <r>
    <n v="602190"/>
    <s v="Tržby servis PHM a mazivá"/>
    <s v="Výsledovka"/>
    <x v="0"/>
    <n v="-465.82"/>
    <n v="-465.82"/>
    <n v="-503.33"/>
    <n v="0"/>
    <n v="465.82"/>
    <m/>
    <x v="189"/>
  </r>
  <r>
    <n v="602199"/>
    <s v="Sumár - tržby za externý servis"/>
    <s v="Výsledovka"/>
    <x v="2"/>
    <n v="-399262.98"/>
    <n v="-399262.98"/>
    <n v="-424824.19"/>
    <n v="9547.19"/>
    <n v="408810.17"/>
    <m/>
    <x v="189"/>
  </r>
  <r>
    <n v="602200"/>
    <s v="Tržby práca - externé zákazky"/>
    <s v="Výsledovka"/>
    <x v="0"/>
    <n v="-1376131.06"/>
    <n v="-1376131.06"/>
    <n v="-1486543.3"/>
    <n v="13960.33"/>
    <n v="1390091.39"/>
    <m/>
    <x v="189"/>
  </r>
  <r>
    <n v="602202"/>
    <s v="Tržby za požičanie cudzeho NV"/>
    <s v="Výsledovka"/>
    <x v="0"/>
    <n v="0"/>
    <n v="0"/>
    <n v="0"/>
    <n v="0"/>
    <n v="0"/>
    <m/>
    <x v="189"/>
  </r>
  <r>
    <n v="602205"/>
    <s v="Zľavy - práca - Servis externé zákazky"/>
    <s v="Výsledovka"/>
    <x v="0"/>
    <n v="71015.179999999993"/>
    <n v="71015.179999999993"/>
    <n v="77470.86"/>
    <n v="75196.740000000005"/>
    <n v="4181.5600000000004"/>
    <m/>
    <x v="189"/>
  </r>
  <r>
    <n v="602206"/>
    <s v="Tržby za odťah vozidiel"/>
    <s v="Výsledovka"/>
    <x v="0"/>
    <n v="0"/>
    <n v="0"/>
    <n v="0"/>
    <n v="0"/>
    <n v="0"/>
    <m/>
    <x v="189"/>
  </r>
  <r>
    <n v="602260"/>
    <s v="Výnosy servisu - SERVIS BSI"/>
    <s v="Výsledovka"/>
    <x v="0"/>
    <n v="0"/>
    <n v="0"/>
    <n v="0"/>
    <n v="0"/>
    <n v="0"/>
    <m/>
    <x v="189"/>
  </r>
  <r>
    <n v="602270"/>
    <s v="Výjazd BMW"/>
    <s v="Výsledovka"/>
    <x v="0"/>
    <n v="0"/>
    <n v="0"/>
    <n v="0"/>
    <n v="0"/>
    <n v="0"/>
    <m/>
    <x v="189"/>
  </r>
  <r>
    <n v="602303"/>
    <s v="Bonusy od poisťovní"/>
    <s v="Výsledovka"/>
    <x v="0"/>
    <n v="0"/>
    <n v="0"/>
    <n v="0"/>
    <n v="0"/>
    <n v="0"/>
    <m/>
    <x v="189"/>
  </r>
  <r>
    <n v="602310"/>
    <s v="Tržby práca - BSI zákazky"/>
    <s v="Výsledovka"/>
    <x v="0"/>
    <n v="-198889.42"/>
    <n v="-198889.42"/>
    <n v="-213272.94"/>
    <n v="0"/>
    <n v="198889.42"/>
    <m/>
    <x v="189"/>
  </r>
  <r>
    <n v="602320"/>
    <s v="Tržby práca - garancie"/>
    <s v="Výsledovka"/>
    <x v="0"/>
    <n v="-209959.05"/>
    <n v="-209959.05"/>
    <n v="-234968.41"/>
    <n v="0"/>
    <n v="209959.05"/>
    <m/>
    <x v="189"/>
  </r>
  <r>
    <n v="602400"/>
    <s v="Výnosy z prenájmu motor.voz."/>
    <s v="Výsledovka"/>
    <x v="0"/>
    <n v="-55261.73"/>
    <n v="-55261.73"/>
    <n v="-59591.11"/>
    <n v="3208.33"/>
    <n v="58470.06"/>
    <m/>
    <x v="189"/>
  </r>
  <r>
    <n v="602410"/>
    <s v="Prenájom k predanému NV"/>
    <s v="Výsledovka"/>
    <x v="0"/>
    <n v="-22158.94"/>
    <n v="-22158.94"/>
    <n v="-22575.61"/>
    <n v="0"/>
    <n v="22158.94"/>
    <m/>
    <x v="189"/>
  </r>
  <r>
    <n v="602411"/>
    <s v="Prenájom k predanému OV"/>
    <s v="Výsledovka"/>
    <x v="0"/>
    <n v="-6910.96"/>
    <n v="-6910.96"/>
    <n v="-6910.96"/>
    <n v="0"/>
    <n v="6910.96"/>
    <m/>
    <x v="189"/>
  </r>
  <r>
    <n v="602500"/>
    <s v="Provízie - financovanie"/>
    <s v="Výsledovka"/>
    <x v="0"/>
    <n v="-83490.080000000002"/>
    <n v="-83490.080000000002"/>
    <n v="-87243.43"/>
    <n v="83604.58"/>
    <n v="167094.66"/>
    <m/>
    <x v="189"/>
  </r>
  <r>
    <n v="602501"/>
    <s v="Provízie - poistenie"/>
    <s v="Výsledovka"/>
    <x v="0"/>
    <n v="-197726.92"/>
    <n v="-197726.92"/>
    <n v="-218528.16"/>
    <n v="173000"/>
    <n v="370726.92"/>
    <m/>
    <x v="189"/>
  </r>
  <r>
    <n v="602502"/>
    <s v="Bonusy od LS"/>
    <s v="Výsledovka"/>
    <x v="0"/>
    <n v="-71109.649999999994"/>
    <n v="-71109.649999999994"/>
    <n v="-71109.649999999994"/>
    <n v="1605.72"/>
    <n v="72715.37"/>
    <m/>
    <x v="189"/>
  </r>
  <r>
    <n v="602550"/>
    <s v="Provízia - diplomatic sales"/>
    <s v="Výsledovka"/>
    <x v="0"/>
    <n v="-137218.14000000001"/>
    <n v="-137218.14000000001"/>
    <n v="-148616.82999999999"/>
    <n v="-30672.09"/>
    <n v="106546.05"/>
    <m/>
    <x v="189"/>
  </r>
  <r>
    <n v="602560"/>
    <s v="SSCC diplo DEMO / JV"/>
    <s v="Výsledovka"/>
    <x v="0"/>
    <n v="0"/>
    <n v="0"/>
    <n v="0"/>
    <n v="0"/>
    <n v="0"/>
    <m/>
    <x v="189"/>
  </r>
  <r>
    <n v="602620"/>
    <s v="Predané predĺžené záruky"/>
    <s v="Výsledovka"/>
    <x v="0"/>
    <n v="-92550.7"/>
    <n v="-92550.7"/>
    <n v="-100761.7"/>
    <n v="0"/>
    <n v="92550.7"/>
    <m/>
    <x v="189"/>
  </r>
  <r>
    <n v="602700"/>
    <s v="Uskladnenie pneumatík"/>
    <s v="Výsledovka"/>
    <x v="0"/>
    <n v="-53937.63"/>
    <n v="-53937.63"/>
    <n v="-58641.919999999998"/>
    <n v="44465.99"/>
    <n v="98403.62"/>
    <m/>
    <x v="189"/>
  </r>
  <r>
    <n v="602705"/>
    <s v="Tržby  - predaj šrotu a obalov"/>
    <s v="Výsledovka"/>
    <x v="0"/>
    <n v="-913.5"/>
    <n v="-913.5"/>
    <n v="-1108.5"/>
    <n v="40.700000000000003"/>
    <n v="954.2"/>
    <m/>
    <x v="189"/>
  </r>
  <r>
    <n v="602710"/>
    <s v="Výnosy z predaja sl. ostatné"/>
    <s v="Výsledovka"/>
    <x v="0"/>
    <n v="-20647.259999999998"/>
    <n v="-20647.259999999998"/>
    <n v="-20647.259999999998"/>
    <n v="26565"/>
    <n v="47212.26"/>
    <m/>
    <x v="189"/>
  </r>
  <r>
    <n v="602720"/>
    <s v="Podpory k personálnym nákladom"/>
    <s v="Výsledovka"/>
    <x v="0"/>
    <n v="0"/>
    <n v="0"/>
    <n v="0"/>
    <n v="0"/>
    <n v="0"/>
    <m/>
    <x v="189"/>
  </r>
  <r>
    <n v="602800"/>
    <s v="Prihlas. voz. a reg. poplatky"/>
    <s v="Výsledovka"/>
    <x v="0"/>
    <n v="0"/>
    <n v="0"/>
    <n v="0"/>
    <n v="0"/>
    <n v="0"/>
    <m/>
    <x v="189"/>
  </r>
  <r>
    <n v="602805"/>
    <s v="Provízie za komisný predaj JV"/>
    <s v="Výsledovka"/>
    <x v="0"/>
    <n v="0"/>
    <n v="0"/>
    <n v="0"/>
    <n v="0"/>
    <n v="0"/>
    <m/>
    <x v="189"/>
  </r>
  <r>
    <n v="602806"/>
    <s v="Vystavovanie komisnych JV"/>
    <s v="Výsledovka"/>
    <x v="0"/>
    <n v="0"/>
    <n v="0"/>
    <n v="0"/>
    <n v="0"/>
    <n v="0"/>
    <m/>
    <x v="189"/>
  </r>
  <r>
    <n v="602807"/>
    <s v="Poplatok pri predaji JV"/>
    <s v="Výsledovka"/>
    <x v="0"/>
    <n v="0"/>
    <n v="0"/>
    <n v="0"/>
    <n v="0"/>
    <n v="0"/>
    <m/>
    <x v="189"/>
  </r>
  <r>
    <n v="602810"/>
    <s v="Tržby- sprostredk.prihlásenia"/>
    <s v="Výsledovka"/>
    <x v="0"/>
    <n v="-406882.08"/>
    <n v="-406882.08"/>
    <n v="-437892.44"/>
    <n v="20000"/>
    <n v="426882.08"/>
    <m/>
    <x v="189"/>
  </r>
  <r>
    <n v="602820"/>
    <s v="Sprostredkovanie predaja JV"/>
    <s v="Výsledovka"/>
    <x v="0"/>
    <n v="0"/>
    <n v="0"/>
    <n v="0"/>
    <n v="0"/>
    <n v="0"/>
    <m/>
    <x v="189"/>
  </r>
  <r>
    <n v="602999"/>
    <s v="Sumár - tržby z predaja služ."/>
    <s v="Výsledovka"/>
    <x v="2"/>
    <n v="-3262034.92"/>
    <n v="-3262034.92"/>
    <n v="-3515765.55"/>
    <n v="420522.49"/>
    <n v="3682557.41"/>
    <m/>
    <x v="189"/>
  </r>
  <r>
    <n v="604000"/>
    <s v="Tržby za tovar"/>
    <s v="Výsledovka"/>
    <x v="1"/>
    <n v="0"/>
    <n v="0"/>
    <n v="0"/>
    <n v="0"/>
    <n v="0"/>
    <m/>
    <x v="190"/>
  </r>
  <r>
    <n v="604100"/>
    <s v="Tržby za predaj ND -Trade"/>
    <s v="Výsledovka"/>
    <x v="0"/>
    <n v="-2592548.48"/>
    <n v="-2592548.48"/>
    <n v="-2875063.82"/>
    <n v="0"/>
    <n v="2592548.48"/>
    <m/>
    <x v="190"/>
  </r>
  <r>
    <n v="604105"/>
    <s v="Zľavy  za predaj ND -Trade"/>
    <s v="Výsledovka"/>
    <x v="0"/>
    <n v="578900.18999999994"/>
    <n v="578900.18999999994"/>
    <n v="647526.96"/>
    <n v="570791.97"/>
    <n v="-8108.22"/>
    <m/>
    <x v="190"/>
  </r>
  <r>
    <n v="604150"/>
    <s v="Tržby za predaj ND - Retail"/>
    <s v="Výsledovka"/>
    <x v="0"/>
    <n v="-28668.77"/>
    <n v="-28668.77"/>
    <n v="-32349.3"/>
    <n v="0"/>
    <n v="28668.77"/>
    <m/>
    <x v="190"/>
  </r>
  <r>
    <n v="604155"/>
    <s v="Zľavy k predaju ND- Retail"/>
    <s v="Výsledovka"/>
    <x v="0"/>
    <n v="684.64"/>
    <n v="684.64"/>
    <n v="687.93"/>
    <n v="684.64"/>
    <n v="0"/>
    <m/>
    <x v="190"/>
  </r>
  <r>
    <n v="604161"/>
    <s v="BMW - BONUSY pre zákazníkov JV - nepoužívať"/>
    <s v="Výsledovka"/>
    <x v="0"/>
    <n v="0"/>
    <n v="0"/>
    <n v="0"/>
    <n v="0"/>
    <n v="0"/>
    <m/>
    <x v="190"/>
  </r>
  <r>
    <n v="604199"/>
    <s v="Sumár - predaj ND cez PULT"/>
    <s v="Výsledovka"/>
    <x v="2"/>
    <n v="-2041632.42"/>
    <n v="-2041632.42"/>
    <n v="-2259198.23"/>
    <n v="571476.61"/>
    <n v="2613109.0299999998"/>
    <m/>
    <x v="190"/>
  </r>
  <r>
    <n v="604200"/>
    <s v="Tržby ND servis - externé zákazky"/>
    <s v="Výsledovka"/>
    <x v="0"/>
    <n v="-3279708.96"/>
    <n v="-3279708.96"/>
    <n v="-3558239.06"/>
    <n v="32383.97"/>
    <n v="3312092.93"/>
    <m/>
    <x v="190"/>
  </r>
  <r>
    <n v="604201"/>
    <s v="Podpory k tržbám za servis"/>
    <s v="Výsledovka"/>
    <x v="0"/>
    <n v="-61862.64"/>
    <n v="-61862.64"/>
    <n v="-64428.2"/>
    <n v="4600"/>
    <n v="66462.64"/>
    <m/>
    <x v="190"/>
  </r>
  <r>
    <n v="604205"/>
    <s v="Zľavy k ND Servis"/>
    <s v="Výsledovka"/>
    <x v="0"/>
    <n v="174487.64"/>
    <n v="174487.64"/>
    <n v="189031.8"/>
    <n v="184189.31"/>
    <n v="9701.67"/>
    <m/>
    <x v="190"/>
  </r>
  <r>
    <n v="604260"/>
    <s v="MINI - BONUSY pre zákazníkov"/>
    <s v="Výsledovka"/>
    <x v="0"/>
    <n v="0"/>
    <n v="0"/>
    <n v="0"/>
    <n v="0"/>
    <n v="0"/>
    <m/>
    <x v="190"/>
  </r>
  <r>
    <n v="604310"/>
    <s v="Tržby ND - BSI zákazky"/>
    <s v="Výsledovka"/>
    <x v="0"/>
    <n v="-526051.13"/>
    <n v="-526051.13"/>
    <n v="-563039.27"/>
    <n v="0"/>
    <n v="526051.13"/>
    <m/>
    <x v="190"/>
  </r>
  <r>
    <n v="604320"/>
    <s v="Tržby ND - Garancie"/>
    <s v="Výsledovka"/>
    <x v="0"/>
    <n v="-586151.52"/>
    <n v="-586151.52"/>
    <n v="-649152.39"/>
    <n v="0"/>
    <n v="586151.52"/>
    <m/>
    <x v="190"/>
  </r>
  <r>
    <n v="604325"/>
    <s v="Tržby - ND - Garancie príplatky"/>
    <s v="Výsledovka"/>
    <x v="0"/>
    <n v="-50867.12"/>
    <n v="-50867.12"/>
    <n v="-56449.89"/>
    <n v="0"/>
    <n v="50867.12"/>
    <m/>
    <x v="190"/>
  </r>
  <r>
    <n v="604450"/>
    <s v="Ostatné"/>
    <s v="Výsledovka"/>
    <x v="0"/>
    <n v="0"/>
    <n v="0"/>
    <n v="0"/>
    <n v="0"/>
    <n v="0"/>
    <m/>
    <x v="190"/>
  </r>
  <r>
    <n v="604470"/>
    <s v="OSTATNÉ BONUSY pre zákazníkov"/>
    <s v="Výsledovka"/>
    <x v="0"/>
    <n v="0"/>
    <n v="0"/>
    <n v="0"/>
    <n v="0"/>
    <n v="0"/>
    <m/>
    <x v="190"/>
  </r>
  <r>
    <n v="604500"/>
    <s v="Tržby nové vozidlá"/>
    <s v="Výsledovka"/>
    <x v="0"/>
    <n v="-23249053.16"/>
    <n v="-23249053.16"/>
    <n v="-25526046.77"/>
    <n v="34900.839999999997"/>
    <n v="23283954"/>
    <m/>
    <x v="190"/>
  </r>
  <r>
    <n v="604505"/>
    <s v="Zľavy NV"/>
    <s v="Výsledovka"/>
    <x v="0"/>
    <n v="3285937.16"/>
    <n v="3285937.16"/>
    <n v="3614051.88"/>
    <n v="3316455.83"/>
    <n v="30518.67"/>
    <m/>
    <x v="190"/>
  </r>
  <r>
    <n v="604515"/>
    <s v="Ostatné tržby NV"/>
    <s v="Výsledovka"/>
    <x v="0"/>
    <n v="-3010"/>
    <n v="-3010"/>
    <n v="-4510"/>
    <n v="0"/>
    <n v="3010"/>
    <m/>
    <x v="190"/>
  </r>
  <r>
    <n v="604595"/>
    <s v="Vykúpené vozidlá - Ostatné"/>
    <s v="Výsledovka"/>
    <x v="0"/>
    <n v="0"/>
    <n v="0"/>
    <n v="0"/>
    <n v="0"/>
    <n v="0"/>
    <m/>
    <x v="190"/>
  </r>
  <r>
    <n v="604599"/>
    <s v="Sumár - za pred.jazdených voz."/>
    <s v="Výsledovka"/>
    <x v="2"/>
    <n v="-19966126"/>
    <n v="-19966126"/>
    <n v="-21916504.890000001"/>
    <n v="3351356.67"/>
    <n v="23317482.670000002"/>
    <m/>
    <x v="190"/>
  </r>
  <r>
    <n v="604600"/>
    <s v="Tržby - jazdené vozidlá"/>
    <s v="Výsledovka"/>
    <x v="0"/>
    <n v="-15068774.109999999"/>
    <n v="-15068774.109999999"/>
    <n v="-16256689.130000001"/>
    <n v="47500"/>
    <n v="15116274.109999999"/>
    <m/>
    <x v="190"/>
  </r>
  <r>
    <n v="604602"/>
    <s v="Tržby za Garancie k predaným JV"/>
    <s v="Výsledovka"/>
    <x v="0"/>
    <n v="-833.33"/>
    <n v="-833.33"/>
    <n v="-833.33"/>
    <n v="0"/>
    <n v="833.33"/>
    <m/>
    <x v="190"/>
  </r>
  <r>
    <n v="604605"/>
    <s v="Zľavy - jazdené vozidlá"/>
    <s v="Výsledovka"/>
    <x v="0"/>
    <n v="799868.36"/>
    <n v="799868.36"/>
    <n v="828187.52"/>
    <n v="800371.36"/>
    <n v="503"/>
    <m/>
    <x v="190"/>
  </r>
  <r>
    <n v="604626"/>
    <s v="ND MINI - lifestyle"/>
    <s v="Výsledovka"/>
    <x v="0"/>
    <n v="0"/>
    <n v="0"/>
    <n v="0"/>
    <n v="0"/>
    <n v="0"/>
    <m/>
    <x v="190"/>
  </r>
  <r>
    <n v="604627"/>
    <s v="ND MINI - obchod 4.úrovne"/>
    <s v="Výsledovka"/>
    <x v="0"/>
    <n v="0"/>
    <n v="0"/>
    <n v="0"/>
    <n v="0"/>
    <n v="0"/>
    <m/>
    <x v="190"/>
  </r>
  <r>
    <n v="604700"/>
    <s v="Bonusy"/>
    <s v="Výsledovka"/>
    <x v="1"/>
    <n v="0"/>
    <n v="0"/>
    <n v="0"/>
    <n v="0"/>
    <n v="0"/>
    <m/>
    <x v="190"/>
  </r>
  <r>
    <n v="604730"/>
    <s v="Bonusy ND"/>
    <s v="Výsledovka"/>
    <x v="0"/>
    <n v="0"/>
    <n v="0"/>
    <n v="0"/>
    <n v="0"/>
    <n v="0"/>
    <m/>
    <x v="190"/>
  </r>
  <r>
    <n v="604799"/>
    <s v="Sumár - bonusy"/>
    <s v="Výsledovka"/>
    <x v="2"/>
    <n v="0"/>
    <n v="0"/>
    <n v="0"/>
    <n v="0"/>
    <n v="0"/>
    <m/>
    <x v="190"/>
  </r>
  <r>
    <n v="604800"/>
    <s v="Predaný tovar - subdodávky"/>
    <s v="Výsledovka"/>
    <x v="0"/>
    <n v="0"/>
    <n v="0"/>
    <n v="0"/>
    <n v="0"/>
    <n v="0"/>
    <m/>
    <x v="190"/>
  </r>
  <r>
    <n v="604802"/>
    <s v="Tržby - GardX"/>
    <s v="Výsledovka"/>
    <x v="0"/>
    <n v="0"/>
    <n v="0"/>
    <n v="0"/>
    <n v="0"/>
    <n v="0"/>
    <m/>
    <x v="190"/>
  </r>
  <r>
    <n v="604998"/>
    <s v="Sumár - tržby za tovar"/>
    <s v="Výsledovka"/>
    <x v="2"/>
    <n v="-40607651.229999997"/>
    <n v="-40607651.229999997"/>
    <n v="-44307315.07"/>
    <n v="4991877.92"/>
    <n v="45599529.149999999"/>
    <m/>
    <x v="190"/>
  </r>
  <r>
    <n v="604999"/>
    <s v="Sumár - tržby za vl.výk.a tov."/>
    <s v="Výsledovka"/>
    <x v="2"/>
    <n v="-43869686.149999999"/>
    <n v="-43869686.149999999"/>
    <n v="-47823080.619999997"/>
    <n v="5412400.4100000001"/>
    <n v="49282086.560000002"/>
    <m/>
    <x v="190"/>
  </r>
  <r>
    <n v="610000"/>
    <s v="Zmeny stavu vnútroorg.zás."/>
    <s v="Výsledovka"/>
    <x v="1"/>
    <n v="0"/>
    <n v="0"/>
    <n v="0"/>
    <n v="0"/>
    <n v="0"/>
    <m/>
    <x v="191"/>
  </r>
  <r>
    <n v="611000"/>
    <s v="Zmena stavu nedok.výr."/>
    <s v="Výsledovka"/>
    <x v="1"/>
    <n v="0"/>
    <n v="0"/>
    <n v="0"/>
    <n v="0"/>
    <n v="0"/>
    <m/>
    <x v="192"/>
  </r>
  <r>
    <n v="611100"/>
    <s v="Zmena stavu nedok.výr."/>
    <s v="Výsledovka"/>
    <x v="0"/>
    <n v="0"/>
    <n v="0"/>
    <n v="0"/>
    <n v="0"/>
    <n v="0"/>
    <m/>
    <x v="192"/>
  </r>
  <r>
    <n v="611300"/>
    <s v="Zmena stavu nedok.výr.-garančk"/>
    <s v="Výsledovka"/>
    <x v="0"/>
    <n v="0"/>
    <n v="0"/>
    <n v="0"/>
    <n v="0"/>
    <n v="0"/>
    <m/>
    <x v="192"/>
  </r>
  <r>
    <n v="620000"/>
    <s v="Aktivácia"/>
    <s v="Výsledovka"/>
    <x v="1"/>
    <n v="0"/>
    <n v="0"/>
    <n v="0"/>
    <n v="0"/>
    <n v="0"/>
    <m/>
    <x v="193"/>
  </r>
  <r>
    <n v="621000"/>
    <s v="Aktivácia materiálu"/>
    <s v="Výsledovka"/>
    <x v="1"/>
    <n v="0"/>
    <n v="0"/>
    <n v="0"/>
    <n v="0"/>
    <n v="0"/>
    <m/>
    <x v="194"/>
  </r>
  <r>
    <n v="621100"/>
    <s v="Aktivácia práce"/>
    <s v="Výsledovka"/>
    <x v="0"/>
    <n v="-512.91999999999996"/>
    <n v="-512.91999999999996"/>
    <n v="-512.91999999999996"/>
    <n v="106.34"/>
    <n v="619.26"/>
    <m/>
    <x v="194"/>
  </r>
  <r>
    <n v="621110"/>
    <s v="Aktivácia materiálu - ND"/>
    <s v="Výsledovka"/>
    <x v="0"/>
    <n v="-8428.86"/>
    <n v="-8428.86"/>
    <n v="-8428.86"/>
    <n v="28.14"/>
    <n v="8457"/>
    <m/>
    <x v="194"/>
  </r>
  <r>
    <n v="621200"/>
    <s v="Aktivácia - PREDĽŽENÉ ZÁRUKY"/>
    <s v="Výsledovka"/>
    <x v="0"/>
    <n v="-228832"/>
    <n v="-228832"/>
    <n v="-235279"/>
    <n v="230.48"/>
    <n v="229062.48"/>
    <m/>
    <x v="194"/>
  </r>
  <r>
    <n v="621300"/>
    <s v="Aktivácia ostatných nákladov"/>
    <s v="Výsledovka"/>
    <x v="0"/>
    <n v="-66"/>
    <n v="-66"/>
    <n v="-66"/>
    <n v="130.5"/>
    <n v="196.5"/>
    <m/>
    <x v="194"/>
  </r>
  <r>
    <n v="621999"/>
    <s v="Sumár - Aktivácia materiálu"/>
    <s v="Výsledovka"/>
    <x v="2"/>
    <n v="-237839.78"/>
    <n v="-237839.78"/>
    <n v="-244286.78"/>
    <n v="495.46"/>
    <n v="238335.24"/>
    <m/>
    <x v="194"/>
  </r>
  <r>
    <n v="622000"/>
    <s v="Aktivácia vnútroorg.služieb"/>
    <s v="Výsledovka"/>
    <x v="1"/>
    <n v="0"/>
    <n v="0"/>
    <n v="0"/>
    <n v="0"/>
    <n v="0"/>
    <m/>
    <x v="195"/>
  </r>
  <r>
    <n v="622150"/>
    <s v="Aktiv.služ.-servis dovyb.BMW"/>
    <s v="Výsledovka"/>
    <x v="0"/>
    <n v="0"/>
    <n v="0"/>
    <n v="0"/>
    <n v="0"/>
    <n v="0"/>
    <m/>
    <x v="195"/>
  </r>
  <r>
    <n v="622999"/>
    <s v="Sumár-Aktiv. vnútroorg.služieb"/>
    <s v="Výsledovka"/>
    <x v="2"/>
    <n v="0"/>
    <n v="0"/>
    <n v="0"/>
    <n v="0"/>
    <n v="0"/>
    <m/>
    <x v="195"/>
  </r>
  <r>
    <n v="623000"/>
    <s v="Aktiv.dlhodb.NIM"/>
    <s v="Výsledovka"/>
    <x v="1"/>
    <n v="0"/>
    <n v="0"/>
    <n v="0"/>
    <n v="0"/>
    <n v="0"/>
    <m/>
    <x v="196"/>
  </r>
  <r>
    <n v="623999"/>
    <s v="Sumár - Aktiv.dlhodb.NIM"/>
    <s v="Výsledovka"/>
    <x v="2"/>
    <n v="0"/>
    <n v="0"/>
    <n v="0"/>
    <n v="0"/>
    <n v="0"/>
    <m/>
    <x v="196"/>
  </r>
  <r>
    <n v="624000"/>
    <s v="Aktivácia dlhodobého majetku"/>
    <s v="Výsledovka"/>
    <x v="1"/>
    <n v="0"/>
    <n v="0"/>
    <n v="0"/>
    <n v="0"/>
    <n v="0"/>
    <m/>
    <x v="197"/>
  </r>
  <r>
    <n v="624998"/>
    <s v="Sumár-Aktiv. dlhodobého maj."/>
    <s v="Výsledovka"/>
    <x v="2"/>
    <n v="0"/>
    <n v="0"/>
    <n v="0"/>
    <n v="0"/>
    <n v="0"/>
    <m/>
    <x v="197"/>
  </r>
  <r>
    <n v="624999"/>
    <s v="Sumár - Aktivácia"/>
    <s v="Výsledovka"/>
    <x v="2"/>
    <n v="-237839.78"/>
    <n v="-237839.78"/>
    <n v="-244286.78"/>
    <n v="495.46"/>
    <n v="238335.24"/>
    <m/>
    <x v="197"/>
  </r>
  <r>
    <n v="640000"/>
    <s v="Iné výnosy z hosp. činnosti"/>
    <s v="Výsledovka"/>
    <x v="1"/>
    <n v="0"/>
    <n v="0"/>
    <n v="0"/>
    <n v="0"/>
    <n v="0"/>
    <m/>
    <x v="198"/>
  </r>
  <r>
    <n v="641000"/>
    <s v="Tržby z predaja IM"/>
    <s v="Výsledovka"/>
    <x v="1"/>
    <n v="0"/>
    <n v="0"/>
    <n v="0"/>
    <n v="0"/>
    <n v="0"/>
    <m/>
    <x v="199"/>
  </r>
  <r>
    <n v="641084"/>
    <s v="Výnosy z pred.HIM-inventár"/>
    <s v="Výsledovka"/>
    <x v="0"/>
    <n v="-289.17"/>
    <n v="-289.17"/>
    <n v="-609.16999999999996"/>
    <n v="0"/>
    <n v="289.17"/>
    <m/>
    <x v="199"/>
  </r>
  <r>
    <n v="641400"/>
    <s v="Tržby z prodeje majet. voz."/>
    <s v="Výsledovka"/>
    <x v="1"/>
    <n v="0"/>
    <n v="0"/>
    <n v="0"/>
    <n v="0"/>
    <n v="0"/>
    <m/>
    <x v="199"/>
  </r>
  <r>
    <n v="641401"/>
    <s v="Tržby - autá predvádzacie"/>
    <s v="Výsledovka"/>
    <x v="0"/>
    <n v="-5484967.4100000001"/>
    <n v="-5484967.4100000001"/>
    <n v="-5991264.9199999999"/>
    <n v="93258.85"/>
    <n v="5578226.2599999998"/>
    <m/>
    <x v="199"/>
  </r>
  <r>
    <n v="641402"/>
    <s v="Tržby - autá servisné NVS"/>
    <s v="Výsledovka"/>
    <x v="0"/>
    <n v="0"/>
    <n v="0"/>
    <n v="0"/>
    <n v="0"/>
    <n v="0"/>
    <m/>
    <x v="199"/>
  </r>
  <r>
    <n v="641404"/>
    <s v="Tržby - autá ostatné"/>
    <s v="Výsledovka"/>
    <x v="0"/>
    <n v="0"/>
    <n v="0"/>
    <n v="0"/>
    <n v="0"/>
    <n v="0"/>
    <m/>
    <x v="199"/>
  </r>
  <r>
    <n v="641410"/>
    <s v="Tržby maj voz BMW 1"/>
    <s v="Výsledovka"/>
    <x v="0"/>
    <n v="0"/>
    <n v="0"/>
    <n v="0"/>
    <n v="0"/>
    <n v="0"/>
    <m/>
    <x v="199"/>
  </r>
  <r>
    <n v="641420"/>
    <s v="Tržby maj voz BMW 3"/>
    <s v="Výsledovka"/>
    <x v="0"/>
    <n v="0"/>
    <n v="0"/>
    <n v="0"/>
    <n v="0"/>
    <n v="0"/>
    <m/>
    <x v="199"/>
  </r>
  <r>
    <n v="641430"/>
    <s v="Tržby maj voz BMW 5"/>
    <s v="Výsledovka"/>
    <x v="0"/>
    <n v="0"/>
    <n v="0"/>
    <n v="0"/>
    <n v="0"/>
    <n v="0"/>
    <m/>
    <x v="199"/>
  </r>
  <r>
    <n v="641440"/>
    <s v="Tržby maj voz BMW 6"/>
    <s v="Výsledovka"/>
    <x v="0"/>
    <n v="0"/>
    <n v="0"/>
    <n v="0"/>
    <n v="0"/>
    <n v="0"/>
    <m/>
    <x v="199"/>
  </r>
  <r>
    <n v="641450"/>
    <s v="Tržby maj voz BMW 7"/>
    <s v="Výsledovka"/>
    <x v="0"/>
    <n v="0"/>
    <n v="0"/>
    <n v="0"/>
    <n v="0"/>
    <n v="0"/>
    <m/>
    <x v="199"/>
  </r>
  <r>
    <n v="641460"/>
    <s v="Tržby maj voz BMW X1"/>
    <s v="Výsledovka"/>
    <x v="0"/>
    <n v="0"/>
    <n v="0"/>
    <n v="0"/>
    <n v="0"/>
    <n v="0"/>
    <m/>
    <x v="199"/>
  </r>
  <r>
    <n v="641470"/>
    <s v="Tržby maj voz BMW X3"/>
    <s v="Výsledovka"/>
    <x v="0"/>
    <n v="0"/>
    <n v="0"/>
    <n v="0"/>
    <n v="0"/>
    <n v="0"/>
    <m/>
    <x v="199"/>
  </r>
  <r>
    <n v="641480"/>
    <s v="Tržby maj voz BMW X5"/>
    <s v="Výsledovka"/>
    <x v="0"/>
    <n v="0"/>
    <n v="0"/>
    <n v="0"/>
    <n v="0"/>
    <n v="0"/>
    <m/>
    <x v="199"/>
  </r>
  <r>
    <n v="641520"/>
    <s v="Tržby maj voz MINI Cooper"/>
    <s v="Výsledovka"/>
    <x v="0"/>
    <n v="0"/>
    <n v="0"/>
    <n v="0"/>
    <n v="0"/>
    <n v="0"/>
    <m/>
    <x v="199"/>
  </r>
  <r>
    <n v="641540"/>
    <s v="Tržby maj voz MINI Ostatní"/>
    <s v="Výsledovka"/>
    <x v="0"/>
    <n v="0"/>
    <n v="0"/>
    <n v="0"/>
    <n v="0"/>
    <n v="0"/>
    <m/>
    <x v="199"/>
  </r>
  <r>
    <n v="641570"/>
    <s v="Tržby maj voz OSTATNI"/>
    <s v="Výsledovka"/>
    <x v="0"/>
    <n v="0"/>
    <n v="0"/>
    <n v="0"/>
    <n v="0"/>
    <n v="0"/>
    <m/>
    <x v="199"/>
  </r>
  <r>
    <n v="641600"/>
    <s v="BMW - bonusy pre zákazníkov"/>
    <s v="Výsledovka"/>
    <x v="0"/>
    <n v="0"/>
    <n v="0"/>
    <n v="0"/>
    <n v="0"/>
    <n v="0"/>
    <m/>
    <x v="199"/>
  </r>
  <r>
    <n v="641999"/>
    <s v="Sumár-Tržby z predaja IM"/>
    <s v="Výsledovka"/>
    <x v="2"/>
    <n v="-5484967.4100000001"/>
    <n v="-5484967.4100000001"/>
    <n v="-5991264.9199999999"/>
    <n v="93258.85"/>
    <n v="5578226.2599999998"/>
    <m/>
    <x v="199"/>
  </r>
  <r>
    <n v="642000"/>
    <s v="Tržby z predaja mater."/>
    <s v="Výsledovka"/>
    <x v="1"/>
    <n v="0"/>
    <n v="0"/>
    <n v="0"/>
    <n v="0"/>
    <n v="0"/>
    <m/>
    <x v="200"/>
  </r>
  <r>
    <n v="642100"/>
    <s v="Tržby z predaja mater."/>
    <s v="Výsledovka"/>
    <x v="0"/>
    <n v="0"/>
    <n v="0"/>
    <n v="0"/>
    <n v="0"/>
    <n v="0"/>
    <m/>
    <x v="200"/>
  </r>
  <r>
    <n v="642724"/>
    <s v="ND MINI - medzi dealermi"/>
    <s v="Výsledovka"/>
    <x v="0"/>
    <n v="0"/>
    <n v="0"/>
    <n v="0"/>
    <n v="0"/>
    <n v="0"/>
    <m/>
    <x v="200"/>
  </r>
  <r>
    <n v="642999"/>
    <s v="Sumár - Tržby z predaja mater."/>
    <s v="Výsledovka"/>
    <x v="2"/>
    <n v="0"/>
    <n v="0"/>
    <n v="0"/>
    <n v="0"/>
    <n v="0"/>
    <m/>
    <x v="200"/>
  </r>
  <r>
    <n v="644000"/>
    <s v="Zmluvné pokuty a penále"/>
    <s v="Výsledovka"/>
    <x v="1"/>
    <n v="0"/>
    <n v="0"/>
    <n v="0"/>
    <n v="0"/>
    <n v="0"/>
    <m/>
    <x v="201"/>
  </r>
  <r>
    <n v="644100"/>
    <s v="Zmluvné pokuty a penále"/>
    <s v="Výsledovka"/>
    <x v="0"/>
    <n v="0"/>
    <n v="0"/>
    <n v="0"/>
    <n v="0"/>
    <n v="0"/>
    <m/>
    <x v="201"/>
  </r>
  <r>
    <n v="644200"/>
    <s v="Zml. pokuta z odstúpenia KZ"/>
    <s v="Výsledovka"/>
    <x v="0"/>
    <n v="0"/>
    <n v="0"/>
    <n v="0"/>
    <n v="0"/>
    <n v="0"/>
    <m/>
    <x v="201"/>
  </r>
  <r>
    <n v="644999"/>
    <s v="Sumár-Zmluvné pokuty a penále"/>
    <s v="Výsledovka"/>
    <x v="2"/>
    <n v="0"/>
    <n v="0"/>
    <n v="0"/>
    <n v="0"/>
    <n v="0"/>
    <m/>
    <x v="201"/>
  </r>
  <r>
    <n v="645000"/>
    <s v="Ostané pokuty a penále"/>
    <s v="Výsledovka"/>
    <x v="1"/>
    <n v="0"/>
    <n v="0"/>
    <n v="0"/>
    <n v="0"/>
    <n v="0"/>
    <m/>
    <x v="202"/>
  </r>
  <r>
    <n v="645999"/>
    <s v="Sumár-Ostatné pokuty a penále"/>
    <s v="Výsledovka"/>
    <x v="2"/>
    <n v="0"/>
    <n v="0"/>
    <n v="0"/>
    <n v="0"/>
    <n v="0"/>
    <m/>
    <x v="202"/>
  </r>
  <r>
    <n v="646000"/>
    <s v="Výn.z odp. pohľadávok ODP.pol."/>
    <s v="Výsledovka"/>
    <x v="1"/>
    <n v="0"/>
    <n v="0"/>
    <n v="0"/>
    <n v="0"/>
    <n v="0"/>
    <m/>
    <x v="203"/>
  </r>
  <r>
    <n v="646100"/>
    <s v="Postúpené pohľadávky"/>
    <s v="Výsledovka"/>
    <x v="0"/>
    <n v="0"/>
    <n v="0"/>
    <n v="0"/>
    <n v="0"/>
    <n v="0"/>
    <m/>
    <x v="203"/>
  </r>
  <r>
    <n v="646999"/>
    <s v="Sumár-Výn.z odp.pohľ.ODP.pol."/>
    <s v="Výsledovka"/>
    <x v="2"/>
    <n v="0"/>
    <n v="0"/>
    <n v="0"/>
    <n v="0"/>
    <n v="0"/>
    <m/>
    <x v="203"/>
  </r>
  <r>
    <n v="648000"/>
    <s v="Ostat.výnosy z hosp.činnosti"/>
    <s v="Výsledovka"/>
    <x v="1"/>
    <n v="0"/>
    <n v="0"/>
    <n v="0"/>
    <n v="0"/>
    <n v="0"/>
    <m/>
    <x v="204"/>
  </r>
  <r>
    <n v="648100"/>
    <s v="Centové vyrovnanie"/>
    <s v="Výsledovka"/>
    <x v="0"/>
    <n v="-17.88"/>
    <n v="-17.88"/>
    <n v="-18.11"/>
    <n v="0"/>
    <n v="17.88"/>
    <m/>
    <x v="204"/>
  </r>
  <r>
    <n v="648200"/>
    <s v="Ostatné prevádzkové výnosy"/>
    <s v="Výsledovka"/>
    <x v="0"/>
    <n v="-42706.78"/>
    <n v="-42706.78"/>
    <n v="-43926.78"/>
    <n v="7.66"/>
    <n v="42714.44"/>
    <m/>
    <x v="204"/>
  </r>
  <r>
    <n v="648300"/>
    <s v="OPV-sklad ND"/>
    <s v="Výsledovka"/>
    <x v="0"/>
    <n v="0"/>
    <n v="0"/>
    <n v="0"/>
    <n v="0.03"/>
    <n v="0.03"/>
    <m/>
    <x v="204"/>
  </r>
  <r>
    <n v="648350"/>
    <s v="OPV-dealeri bonsai"/>
    <s v="Výsledovka"/>
    <x v="0"/>
    <n v="0"/>
    <n v="0"/>
    <n v="0"/>
    <n v="0"/>
    <n v="0"/>
    <m/>
    <x v="204"/>
  </r>
  <r>
    <n v="648400"/>
    <s v="Refundácia DPH zaplatenej v EÚ"/>
    <s v="Výsledovka"/>
    <x v="0"/>
    <n v="-3304.45"/>
    <n v="-3304.45"/>
    <n v="-3344.24"/>
    <n v="0"/>
    <n v="3304.45"/>
    <m/>
    <x v="204"/>
  </r>
  <r>
    <n v="648410"/>
    <s v="Dotace mzdy"/>
    <s v="Výsledovka"/>
    <x v="0"/>
    <n v="-34050"/>
    <n v="-34050"/>
    <n v="-34050"/>
    <n v="0"/>
    <n v="34050"/>
    <m/>
    <x v="204"/>
  </r>
  <r>
    <n v="648500"/>
    <s v="Zúčtované preplatky pohľadávok"/>
    <s v="Výsledovka"/>
    <x v="0"/>
    <n v="0"/>
    <n v="0"/>
    <n v="0"/>
    <n v="0"/>
    <n v="0"/>
    <m/>
    <x v="204"/>
  </r>
  <r>
    <n v="648670"/>
    <s v="OVP Marketing ostatné"/>
    <s v="Výsledovka"/>
    <x v="0"/>
    <n v="0"/>
    <n v="0"/>
    <n v="0"/>
    <n v="0"/>
    <n v="0"/>
    <m/>
    <x v="204"/>
  </r>
  <r>
    <n v="648800"/>
    <s v="OPV poistné události"/>
    <s v="Výsledovka"/>
    <x v="0"/>
    <n v="-9123.18"/>
    <n v="-9123.18"/>
    <n v="-9123.18"/>
    <n v="500"/>
    <n v="9623.18"/>
    <m/>
    <x v="204"/>
  </r>
  <r>
    <n v="648801"/>
    <s v="Poistné plnenie k pred. voz."/>
    <s v="Výsledovka"/>
    <x v="0"/>
    <n v="0"/>
    <n v="0"/>
    <n v="0"/>
    <n v="0"/>
    <n v="0"/>
    <m/>
    <x v="204"/>
  </r>
  <r>
    <n v="648805"/>
    <s v="Refakt.spolúčasti pri nehodách"/>
    <s v="Výsledovka"/>
    <x v="0"/>
    <n v="-3465.27"/>
    <n v="-3465.27"/>
    <n v="-3915.27"/>
    <n v="0"/>
    <n v="3465.27"/>
    <m/>
    <x v="204"/>
  </r>
  <r>
    <n v="648880"/>
    <s v="OPV - poistenie"/>
    <s v="Výsledovka"/>
    <x v="0"/>
    <n v="0"/>
    <n v="0"/>
    <n v="0"/>
    <n v="0"/>
    <n v="0"/>
    <m/>
    <x v="204"/>
  </r>
  <r>
    <n v="648900"/>
    <s v="OPV Odúčtovanie záväzkov z min"/>
    <s v="Výsledovka"/>
    <x v="0"/>
    <n v="0"/>
    <n v="0"/>
    <n v="0"/>
    <n v="0"/>
    <n v="0"/>
    <m/>
    <x v="204"/>
  </r>
  <r>
    <n v="648901"/>
    <s v="Podpora -šrotované/vrátené ND"/>
    <s v="Výsledovka"/>
    <x v="0"/>
    <n v="0"/>
    <n v="0"/>
    <n v="0"/>
    <n v="0"/>
    <n v="0"/>
    <m/>
    <x v="204"/>
  </r>
  <r>
    <n v="648990"/>
    <s v="Nežiadaná DPH z EU - PP"/>
    <s v="Výsledovka"/>
    <x v="0"/>
    <n v="0"/>
    <n v="0"/>
    <n v="0"/>
    <n v="0"/>
    <n v="0"/>
    <m/>
    <x v="204"/>
  </r>
  <r>
    <n v="648999"/>
    <s v="Sumár-Ost.výn. z hosp.činnosti"/>
    <s v="Výsledovka"/>
    <x v="2"/>
    <n v="-92667.56"/>
    <n v="-92667.56"/>
    <n v="-94377.58"/>
    <n v="507.69"/>
    <n v="93175.25"/>
    <m/>
    <x v="204"/>
  </r>
  <r>
    <n v="649999"/>
    <s v="Sumár-Iné výn. z hosp.činnosti"/>
    <s v="Výsledovka"/>
    <x v="2"/>
    <n v="-5577924.1399999997"/>
    <n v="-5577924.1399999997"/>
    <n v="-6086251.6699999999"/>
    <n v="93766.54"/>
    <n v="5671690.6799999997"/>
    <m/>
    <x v="205"/>
  </r>
  <r>
    <n v="662000"/>
    <s v="Úroky"/>
    <s v="Výsledovka"/>
    <x v="1"/>
    <n v="0"/>
    <n v="0"/>
    <n v="0"/>
    <n v="0"/>
    <n v="0"/>
    <m/>
    <x v="206"/>
  </r>
  <r>
    <n v="662100"/>
    <s v="Prijaté úroky v EUR"/>
    <s v="Výsledovka"/>
    <x v="0"/>
    <n v="-8580.82"/>
    <n v="-8580.82"/>
    <n v="-8580.82"/>
    <n v="0"/>
    <n v="8580.82"/>
    <m/>
    <x v="206"/>
  </r>
  <r>
    <n v="662999"/>
    <s v="Sumár - úroky"/>
    <s v="Výsledovka"/>
    <x v="2"/>
    <n v="-8580.82"/>
    <n v="-8580.82"/>
    <n v="-8580.82"/>
    <n v="0"/>
    <n v="8580.82"/>
    <m/>
    <x v="206"/>
  </r>
  <r>
    <n v="663000"/>
    <s v="Kurzové zisky"/>
    <s v="Výsledovka"/>
    <x v="1"/>
    <n v="0"/>
    <n v="0"/>
    <n v="0"/>
    <n v="0"/>
    <n v="0"/>
    <m/>
    <x v="207"/>
  </r>
  <r>
    <n v="663100"/>
    <s v="Kurzové zisky z obch. činnosti"/>
    <s v="Výsledovka"/>
    <x v="0"/>
    <n v="-17.86"/>
    <n v="-17.86"/>
    <n v="-17.86"/>
    <n v="2804.05"/>
    <n v="2821.91"/>
    <m/>
    <x v="207"/>
  </r>
  <r>
    <n v="663600"/>
    <s v="Kurzové zisky NEREALIZOVANÉ"/>
    <s v="Výsledovka"/>
    <x v="0"/>
    <n v="0"/>
    <n v="0"/>
    <n v="0"/>
    <n v="0"/>
    <n v="0"/>
    <m/>
    <x v="207"/>
  </r>
  <r>
    <n v="663999"/>
    <s v="Sumár - Kurzové zisky"/>
    <s v="Výsledovka"/>
    <x v="2"/>
    <n v="-17.86"/>
    <n v="-17.86"/>
    <n v="-17.86"/>
    <n v="2804.05"/>
    <n v="2821.91"/>
    <m/>
    <x v="207"/>
  </r>
  <r>
    <n v="668000"/>
    <s v="Ostatné finančné výnosy"/>
    <s v="Výsledovka"/>
    <x v="1"/>
    <n v="0"/>
    <n v="0"/>
    <n v="0"/>
    <n v="0"/>
    <n v="0"/>
    <m/>
    <x v="208"/>
  </r>
  <r>
    <n v="668100"/>
    <s v="Ostatné finančné výnosy"/>
    <s v="Výsledovka"/>
    <x v="0"/>
    <n v="0"/>
    <n v="0"/>
    <n v="0"/>
    <n v="0"/>
    <n v="0"/>
    <m/>
    <x v="208"/>
  </r>
  <r>
    <n v="668999"/>
    <s v="Sumár-Ostatné finančné výnosy"/>
    <s v="Výsledovka"/>
    <x v="2"/>
    <n v="0"/>
    <n v="0"/>
    <n v="0"/>
    <n v="0"/>
    <n v="0"/>
    <m/>
    <x v="208"/>
  </r>
  <r>
    <n v="669999"/>
    <s v="Sumár - Finančné výnosy"/>
    <s v="Výsledovka"/>
    <x v="2"/>
    <n v="-8598.68"/>
    <n v="-8598.68"/>
    <n v="-8598.68"/>
    <n v="2804.05"/>
    <n v="11402.73"/>
    <m/>
    <x v="209"/>
  </r>
  <r>
    <n v="680000"/>
    <s v="Mimoriadne výnosy"/>
    <s v="Výsledovka"/>
    <x v="1"/>
    <n v="0"/>
    <n v="0"/>
    <n v="0"/>
    <n v="0"/>
    <n v="0"/>
    <m/>
    <x v="210"/>
  </r>
  <r>
    <n v="688700"/>
    <s v="Mim. výnosy - ostatné"/>
    <s v="Výsledovka"/>
    <x v="0"/>
    <n v="0"/>
    <n v="0"/>
    <n v="0"/>
    <n v="0"/>
    <n v="0"/>
    <m/>
    <x v="211"/>
  </r>
  <r>
    <n v="689999"/>
    <s v="Sumár - Mimoriadne výnosy"/>
    <s v="Výsledovka"/>
    <x v="2"/>
    <n v="0"/>
    <n v="0"/>
    <n v="0"/>
    <n v="0"/>
    <n v="0"/>
    <m/>
    <x v="212"/>
  </r>
  <r>
    <n v="699999"/>
    <s v="Sumár - Výnosy"/>
    <s v="Výsledovka"/>
    <x v="3"/>
    <n v="-49694048.75"/>
    <n v="-49694048.75"/>
    <n v="-54162217.75"/>
    <n v="5509466.46"/>
    <n v="55203515.210000001"/>
    <m/>
    <x v="213"/>
  </r>
  <r>
    <n v="700000"/>
    <s v="Závierkove a podsúvahové účty"/>
    <s v="Súvaha"/>
    <x v="4"/>
    <n v="0"/>
    <n v="0"/>
    <n v="0"/>
    <n v="0"/>
    <n v="0"/>
    <m/>
    <x v="214"/>
  </r>
  <r>
    <n v="701000"/>
    <s v="Začiatočný účet súvahový"/>
    <s v="Súvaha"/>
    <x v="0"/>
    <n v="0"/>
    <n v="0"/>
    <n v="0"/>
    <n v="0"/>
    <n v="0"/>
    <m/>
    <x v="215"/>
  </r>
  <r>
    <n v="702000"/>
    <s v="Konečný účet súvahový"/>
    <s v="Súvaha"/>
    <x v="0"/>
    <n v="0"/>
    <n v="0"/>
    <n v="0"/>
    <n v="0"/>
    <n v="0"/>
    <m/>
    <x v="216"/>
  </r>
  <r>
    <n v="710000"/>
    <s v="Účet ziskov a strát"/>
    <s v="Súvaha"/>
    <x v="0"/>
    <n v="0"/>
    <n v="0"/>
    <n v="0"/>
    <n v="0"/>
    <n v="0"/>
    <m/>
    <x v="217"/>
  </r>
  <r>
    <n v="799999"/>
    <s v="Sumár 7xx - závierkové účty"/>
    <s v="Súvaha"/>
    <x v="3"/>
    <n v="0"/>
    <n v="0"/>
    <n v="0"/>
    <n v="0"/>
    <n v="0"/>
    <m/>
    <x v="218"/>
  </r>
  <r>
    <n v="899401"/>
    <s v="Vnútr. nákl.  - PDI"/>
    <s v="Výsledovka"/>
    <x v="0"/>
    <n v="252805.39"/>
    <n v="252805.39"/>
    <n v="269117.92"/>
    <n v="252805.39"/>
    <n v="0"/>
    <m/>
    <x v="219"/>
  </r>
  <r>
    <n v="899402"/>
    <s v="Vnútr. nákl.  - Dovybavenie"/>
    <s v="Výsledovka"/>
    <x v="0"/>
    <n v="194063.1"/>
    <n v="194063.1"/>
    <n v="221122.91"/>
    <n v="194063.1"/>
    <n v="0"/>
    <m/>
    <x v="219"/>
  </r>
  <r>
    <n v="899403"/>
    <s v="Vnútr. nákl.  - Interné opravy"/>
    <s v="Výsledovka"/>
    <x v="0"/>
    <n v="105065.71"/>
    <n v="105065.71"/>
    <n v="118410.83"/>
    <n v="105175.71"/>
    <n v="110"/>
    <m/>
    <x v="219"/>
  </r>
  <r>
    <n v="899404"/>
    <s v="Vnútr. náklady - Zberné zákazky"/>
    <s v="Výsledovka"/>
    <x v="0"/>
    <n v="26616.44"/>
    <n v="26616.44"/>
    <n v="29994.42"/>
    <n v="26616.44"/>
    <n v="0"/>
    <m/>
    <x v="219"/>
  </r>
  <r>
    <n v="899405"/>
    <s v="Vnútr. nákl. - Jazdené vozidlá"/>
    <s v="Výsledovka"/>
    <x v="0"/>
    <n v="33928.519999999997"/>
    <n v="33928.519999999997"/>
    <n v="39180.92"/>
    <n v="33928.519999999997"/>
    <n v="0"/>
    <m/>
    <x v="219"/>
  </r>
  <r>
    <n v="899406"/>
    <s v="Vnútr.nákl. - Kulancie"/>
    <s v="Výsledovka"/>
    <x v="0"/>
    <n v="0"/>
    <n v="0"/>
    <n v="0"/>
    <n v="0"/>
    <n v="0"/>
    <m/>
    <x v="219"/>
  </r>
  <r>
    <n v="899600"/>
    <s v="Presun marže z NV do OV"/>
    <s v="Výsledovka"/>
    <x v="0"/>
    <n v="281245.99"/>
    <n v="281245.99"/>
    <n v="308529.69"/>
    <n v="320646.65000000002"/>
    <n v="39400.660000000003"/>
    <m/>
    <x v="219"/>
  </r>
  <r>
    <n v="899999"/>
    <s v="Sumár 899 - vnútropodnikové náklady"/>
    <s v="Výsledovka"/>
    <x v="3"/>
    <n v="893725.15"/>
    <n v="893725.15"/>
    <n v="986356.69"/>
    <n v="933235.81"/>
    <n v="39510.660000000003"/>
    <m/>
    <x v="219"/>
  </r>
  <r>
    <n v="999101"/>
    <s v="Vnútr.tržby ND - PDI"/>
    <s v="Výsledovka"/>
    <x v="0"/>
    <n v="-105264.3"/>
    <n v="-105264.3"/>
    <n v="-116910.41"/>
    <n v="0"/>
    <n v="105264.3"/>
    <m/>
    <x v="219"/>
  </r>
  <r>
    <n v="999102"/>
    <s v="Vnútr.tržby ND - Dovybavenie"/>
    <s v="Výsledovka"/>
    <x v="0"/>
    <n v="-163370.39000000001"/>
    <n v="-163370.39000000001"/>
    <n v="-184972.42"/>
    <n v="0"/>
    <n v="163370.39000000001"/>
    <m/>
    <x v="219"/>
  </r>
  <r>
    <n v="999103"/>
    <s v="Vnútr.tržby ND - Int. opravy"/>
    <s v="Výsledovka"/>
    <x v="0"/>
    <n v="-120783.12"/>
    <n v="-120783.12"/>
    <n v="-128818.63"/>
    <n v="5443.56"/>
    <n v="126226.68"/>
    <m/>
    <x v="219"/>
  </r>
  <r>
    <n v="999104"/>
    <s v="Vnútr.tržby ND - Zberné zákazk"/>
    <s v="Výsledovka"/>
    <x v="0"/>
    <n v="-32817.519999999997"/>
    <n v="-32817.519999999997"/>
    <n v="-36195.5"/>
    <n v="0"/>
    <n v="32817.519999999997"/>
    <m/>
    <x v="219"/>
  </r>
  <r>
    <n v="999105"/>
    <s v="Vnútr.tržby ND - Jazdené vozidlá"/>
    <s v="Výsledovka"/>
    <x v="0"/>
    <n v="-3044.93"/>
    <n v="-3044.93"/>
    <n v="-3044.93"/>
    <n v="0"/>
    <n v="3044.93"/>
    <m/>
    <x v="219"/>
  </r>
  <r>
    <n v="999106"/>
    <s v="Vnútr,tržby ND - Kulancie"/>
    <s v="Výsledovka"/>
    <x v="0"/>
    <n v="0"/>
    <n v="0"/>
    <n v="0"/>
    <n v="0"/>
    <n v="0"/>
    <m/>
    <x v="219"/>
  </r>
  <r>
    <n v="999201"/>
    <s v="Vnútr.tržby Práca - PDI"/>
    <s v="Výsledovka"/>
    <x v="0"/>
    <n v="-63704.98"/>
    <n v="-63704.98"/>
    <n v="-70504.399999999994"/>
    <n v="0"/>
    <n v="63704.98"/>
    <m/>
    <x v="219"/>
  </r>
  <r>
    <n v="999202"/>
    <s v="Vnútr.tržby Práca - Dovybaveni"/>
    <s v="Výsledovka"/>
    <x v="0"/>
    <n v="-11215.03"/>
    <n v="-11215.03"/>
    <n v="-13986"/>
    <n v="0"/>
    <n v="11215.03"/>
    <m/>
    <x v="219"/>
  </r>
  <r>
    <n v="999203"/>
    <s v="Vnútr.tržby Práca - Int.opravy"/>
    <s v="Výsledovka"/>
    <x v="0"/>
    <n v="-69448.12"/>
    <n v="-69448.12"/>
    <n v="-79940.92"/>
    <n v="8325.18"/>
    <n v="77773.3"/>
    <m/>
    <x v="219"/>
  </r>
  <r>
    <n v="999204"/>
    <s v="Vnútr.tržby Práca - Zberne"/>
    <s v="Výsledovka"/>
    <x v="0"/>
    <n v="0"/>
    <n v="0"/>
    <n v="0"/>
    <n v="0"/>
    <n v="0"/>
    <m/>
    <x v="219"/>
  </r>
  <r>
    <n v="999205"/>
    <s v="Vnútr.tržby Práca - Jazdené vo"/>
    <s v="Výsledovka"/>
    <x v="0"/>
    <n v="-2208.31"/>
    <n v="-2208.31"/>
    <n v="-2245.84"/>
    <n v="0"/>
    <n v="2208.31"/>
    <m/>
    <x v="219"/>
  </r>
  <r>
    <n v="999206"/>
    <s v="Vnútr.tržby Práca - Kulancie"/>
    <s v="Výsledovka"/>
    <x v="0"/>
    <n v="0"/>
    <n v="0"/>
    <n v="0"/>
    <n v="0"/>
    <n v="0"/>
    <m/>
    <x v="219"/>
  </r>
  <r>
    <n v="999301"/>
    <s v="Predĺžené záruky - itnerné"/>
    <s v="Výsledovka"/>
    <x v="0"/>
    <n v="-20820"/>
    <n v="-20820"/>
    <n v="-20820"/>
    <n v="0"/>
    <n v="20820"/>
    <m/>
    <x v="219"/>
  </r>
  <r>
    <n v="999302"/>
    <s v="Interné zákazky - PHM"/>
    <s v="Výsledovka"/>
    <x v="0"/>
    <n v="-2137"/>
    <n v="-2137"/>
    <n v="-2137"/>
    <n v="0"/>
    <n v="2137"/>
    <m/>
    <x v="219"/>
  </r>
  <r>
    <n v="999303"/>
    <s v="Interné zák. - uskladnenie PNE"/>
    <s v="Výsledovka"/>
    <x v="0"/>
    <n v="-3941.19"/>
    <n v="-3941.19"/>
    <n v="-3941.19"/>
    <n v="120.06"/>
    <n v="4061.25"/>
    <m/>
    <x v="219"/>
  </r>
  <r>
    <n v="999304"/>
    <s v="VP výnosy - subdodávky"/>
    <s v="Výsledovka"/>
    <x v="0"/>
    <n v="-13724.27"/>
    <n v="-13724.27"/>
    <n v="-14309.76"/>
    <n v="0"/>
    <n v="13724.27"/>
    <m/>
    <x v="219"/>
  </r>
  <r>
    <n v="999600"/>
    <s v="Presun marže z NV do OV"/>
    <s v="Výsledovka"/>
    <x v="0"/>
    <n v="-281245.99"/>
    <n v="-281245.99"/>
    <n v="-308529.69"/>
    <n v="44735.44"/>
    <n v="325981.43"/>
    <m/>
    <x v="219"/>
  </r>
  <r>
    <n v="99999"/>
    <s v="Sumár 999  - vnútropodnikové výnosy"/>
    <s v="Výsledovka"/>
    <x v="3"/>
    <n v="-893725.15"/>
    <n v="-893725.15"/>
    <n v="-986356.69"/>
    <n v="58624.24"/>
    <n v="952349.39"/>
    <m/>
    <x v="219"/>
  </r>
  <r>
    <s v="H/V"/>
    <s v="Zisk/Strata"/>
    <s v="Výsledovka"/>
    <x v="3"/>
    <n v="-680783.96"/>
    <n v="-680783.96"/>
    <n v="-738845.32"/>
    <n v="70177973.590000004"/>
    <n v="70858757.549999997"/>
    <m/>
    <x v="219"/>
  </r>
  <r>
    <s v="H/V  DANE"/>
    <s v="Dane z príjmov"/>
    <s v="Výsledovka"/>
    <x v="3"/>
    <n v="205462.95"/>
    <n v="205462.95"/>
    <n v="205462.95"/>
    <n v="422167.24"/>
    <n v="216704.29"/>
    <m/>
    <x v="219"/>
  </r>
  <r>
    <s v="H/V PRED DP"/>
    <s v="Zisk / Strata pred zdanením"/>
    <s v="Výsledovka"/>
    <x v="3"/>
    <n v="-886246.91"/>
    <n v="-886246.91"/>
    <n v="-944308.27"/>
    <n v="69755806.349999994"/>
    <n v="70642053.260000005"/>
    <m/>
    <x v="219"/>
  </r>
  <r>
    <s v="H/V UZ"/>
    <s v="Súčet Vnútropod N+V"/>
    <s v="Výsledovka"/>
    <x v="3"/>
    <n v="0"/>
    <n v="0"/>
    <n v="0"/>
    <n v="991860.05"/>
    <n v="991860.05"/>
    <m/>
    <x v="21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4112F13-B3B7-4DC0-8376-1502272C47B7}" name="Kontingenčná tabuľka1" cacheId="0" applyNumberFormats="0" applyBorderFormats="0" applyFontFormats="0" applyPatternFormats="0" applyAlignmentFormats="0" applyWidthHeightFormats="1" dataCaption="Hodnoty" updatedVersion="6" minRefreshableVersion="3" useAutoFormatting="1" itemPrintTitles="1" createdVersion="6" indent="0" outline="1" outlineData="1" multipleFieldFilters="0">
  <location ref="M3:N119" firstHeaderRow="1" firstDataRow="1" firstDataCol="1" rowPageCount="1" colPageCount="1"/>
  <pivotFields count="11">
    <pivotField showAll="0"/>
    <pivotField showAll="0"/>
    <pivotField showAll="0"/>
    <pivotField axis="axisPage" showAll="0">
      <items count="6">
        <item x="2"/>
        <item x="0"/>
        <item x="4"/>
        <item x="1"/>
        <item x="3"/>
        <item t="default"/>
      </items>
    </pivotField>
    <pivotField numFmtId="4" showAll="0"/>
    <pivotField dataField="1" numFmtId="4" showAll="0"/>
    <pivotField numFmtId="4" showAll="0"/>
    <pivotField numFmtId="4" showAll="0"/>
    <pivotField numFmtId="4" showAll="0"/>
    <pivotField showAll="0"/>
    <pivotField axis="axisRow" showAll="0" sortType="ascending" defaultSubtotal="0">
      <items count="233">
        <item x="0"/>
        <item x="1"/>
        <item x="2"/>
        <item x="3"/>
        <item x="4"/>
        <item x="5"/>
        <item x="6"/>
        <item x="7"/>
        <item x="8"/>
        <item x="9"/>
        <item x="10"/>
        <item x="11"/>
        <item x="12"/>
        <item x="13"/>
        <item m="1" x="229"/>
        <item x="14"/>
        <item x="15"/>
        <item x="16"/>
        <item x="17"/>
        <item x="18"/>
        <item x="19"/>
        <item x="20"/>
        <item x="21"/>
        <item x="22"/>
        <item x="23"/>
        <item x="24"/>
        <item x="25"/>
        <item m="1" x="230"/>
        <item x="26"/>
        <item x="27"/>
        <item x="28"/>
        <item m="1" x="227"/>
        <item x="29"/>
        <item x="30"/>
        <item x="31"/>
        <item m="1" x="228"/>
        <item m="1" x="226"/>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m="1" x="225"/>
        <item x="97"/>
        <item x="98"/>
        <item x="99"/>
        <item x="100"/>
        <item x="101"/>
        <item x="102"/>
        <item x="103"/>
        <item x="104"/>
        <item x="105"/>
        <item x="106"/>
        <item m="1" x="222"/>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m="1" x="223"/>
        <item x="218"/>
        <item m="1" x="224"/>
        <item m="1" x="221"/>
        <item m="1" x="220"/>
        <item m="1" x="232"/>
        <item m="1" x="231"/>
        <item x="219"/>
      </items>
    </pivotField>
  </pivotFields>
  <rowFields count="1">
    <field x="10"/>
  </rowFields>
  <rowItems count="116">
    <i>
      <x/>
    </i>
    <i>
      <x v="1"/>
    </i>
    <i>
      <x v="2"/>
    </i>
    <i>
      <x v="3"/>
    </i>
    <i>
      <x v="4"/>
    </i>
    <i>
      <x v="5"/>
    </i>
    <i>
      <x v="6"/>
    </i>
    <i>
      <x v="7"/>
    </i>
    <i>
      <x v="8"/>
    </i>
    <i>
      <x v="9"/>
    </i>
    <i>
      <x v="10"/>
    </i>
    <i>
      <x v="11"/>
    </i>
    <i>
      <x v="16"/>
    </i>
    <i>
      <x v="17"/>
    </i>
    <i>
      <x v="18"/>
    </i>
    <i>
      <x v="24"/>
    </i>
    <i>
      <x v="29"/>
    </i>
    <i>
      <x v="30"/>
    </i>
    <i>
      <x v="32"/>
    </i>
    <i>
      <x v="33"/>
    </i>
    <i>
      <x v="34"/>
    </i>
    <i>
      <x v="41"/>
    </i>
    <i>
      <x v="44"/>
    </i>
    <i>
      <x v="45"/>
    </i>
    <i>
      <x v="47"/>
    </i>
    <i>
      <x v="49"/>
    </i>
    <i>
      <x v="50"/>
    </i>
    <i>
      <x v="51"/>
    </i>
    <i>
      <x v="52"/>
    </i>
    <i>
      <x v="55"/>
    </i>
    <i>
      <x v="56"/>
    </i>
    <i>
      <x v="57"/>
    </i>
    <i>
      <x v="58"/>
    </i>
    <i>
      <x v="60"/>
    </i>
    <i>
      <x v="61"/>
    </i>
    <i>
      <x v="62"/>
    </i>
    <i>
      <x v="63"/>
    </i>
    <i>
      <x v="64"/>
    </i>
    <i>
      <x v="68"/>
    </i>
    <i>
      <x v="72"/>
    </i>
    <i>
      <x v="74"/>
    </i>
    <i>
      <x v="77"/>
    </i>
    <i>
      <x v="81"/>
    </i>
    <i>
      <x v="88"/>
    </i>
    <i>
      <x v="89"/>
    </i>
    <i>
      <x v="91"/>
    </i>
    <i>
      <x v="92"/>
    </i>
    <i>
      <x v="93"/>
    </i>
    <i>
      <x v="94"/>
    </i>
    <i>
      <x v="95"/>
    </i>
    <i>
      <x v="97"/>
    </i>
    <i>
      <x v="98"/>
    </i>
    <i>
      <x v="104"/>
    </i>
    <i>
      <x v="106"/>
    </i>
    <i>
      <x v="115"/>
    </i>
    <i>
      <x v="118"/>
    </i>
    <i>
      <x v="119"/>
    </i>
    <i>
      <x v="120"/>
    </i>
    <i>
      <x v="122"/>
    </i>
    <i>
      <x v="125"/>
    </i>
    <i>
      <x v="133"/>
    </i>
    <i>
      <x v="137"/>
    </i>
    <i>
      <x v="138"/>
    </i>
    <i>
      <x v="139"/>
    </i>
    <i>
      <x v="140"/>
    </i>
    <i>
      <x v="141"/>
    </i>
    <i>
      <x v="143"/>
    </i>
    <i>
      <x v="144"/>
    </i>
    <i>
      <x v="145"/>
    </i>
    <i>
      <x v="146"/>
    </i>
    <i>
      <x v="148"/>
    </i>
    <i>
      <x v="149"/>
    </i>
    <i>
      <x v="150"/>
    </i>
    <i>
      <x v="151"/>
    </i>
    <i>
      <x v="154"/>
    </i>
    <i>
      <x v="155"/>
    </i>
    <i>
      <x v="158"/>
    </i>
    <i>
      <x v="160"/>
    </i>
    <i>
      <x v="163"/>
    </i>
    <i>
      <x v="164"/>
    </i>
    <i>
      <x v="165"/>
    </i>
    <i>
      <x v="166"/>
    </i>
    <i>
      <x v="167"/>
    </i>
    <i>
      <x v="168"/>
    </i>
    <i>
      <x v="169"/>
    </i>
    <i>
      <x v="170"/>
    </i>
    <i>
      <x v="171"/>
    </i>
    <i>
      <x v="173"/>
    </i>
    <i>
      <x v="174"/>
    </i>
    <i>
      <x v="176"/>
    </i>
    <i>
      <x v="179"/>
    </i>
    <i>
      <x v="180"/>
    </i>
    <i>
      <x v="181"/>
    </i>
    <i>
      <x v="185"/>
    </i>
    <i>
      <x v="188"/>
    </i>
    <i>
      <x v="189"/>
    </i>
    <i>
      <x v="192"/>
    </i>
    <i>
      <x v="196"/>
    </i>
    <i>
      <x v="197"/>
    </i>
    <i>
      <x v="199"/>
    </i>
    <i>
      <x v="201"/>
    </i>
    <i>
      <x v="202"/>
    </i>
    <i>
      <x v="206"/>
    </i>
    <i>
      <x v="207"/>
    </i>
    <i>
      <x v="208"/>
    </i>
    <i>
      <x v="210"/>
    </i>
    <i>
      <x v="211"/>
    </i>
    <i>
      <x v="213"/>
    </i>
    <i>
      <x v="214"/>
    </i>
    <i>
      <x v="215"/>
    </i>
    <i>
      <x v="218"/>
    </i>
    <i>
      <x v="222"/>
    </i>
    <i>
      <x v="223"/>
    </i>
    <i>
      <x v="224"/>
    </i>
    <i>
      <x v="232"/>
    </i>
    <i t="grand">
      <x/>
    </i>
  </rowItems>
  <colItems count="1">
    <i/>
  </colItems>
  <pageFields count="1">
    <pageField fld="3" item="1" hier="-1"/>
  </pageFields>
  <dataFields count="1">
    <dataField name="Súčet z Saldo ku dňu" fld="5" baseField="0" baseItem="0" numFmtId="3"/>
  </dataFields>
  <formats count="4">
    <format dxfId="3">
      <pivotArea outline="0" collapsedLevelsAreSubtotals="1" fieldPosition="0"/>
    </format>
    <format dxfId="2">
      <pivotArea dataOnly="0" labelOnly="1" outline="0" fieldPosition="0">
        <references count="1">
          <reference field="3" count="1">
            <x v="1"/>
          </reference>
        </references>
      </pivotArea>
    </format>
    <format dxfId="1">
      <pivotArea dataOnly="0" labelOnly="1" outline="0" axis="axisValues" fieldPosition="0"/>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D1C1F-C559-440F-9072-C7C26AF876A2}">
  <dimension ref="A1:V171"/>
  <sheetViews>
    <sheetView workbookViewId="0">
      <pane ySplit="2" topLeftCell="A3" activePane="bottomLeft" state="frozen"/>
      <selection pane="bottomLeft" activeCell="A3" sqref="A3"/>
    </sheetView>
  </sheetViews>
  <sheetFormatPr defaultColWidth="8.88671875" defaultRowHeight="14.4" x14ac:dyDescent="0.3"/>
  <cols>
    <col min="1" max="1" width="11.5546875" style="178" customWidth="1"/>
    <col min="2" max="2" width="139.6640625" style="178" bestFit="1" customWidth="1"/>
    <col min="3" max="5" width="11.6640625" style="181" customWidth="1"/>
    <col min="6" max="6" width="14.44140625" style="181" bestFit="1" customWidth="1"/>
    <col min="7" max="16384" width="8.88671875" style="178"/>
  </cols>
  <sheetData>
    <row r="1" spans="1:22" x14ac:dyDescent="0.3">
      <c r="A1" s="179" t="s">
        <v>1933</v>
      </c>
      <c r="B1" s="179" t="s">
        <v>1934</v>
      </c>
      <c r="C1" s="206" t="s">
        <v>1816</v>
      </c>
      <c r="D1" s="206"/>
      <c r="E1" s="206"/>
      <c r="F1" s="203" t="s">
        <v>1817</v>
      </c>
    </row>
    <row r="2" spans="1:22" x14ac:dyDescent="0.3">
      <c r="A2" s="180" t="s">
        <v>1935</v>
      </c>
      <c r="B2" s="180" t="s">
        <v>1936</v>
      </c>
      <c r="C2" s="204" t="s">
        <v>2204</v>
      </c>
      <c r="D2" s="204" t="s">
        <v>2205</v>
      </c>
      <c r="E2" s="205" t="s">
        <v>2206</v>
      </c>
      <c r="F2" s="205" t="s">
        <v>2206</v>
      </c>
    </row>
    <row r="3" spans="1:22" x14ac:dyDescent="0.3">
      <c r="A3" s="180" t="s">
        <v>1937</v>
      </c>
      <c r="B3" s="180" t="s">
        <v>1938</v>
      </c>
      <c r="C3" s="182">
        <f>SUM(C4,C35,C76)</f>
        <v>15879862.060000002</v>
      </c>
      <c r="D3" s="182">
        <f>SUM(D4,D35,D76)</f>
        <v>2185956.73</v>
      </c>
      <c r="E3" s="182">
        <f>C3-D3</f>
        <v>13693905.330000002</v>
      </c>
      <c r="F3" s="182">
        <f>SUM(F4,F35,F76)</f>
        <v>15838211</v>
      </c>
    </row>
    <row r="4" spans="1:22" x14ac:dyDescent="0.3">
      <c r="A4" s="180" t="s">
        <v>1939</v>
      </c>
      <c r="B4" s="180" t="s">
        <v>1940</v>
      </c>
      <c r="C4" s="182">
        <f>SUM(C5,C13,C23)</f>
        <v>4720457.13</v>
      </c>
      <c r="D4" s="182">
        <f>SUM(D5,D13,D23)</f>
        <v>1661385.88</v>
      </c>
      <c r="E4" s="182">
        <f t="shared" ref="E4:E67" si="0">C4-D4</f>
        <v>3059071.25</v>
      </c>
      <c r="F4" s="182">
        <f>SUM(F5,F13,F23)</f>
        <v>3034190</v>
      </c>
      <c r="G4" s="187"/>
      <c r="H4" s="187"/>
      <c r="I4" s="187"/>
      <c r="J4" s="187"/>
      <c r="K4" s="187"/>
      <c r="L4" s="187"/>
      <c r="M4" s="187"/>
      <c r="N4" s="187"/>
      <c r="O4" s="187"/>
      <c r="P4" s="187"/>
      <c r="Q4" s="187"/>
      <c r="R4" s="187"/>
      <c r="S4" s="187"/>
      <c r="T4" s="187"/>
      <c r="U4" s="187"/>
      <c r="V4" s="187"/>
    </row>
    <row r="5" spans="1:22" x14ac:dyDescent="0.3">
      <c r="A5" s="180" t="s">
        <v>1941</v>
      </c>
      <c r="B5" s="180" t="s">
        <v>1942</v>
      </c>
      <c r="C5" s="182">
        <f>SUM(C6:C12)</f>
        <v>108030.45999999999</v>
      </c>
      <c r="D5" s="182">
        <f>SUM(D6:D12)</f>
        <v>78500.31</v>
      </c>
      <c r="E5" s="182">
        <f t="shared" si="0"/>
        <v>29530.149999999994</v>
      </c>
      <c r="F5" s="182">
        <v>10515</v>
      </c>
      <c r="G5" s="187"/>
      <c r="H5" s="187"/>
      <c r="I5" s="187"/>
      <c r="J5" s="187"/>
      <c r="K5" s="187"/>
      <c r="L5" s="187"/>
      <c r="M5" s="187"/>
      <c r="N5" s="187"/>
      <c r="O5" s="187"/>
      <c r="P5" s="187"/>
      <c r="Q5" s="187"/>
      <c r="R5" s="187"/>
      <c r="S5" s="187"/>
      <c r="T5" s="187"/>
      <c r="U5" s="187"/>
      <c r="V5" s="187"/>
    </row>
    <row r="6" spans="1:22" x14ac:dyDescent="0.3">
      <c r="A6" s="180" t="s">
        <v>1943</v>
      </c>
      <c r="B6" s="180" t="s">
        <v>1944</v>
      </c>
      <c r="C6" s="182">
        <f>IFERROR(VLOOKUP("012",'Účtovná osnova'!$M:$N,2,FALSE),)</f>
        <v>0</v>
      </c>
      <c r="D6" s="182">
        <f>-IFERROR(VLOOKUP("072",'Účtovná osnova'!$M:$N,2,FALSE),)</f>
        <v>0</v>
      </c>
      <c r="E6" s="182">
        <f t="shared" si="0"/>
        <v>0</v>
      </c>
      <c r="F6" s="182">
        <v>0</v>
      </c>
      <c r="G6" s="187"/>
      <c r="H6" s="187"/>
      <c r="I6" s="187"/>
      <c r="J6" s="187"/>
      <c r="K6" s="187"/>
      <c r="L6" s="187"/>
      <c r="M6" s="187"/>
      <c r="N6" s="187"/>
      <c r="O6" s="187"/>
      <c r="P6" s="187"/>
      <c r="Q6" s="187"/>
      <c r="R6" s="187"/>
      <c r="S6" s="187"/>
      <c r="T6" s="187"/>
      <c r="U6" s="187"/>
      <c r="V6" s="187"/>
    </row>
    <row r="7" spans="1:22" x14ac:dyDescent="0.3">
      <c r="A7" s="180" t="s">
        <v>1945</v>
      </c>
      <c r="B7" s="180" t="s">
        <v>1946</v>
      </c>
      <c r="C7" s="182">
        <f>IFERROR(VLOOKUP("013",'Účtovná osnova'!$M:$N,2,FALSE),)</f>
        <v>81044.36</v>
      </c>
      <c r="D7" s="182">
        <f>-IFERROR(VLOOKUP("073",'Účtovná osnova'!$M:$N,2,FALSE),)</f>
        <v>78500.31</v>
      </c>
      <c r="E7" s="182">
        <f t="shared" si="0"/>
        <v>2544.0500000000029</v>
      </c>
      <c r="F7" s="182">
        <v>3515</v>
      </c>
      <c r="G7" s="187"/>
      <c r="H7" s="187"/>
      <c r="I7" s="187"/>
      <c r="J7" s="187"/>
      <c r="K7" s="187"/>
      <c r="L7" s="187"/>
      <c r="M7" s="187"/>
      <c r="N7" s="187"/>
      <c r="O7" s="187"/>
      <c r="P7" s="187"/>
      <c r="Q7" s="187"/>
      <c r="R7" s="187"/>
      <c r="S7" s="187"/>
      <c r="T7" s="187"/>
      <c r="U7" s="187"/>
      <c r="V7" s="187"/>
    </row>
    <row r="8" spans="1:22" x14ac:dyDescent="0.3">
      <c r="A8" s="180" t="s">
        <v>1947</v>
      </c>
      <c r="B8" s="180" t="s">
        <v>1948</v>
      </c>
      <c r="C8" s="182">
        <f>IFERROR(VLOOKUP("014",'Účtovná osnova'!$M:$N,2,FALSE),)</f>
        <v>0</v>
      </c>
      <c r="D8" s="182">
        <f>-IFERROR(VLOOKUP("074",'Účtovná osnova'!$M:$N,2,FALSE),)</f>
        <v>0</v>
      </c>
      <c r="E8" s="182">
        <f t="shared" si="0"/>
        <v>0</v>
      </c>
      <c r="F8" s="182">
        <v>0</v>
      </c>
      <c r="G8" s="187"/>
      <c r="H8" s="187"/>
      <c r="I8" s="187"/>
      <c r="J8" s="187"/>
      <c r="K8" s="187"/>
      <c r="L8" s="187"/>
      <c r="M8" s="187"/>
      <c r="N8" s="187"/>
      <c r="O8" s="187"/>
      <c r="P8" s="187"/>
      <c r="Q8" s="187"/>
      <c r="R8" s="187"/>
      <c r="S8" s="187"/>
      <c r="T8" s="187"/>
      <c r="U8" s="187"/>
      <c r="V8" s="187"/>
    </row>
    <row r="9" spans="1:22" x14ac:dyDescent="0.3">
      <c r="A9" s="180" t="s">
        <v>1949</v>
      </c>
      <c r="B9" s="180" t="s">
        <v>1950</v>
      </c>
      <c r="C9" s="182">
        <f>IFERROR(VLOOKUP("015",'Účtovná osnova'!$M:$N,2,FALSE),)</f>
        <v>0</v>
      </c>
      <c r="D9" s="182">
        <f>-IFERROR(VLOOKUP("075",'Účtovná osnova'!$M:$N,2,FALSE),)</f>
        <v>0</v>
      </c>
      <c r="E9" s="182">
        <f t="shared" si="0"/>
        <v>0</v>
      </c>
      <c r="F9" s="182">
        <v>0</v>
      </c>
      <c r="G9" s="187"/>
      <c r="H9" s="187"/>
      <c r="I9" s="187"/>
      <c r="J9" s="187"/>
      <c r="K9" s="187"/>
      <c r="L9" s="187"/>
      <c r="M9" s="187"/>
      <c r="N9" s="187"/>
      <c r="O9" s="187"/>
      <c r="P9" s="187"/>
      <c r="Q9" s="187"/>
      <c r="R9" s="187"/>
      <c r="S9" s="187"/>
      <c r="T9" s="187"/>
      <c r="U9" s="187"/>
      <c r="V9" s="187"/>
    </row>
    <row r="10" spans="1:22" x14ac:dyDescent="0.3">
      <c r="A10" s="180" t="s">
        <v>1951</v>
      </c>
      <c r="B10" s="180" t="s">
        <v>1952</v>
      </c>
      <c r="C10" s="182">
        <f>IFERROR(VLOOKUP("019",'Účtovná osnova'!$M:$N,2,FALSE),)</f>
        <v>0</v>
      </c>
      <c r="D10" s="182">
        <f>-IFERROR(VLOOKUP("079",'Účtovná osnova'!$M:$N,2,FALSE),)-IFERROR(VLOOKUP("091",'Účtovná osnova'!$M:$N,2,FALSE),)</f>
        <v>0</v>
      </c>
      <c r="E10" s="182">
        <f t="shared" si="0"/>
        <v>0</v>
      </c>
      <c r="F10" s="182">
        <v>0</v>
      </c>
      <c r="G10" s="187"/>
      <c r="H10" s="187"/>
      <c r="I10" s="187"/>
      <c r="J10" s="187"/>
      <c r="K10" s="187"/>
      <c r="L10" s="187"/>
      <c r="M10" s="187"/>
      <c r="N10" s="187"/>
      <c r="O10" s="187"/>
      <c r="P10" s="187"/>
      <c r="Q10" s="187"/>
      <c r="R10" s="187"/>
      <c r="S10" s="187"/>
      <c r="T10" s="187"/>
      <c r="U10" s="187"/>
      <c r="V10" s="187"/>
    </row>
    <row r="11" spans="1:22" x14ac:dyDescent="0.3">
      <c r="A11" s="180" t="s">
        <v>1953</v>
      </c>
      <c r="B11" s="180" t="s">
        <v>1954</v>
      </c>
      <c r="C11" s="182">
        <f>IFERROR(VLOOKUP("041",'Účtovná osnova'!$M:$N,2,FALSE),)</f>
        <v>26986.1</v>
      </c>
      <c r="D11" s="182">
        <f>-IFERROR(VLOOKUP("093",'Účtovná osnova'!$M:$N,2,FALSE),)</f>
        <v>0</v>
      </c>
      <c r="E11" s="182">
        <f t="shared" si="0"/>
        <v>26986.1</v>
      </c>
      <c r="F11" s="182">
        <v>7000</v>
      </c>
      <c r="G11" s="187"/>
      <c r="H11" s="187"/>
      <c r="I11" s="187"/>
      <c r="J11" s="187"/>
      <c r="K11" s="187"/>
      <c r="L11" s="187"/>
      <c r="M11" s="187"/>
      <c r="N11" s="187"/>
      <c r="O11" s="187"/>
      <c r="P11" s="187"/>
      <c r="Q11" s="187"/>
      <c r="R11" s="187"/>
      <c r="S11" s="187"/>
      <c r="T11" s="187"/>
      <c r="U11" s="187"/>
      <c r="V11" s="187"/>
    </row>
    <row r="12" spans="1:22" x14ac:dyDescent="0.3">
      <c r="A12" s="180" t="s">
        <v>1955</v>
      </c>
      <c r="B12" s="180" t="s">
        <v>1956</v>
      </c>
      <c r="C12" s="182">
        <f>IFERROR(VLOOKUP("051",'Účtovná osnova'!$M:$N,2,FALSE),)</f>
        <v>0</v>
      </c>
      <c r="D12" s="182"/>
      <c r="E12" s="182">
        <f t="shared" si="0"/>
        <v>0</v>
      </c>
      <c r="F12" s="182">
        <v>0</v>
      </c>
      <c r="G12" s="187"/>
      <c r="H12" s="187"/>
      <c r="I12" s="187"/>
      <c r="J12" s="187"/>
      <c r="K12" s="187"/>
      <c r="L12" s="187"/>
      <c r="M12" s="187"/>
      <c r="N12" s="187"/>
      <c r="O12" s="187"/>
      <c r="P12" s="187"/>
      <c r="Q12" s="187"/>
      <c r="R12" s="187"/>
      <c r="S12" s="187"/>
      <c r="T12" s="187"/>
      <c r="U12" s="187"/>
      <c r="V12" s="187"/>
    </row>
    <row r="13" spans="1:22" x14ac:dyDescent="0.3">
      <c r="A13" s="180" t="s">
        <v>1957</v>
      </c>
      <c r="B13" s="180" t="s">
        <v>1958</v>
      </c>
      <c r="C13" s="182">
        <f>SUM(C14:C22)</f>
        <v>4612426.67</v>
      </c>
      <c r="D13" s="182">
        <f>SUM(D14:D22)</f>
        <v>1582885.5699999998</v>
      </c>
      <c r="E13" s="182">
        <f t="shared" si="0"/>
        <v>3029541.1</v>
      </c>
      <c r="F13" s="182">
        <f>SUM(F14:F22)</f>
        <v>3023675</v>
      </c>
      <c r="G13" s="187"/>
      <c r="H13" s="187"/>
      <c r="I13" s="187"/>
      <c r="J13" s="187"/>
      <c r="K13" s="187"/>
      <c r="L13" s="187"/>
      <c r="M13" s="187"/>
      <c r="N13" s="187"/>
      <c r="O13" s="187"/>
      <c r="P13" s="187"/>
      <c r="Q13" s="187"/>
      <c r="R13" s="187"/>
      <c r="S13" s="187"/>
      <c r="T13" s="187"/>
      <c r="U13" s="187"/>
      <c r="V13" s="187"/>
    </row>
    <row r="14" spans="1:22" x14ac:dyDescent="0.3">
      <c r="A14" s="180" t="s">
        <v>1959</v>
      </c>
      <c r="B14" s="180" t="s">
        <v>1960</v>
      </c>
      <c r="C14" s="182">
        <f>IFERROR(VLOOKUP("031",'Účtovná osnova'!$M:$N,2,FALSE),)</f>
        <v>0</v>
      </c>
      <c r="D14" s="182"/>
      <c r="E14" s="182">
        <f t="shared" si="0"/>
        <v>0</v>
      </c>
      <c r="F14" s="182">
        <v>0</v>
      </c>
      <c r="G14" s="187"/>
      <c r="H14" s="187"/>
      <c r="I14" s="187"/>
      <c r="J14" s="187"/>
      <c r="K14" s="187"/>
      <c r="L14" s="187"/>
      <c r="M14" s="187"/>
      <c r="N14" s="187"/>
      <c r="O14" s="187"/>
      <c r="P14" s="187"/>
      <c r="Q14" s="187"/>
      <c r="R14" s="187"/>
      <c r="S14" s="187"/>
      <c r="T14" s="187"/>
      <c r="U14" s="187"/>
      <c r="V14" s="187"/>
    </row>
    <row r="15" spans="1:22" x14ac:dyDescent="0.3">
      <c r="A15" s="180" t="s">
        <v>1804</v>
      </c>
      <c r="B15" s="180" t="s">
        <v>1961</v>
      </c>
      <c r="C15" s="182">
        <f>IFERROR(VLOOKUP("021",'Účtovná osnova'!$M:$N,2,FALSE),)</f>
        <v>15701.3</v>
      </c>
      <c r="D15" s="182">
        <f>-IFERROR(VLOOKUP("081",'Účtovná osnova'!$M:$N,2,FALSE),)</f>
        <v>4828.41</v>
      </c>
      <c r="E15" s="182">
        <f t="shared" si="0"/>
        <v>10872.89</v>
      </c>
      <c r="F15" s="182">
        <v>11925</v>
      </c>
      <c r="G15" s="187"/>
      <c r="H15" s="187"/>
      <c r="I15" s="187"/>
      <c r="J15" s="187"/>
      <c r="K15" s="187"/>
      <c r="L15" s="187"/>
      <c r="M15" s="187"/>
      <c r="N15" s="187"/>
      <c r="O15" s="187"/>
      <c r="P15" s="187"/>
      <c r="Q15" s="187"/>
      <c r="R15" s="187"/>
      <c r="S15" s="187"/>
      <c r="T15" s="187"/>
      <c r="U15" s="187"/>
      <c r="V15" s="187"/>
    </row>
    <row r="16" spans="1:22" x14ac:dyDescent="0.3">
      <c r="A16" s="180" t="s">
        <v>1962</v>
      </c>
      <c r="B16" s="180" t="s">
        <v>1963</v>
      </c>
      <c r="C16" s="182">
        <f>IFERROR(VLOOKUP("022",'Účtovná osnova'!$M:$N,2,FALSE),)+(IFERROR(VLOOKUP("029",'Účtovná osnova'!$M:$N,2,FALSE),)+IFERROR(VLOOKUP("032",'Účtovná osnova'!$M:$N,2,FALSE),))</f>
        <v>4596575.37</v>
      </c>
      <c r="D16" s="182">
        <f>-IFERROR(VLOOKUP("082",'Účtovná osnova'!$M:$N,2,FALSE),)</f>
        <v>1578057.16</v>
      </c>
      <c r="E16" s="182">
        <f t="shared" si="0"/>
        <v>3018518.21</v>
      </c>
      <c r="F16" s="182">
        <v>3010547</v>
      </c>
      <c r="G16" s="187"/>
      <c r="H16" s="187"/>
      <c r="I16" s="187"/>
      <c r="J16" s="187"/>
      <c r="K16" s="187"/>
      <c r="L16" s="187"/>
      <c r="M16" s="187"/>
      <c r="N16" s="187"/>
      <c r="O16" s="187"/>
      <c r="P16" s="187"/>
      <c r="Q16" s="187"/>
      <c r="R16" s="187"/>
      <c r="S16" s="187"/>
      <c r="T16" s="187"/>
      <c r="U16" s="187"/>
      <c r="V16" s="187"/>
    </row>
    <row r="17" spans="1:22" x14ac:dyDescent="0.3">
      <c r="A17" s="180" t="s">
        <v>1964</v>
      </c>
      <c r="B17" s="180" t="s">
        <v>1965</v>
      </c>
      <c r="C17" s="182">
        <f>IFERROR(VLOOKUP("025",'Účtovná osnova'!$M:$N,2,FALSE),)</f>
        <v>0</v>
      </c>
      <c r="D17" s="182">
        <f>-IFERROR(VLOOKUP("085",'Účtovná osnova'!$M:$N,2,FALSE),)</f>
        <v>0</v>
      </c>
      <c r="E17" s="182">
        <f t="shared" si="0"/>
        <v>0</v>
      </c>
      <c r="F17" s="182">
        <v>0</v>
      </c>
      <c r="G17" s="187"/>
      <c r="H17" s="187"/>
      <c r="I17" s="187"/>
      <c r="J17" s="187"/>
      <c r="K17" s="187"/>
      <c r="L17" s="187"/>
      <c r="M17" s="187"/>
      <c r="N17" s="187"/>
      <c r="O17" s="187"/>
      <c r="P17" s="187"/>
      <c r="Q17" s="187"/>
      <c r="R17" s="187"/>
      <c r="S17" s="187"/>
      <c r="T17" s="187"/>
      <c r="U17" s="187"/>
      <c r="V17" s="187"/>
    </row>
    <row r="18" spans="1:22" x14ac:dyDescent="0.3">
      <c r="A18" s="180" t="s">
        <v>1966</v>
      </c>
      <c r="B18" s="180" t="s">
        <v>1967</v>
      </c>
      <c r="C18" s="182">
        <f>IFERROR(VLOOKUP("026",'Účtovná osnova'!$M:$N,2,FALSE),)</f>
        <v>0</v>
      </c>
      <c r="D18" s="182">
        <f>-IFERROR(VLOOKUP("086",'Účtovná osnova'!$M:$N,2,FALSE),)</f>
        <v>0</v>
      </c>
      <c r="E18" s="182">
        <f t="shared" si="0"/>
        <v>0</v>
      </c>
      <c r="F18" s="182">
        <v>0</v>
      </c>
      <c r="G18" s="187"/>
      <c r="H18" s="187"/>
      <c r="I18" s="187"/>
      <c r="J18" s="187"/>
      <c r="K18" s="187"/>
      <c r="L18" s="187"/>
      <c r="M18" s="187"/>
      <c r="N18" s="187"/>
      <c r="O18" s="187"/>
      <c r="P18" s="187"/>
      <c r="Q18" s="187"/>
      <c r="R18" s="187"/>
      <c r="S18" s="187"/>
      <c r="T18" s="187"/>
      <c r="U18" s="187"/>
      <c r="V18" s="187"/>
    </row>
    <row r="19" spans="1:22" x14ac:dyDescent="0.3">
      <c r="A19" s="180" t="s">
        <v>1968</v>
      </c>
      <c r="B19" s="180" t="s">
        <v>1969</v>
      </c>
      <c r="C19" s="182">
        <f>(IFERROR(VLOOKUP("029",'Účtovná osnova'!$M:$N,2,FALSE),)+IFERROR(VLOOKUP("032",'Účtovná osnova'!$M:$N,2,FALSE),))*0</f>
        <v>0</v>
      </c>
      <c r="D19" s="182">
        <f>-IFERROR(VLOOKUP("089",'Účtovná osnova'!$M:$N,2,FALSE),)-IFERROR(VLOOKUP("092",'Účtovná osnova'!$M:$N,2,FALSE),)</f>
        <v>0</v>
      </c>
      <c r="E19" s="182">
        <f t="shared" si="0"/>
        <v>0</v>
      </c>
      <c r="F19" s="182">
        <v>0</v>
      </c>
      <c r="G19" s="187"/>
      <c r="H19" s="187"/>
      <c r="I19" s="187"/>
      <c r="J19" s="187"/>
      <c r="K19" s="187"/>
      <c r="L19" s="187"/>
      <c r="M19" s="187"/>
      <c r="N19" s="187"/>
      <c r="O19" s="187"/>
      <c r="P19" s="187"/>
      <c r="Q19" s="187"/>
      <c r="R19" s="187"/>
      <c r="S19" s="187"/>
      <c r="T19" s="187"/>
      <c r="U19" s="187"/>
      <c r="V19" s="187"/>
    </row>
    <row r="20" spans="1:22" x14ac:dyDescent="0.3">
      <c r="A20" s="180" t="s">
        <v>1970</v>
      </c>
      <c r="B20" s="180" t="s">
        <v>1971</v>
      </c>
      <c r="C20" s="182">
        <f>IFERROR(VLOOKUP("042",'Účtovná osnova'!$M:$N,2,FALSE),)</f>
        <v>150</v>
      </c>
      <c r="D20" s="182">
        <f>-IFERROR(VLOOKUP("094",'Účtovná osnova'!$M:$N,2,FALSE),)</f>
        <v>0</v>
      </c>
      <c r="E20" s="182">
        <f t="shared" si="0"/>
        <v>150</v>
      </c>
      <c r="F20" s="182">
        <v>1203</v>
      </c>
    </row>
    <row r="21" spans="1:22" x14ac:dyDescent="0.3">
      <c r="A21" s="180" t="s">
        <v>1972</v>
      </c>
      <c r="B21" s="180" t="s">
        <v>1973</v>
      </c>
      <c r="C21" s="182">
        <f>IFERROR(VLOOKUP("052",'Účtovná osnova'!$M:$N,2,FALSE),)</f>
        <v>0</v>
      </c>
      <c r="D21" s="182"/>
      <c r="E21" s="182">
        <f t="shared" si="0"/>
        <v>0</v>
      </c>
      <c r="F21" s="182">
        <v>0</v>
      </c>
    </row>
    <row r="22" spans="1:22" x14ac:dyDescent="0.3">
      <c r="A22" s="180" t="s">
        <v>1974</v>
      </c>
      <c r="B22" s="180" t="s">
        <v>1975</v>
      </c>
      <c r="C22" s="182">
        <f>IFERROR(VLOOKUP("097",'Účtovná osnova'!$M:$N,2,FALSE),)</f>
        <v>0</v>
      </c>
      <c r="D22" s="182">
        <f>-IFERROR(VLOOKUP("098",'Účtovná osnova'!$M:$N,2,FALSE),)</f>
        <v>0</v>
      </c>
      <c r="E22" s="182">
        <f t="shared" si="0"/>
        <v>0</v>
      </c>
      <c r="F22" s="182">
        <v>0</v>
      </c>
    </row>
    <row r="23" spans="1:22" x14ac:dyDescent="0.3">
      <c r="A23" s="180" t="s">
        <v>1805</v>
      </c>
      <c r="B23" s="180" t="s">
        <v>1976</v>
      </c>
      <c r="C23" s="182">
        <f>SUM(C24:C31)</f>
        <v>0</v>
      </c>
      <c r="D23" s="182">
        <f>SUM(D24:D31)</f>
        <v>0</v>
      </c>
      <c r="E23" s="182">
        <f t="shared" si="0"/>
        <v>0</v>
      </c>
      <c r="F23" s="182">
        <f>SUM(F24:F31)</f>
        <v>0</v>
      </c>
    </row>
    <row r="24" spans="1:22" x14ac:dyDescent="0.3">
      <c r="A24" s="180" t="s">
        <v>1806</v>
      </c>
      <c r="B24" s="180" t="s">
        <v>1977</v>
      </c>
      <c r="C24" s="182">
        <f>IFERROR(VLOOKUP("061",'Účtovná osnova'!$M:$N,2,FALSE),)</f>
        <v>0</v>
      </c>
      <c r="D24" s="182"/>
      <c r="E24" s="182">
        <f t="shared" si="0"/>
        <v>0</v>
      </c>
      <c r="F24" s="182">
        <v>0</v>
      </c>
    </row>
    <row r="25" spans="1:22" x14ac:dyDescent="0.3">
      <c r="A25" s="180" t="s">
        <v>1978</v>
      </c>
      <c r="B25" s="180" t="s">
        <v>1979</v>
      </c>
      <c r="C25" s="182">
        <f>IFERROR(VLOOKUP("062",'Účtovná osnova'!$M:$N,2,FALSE),)</f>
        <v>0</v>
      </c>
      <c r="D25" s="182"/>
      <c r="E25" s="182">
        <f t="shared" si="0"/>
        <v>0</v>
      </c>
      <c r="F25" s="182">
        <v>0</v>
      </c>
    </row>
    <row r="26" spans="1:22" x14ac:dyDescent="0.3">
      <c r="A26" s="180" t="s">
        <v>1980</v>
      </c>
      <c r="B26" s="180" t="s">
        <v>1981</v>
      </c>
      <c r="C26" s="182">
        <f>IFERROR(VLOOKUP("063",'Účtovná osnova'!$M:$N,2,FALSE),)</f>
        <v>0</v>
      </c>
      <c r="D26" s="182"/>
      <c r="E26" s="182">
        <f t="shared" si="0"/>
        <v>0</v>
      </c>
      <c r="F26" s="182">
        <v>0</v>
      </c>
    </row>
    <row r="27" spans="1:22" x14ac:dyDescent="0.3">
      <c r="A27" s="180" t="s">
        <v>1982</v>
      </c>
      <c r="B27" s="180" t="s">
        <v>1983</v>
      </c>
      <c r="C27" s="182"/>
      <c r="D27" s="182"/>
      <c r="E27" s="182">
        <f t="shared" si="0"/>
        <v>0</v>
      </c>
      <c r="F27" s="182"/>
    </row>
    <row r="28" spans="1:22" x14ac:dyDescent="0.3">
      <c r="A28" s="180" t="s">
        <v>1984</v>
      </c>
      <c r="B28" s="180" t="s">
        <v>1985</v>
      </c>
      <c r="C28" s="182">
        <f>IFERROR(VLOOKUP("066",'Účtovná osnova'!$M:$N,2,FALSE),)-C27</f>
        <v>0</v>
      </c>
      <c r="D28" s="182"/>
      <c r="E28" s="182">
        <f t="shared" si="0"/>
        <v>0</v>
      </c>
      <c r="F28" s="182">
        <v>0</v>
      </c>
    </row>
    <row r="29" spans="1:22" x14ac:dyDescent="0.3">
      <c r="A29" s="180" t="s">
        <v>1986</v>
      </c>
      <c r="B29" s="180" t="s">
        <v>1987</v>
      </c>
      <c r="C29" s="182">
        <f>IFERROR(VLOOKUP("067",'Účtovná osnova'!$M:$N,2,FALSE),)</f>
        <v>0</v>
      </c>
      <c r="D29" s="182"/>
      <c r="E29" s="182">
        <f t="shared" si="0"/>
        <v>0</v>
      </c>
      <c r="F29" s="182">
        <v>0</v>
      </c>
    </row>
    <row r="30" spans="1:22" x14ac:dyDescent="0.3">
      <c r="A30" s="180" t="s">
        <v>1807</v>
      </c>
      <c r="B30" s="180" t="s">
        <v>1988</v>
      </c>
      <c r="C30" s="182">
        <f>IFERROR(VLOOKUP("065",'Účtovná osnova'!$M:$N,2,FALSE),)+IFERROR(VLOOKUP("069",'Účtovná osnova'!$M:$N,2,FALSE),)</f>
        <v>0</v>
      </c>
      <c r="D30" s="182"/>
      <c r="E30" s="182">
        <f t="shared" si="0"/>
        <v>0</v>
      </c>
      <c r="F30" s="182">
        <v>0</v>
      </c>
    </row>
    <row r="31" spans="1:22" x14ac:dyDescent="0.3">
      <c r="A31" s="180" t="s">
        <v>1808</v>
      </c>
      <c r="B31" s="180" t="s">
        <v>1989</v>
      </c>
      <c r="C31" s="182"/>
      <c r="D31" s="182"/>
      <c r="E31" s="182">
        <f t="shared" si="0"/>
        <v>0</v>
      </c>
      <c r="F31" s="182"/>
    </row>
    <row r="32" spans="1:22" x14ac:dyDescent="0.3">
      <c r="A32" s="180" t="s">
        <v>1990</v>
      </c>
      <c r="B32" s="180" t="s">
        <v>1991</v>
      </c>
      <c r="C32" s="182"/>
      <c r="D32" s="182"/>
      <c r="E32" s="182">
        <f t="shared" si="0"/>
        <v>0</v>
      </c>
      <c r="F32" s="182"/>
    </row>
    <row r="33" spans="1:6" x14ac:dyDescent="0.3">
      <c r="A33" s="180" t="s">
        <v>1992</v>
      </c>
      <c r="B33" s="180" t="s">
        <v>1993</v>
      </c>
      <c r="C33" s="182">
        <f>IFERROR(VLOOKUP("043",'Účtovná osnova'!$M:$N,2,FALSE),)</f>
        <v>0</v>
      </c>
      <c r="D33" s="182">
        <f>-IFERROR(VLOOKUP("096",'Účtovná osnova'!$M:$N,2,FALSE),)</f>
        <v>0</v>
      </c>
      <c r="E33" s="182">
        <f t="shared" si="0"/>
        <v>0</v>
      </c>
      <c r="F33" s="182">
        <v>0</v>
      </c>
    </row>
    <row r="34" spans="1:6" x14ac:dyDescent="0.3">
      <c r="A34" s="180" t="s">
        <v>1994</v>
      </c>
      <c r="B34" s="180" t="s">
        <v>1995</v>
      </c>
      <c r="C34" s="182">
        <f>IFERROR(VLOOKUP("053",'Účtovná osnova'!$M:$N,2,FALSE),)</f>
        <v>0</v>
      </c>
      <c r="D34" s="182">
        <f>-IFERROR(VLOOKUP("095",'Účtovná osnova'!$M:$N,2,FALSE),)-D12-D21</f>
        <v>0</v>
      </c>
      <c r="E34" s="182">
        <f t="shared" si="0"/>
        <v>0</v>
      </c>
      <c r="F34" s="182">
        <v>0</v>
      </c>
    </row>
    <row r="35" spans="1:6" x14ac:dyDescent="0.3">
      <c r="A35" s="180" t="s">
        <v>1996</v>
      </c>
      <c r="B35" s="180" t="s">
        <v>1997</v>
      </c>
      <c r="C35" s="182">
        <f>SUM(C36,C43,C55,C68,C73)</f>
        <v>11103314.470000001</v>
      </c>
      <c r="D35" s="182">
        <f>SUM(D36,D43,D55,D68,D73)</f>
        <v>524570.85</v>
      </c>
      <c r="E35" s="182">
        <f t="shared" si="0"/>
        <v>10578743.620000001</v>
      </c>
      <c r="F35" s="182">
        <f>SUM(F36,F43,F55,F68,F73)</f>
        <v>12748040</v>
      </c>
    </row>
    <row r="36" spans="1:6" x14ac:dyDescent="0.3">
      <c r="A36" s="180" t="s">
        <v>1998</v>
      </c>
      <c r="B36" s="180" t="s">
        <v>1999</v>
      </c>
      <c r="C36" s="182">
        <f>SUM(C37:C42)</f>
        <v>8545641.7300000004</v>
      </c>
      <c r="D36" s="182">
        <f>SUM(D37:D42)</f>
        <v>463749.42</v>
      </c>
      <c r="E36" s="182">
        <f t="shared" si="0"/>
        <v>8081892.3100000005</v>
      </c>
      <c r="F36" s="182">
        <f>SUM(F37:F42)</f>
        <v>9293613</v>
      </c>
    </row>
    <row r="37" spans="1:6" x14ac:dyDescent="0.3">
      <c r="A37" s="180" t="s">
        <v>2000</v>
      </c>
      <c r="B37" s="180" t="s">
        <v>2001</v>
      </c>
      <c r="C37" s="182">
        <f>IFERROR(VLOOKUP("112",'Účtovná osnova'!$M:$N,2,FALSE),)+IFERROR(VLOOKUP("119",'Účtovná osnova'!$M:$N,2,FALSE),)</f>
        <v>0</v>
      </c>
      <c r="D37" s="182">
        <f>-IFERROR(VLOOKUP("191",'Účtovná osnova'!$M:$N,2,FALSE),)</f>
        <v>0</v>
      </c>
      <c r="E37" s="182">
        <f t="shared" si="0"/>
        <v>0</v>
      </c>
      <c r="F37" s="182">
        <v>0</v>
      </c>
    </row>
    <row r="38" spans="1:6" x14ac:dyDescent="0.3">
      <c r="A38" s="180" t="s">
        <v>2002</v>
      </c>
      <c r="B38" s="180" t="s">
        <v>2003</v>
      </c>
      <c r="C38" s="182">
        <f>IFERROR(VLOOKUP("121",'Účtovná osnova'!$M:$N,2,FALSE),)+IFERROR(VLOOKUP("122",'Účtovná osnova'!$M:$N,2,FALSE),)</f>
        <v>0</v>
      </c>
      <c r="D38" s="182">
        <f>-IFERROR(VLOOKUP("192",'Účtovná osnova'!$M:$N,2,FALSE),)-IFERROR(VLOOKUP("193",'Účtovná osnova'!$M:$N,2,FALSE),)</f>
        <v>0</v>
      </c>
      <c r="E38" s="182">
        <f t="shared" si="0"/>
        <v>0</v>
      </c>
      <c r="F38" s="182">
        <v>0</v>
      </c>
    </row>
    <row r="39" spans="1:6" x14ac:dyDescent="0.3">
      <c r="A39" s="180" t="s">
        <v>2004</v>
      </c>
      <c r="B39" s="180" t="s">
        <v>2005</v>
      </c>
      <c r="C39" s="182">
        <f>IFERROR(VLOOKUP("123",'Účtovná osnova'!$M:$N,2,FALSE),)</f>
        <v>0</v>
      </c>
      <c r="D39" s="182">
        <f>-IFERROR(VLOOKUP("194",'Účtovná osnova'!$M:$N,2,FALSE),)</f>
        <v>0</v>
      </c>
      <c r="E39" s="182">
        <f t="shared" si="0"/>
        <v>0</v>
      </c>
      <c r="F39" s="182">
        <v>0</v>
      </c>
    </row>
    <row r="40" spans="1:6" x14ac:dyDescent="0.3">
      <c r="A40" s="180" t="s">
        <v>2006</v>
      </c>
      <c r="B40" s="180" t="s">
        <v>2007</v>
      </c>
      <c r="C40" s="182">
        <f>IFERROR(VLOOKUP("124",'Účtovná osnova'!$M:$N,2,FALSE),)</f>
        <v>0</v>
      </c>
      <c r="D40" s="182">
        <f>-IFERROR(VLOOKUP("195",'Účtovná osnova'!$M:$N,2,FALSE),)</f>
        <v>0</v>
      </c>
      <c r="E40" s="182">
        <f t="shared" si="0"/>
        <v>0</v>
      </c>
      <c r="F40" s="182">
        <v>0</v>
      </c>
    </row>
    <row r="41" spans="1:6" x14ac:dyDescent="0.3">
      <c r="A41" s="180" t="s">
        <v>2008</v>
      </c>
      <c r="B41" s="180" t="s">
        <v>2009</v>
      </c>
      <c r="C41" s="182">
        <f>IFERROR(VLOOKUP("131",'Účtovná osnova'!$M:$N,2,FALSE),)+IFERROR(VLOOKUP("132",'Účtovná osnova'!$M:$N,2,FALSE),)+IFERROR(VLOOKUP("133",'Účtovná osnova'!$M:$N,2,FALSE),)+IFERROR(VLOOKUP("139",'Účtovná osnova'!$M:$N,2,FALSE),)</f>
        <v>8545641.7300000004</v>
      </c>
      <c r="D41" s="182">
        <f>-IFERROR(VLOOKUP("196",'Účtovná osnova'!$M:$N,2,FALSE),)</f>
        <v>463749.42</v>
      </c>
      <c r="E41" s="182">
        <f t="shared" si="0"/>
        <v>8081892.3100000005</v>
      </c>
      <c r="F41" s="182">
        <v>9293613</v>
      </c>
    </row>
    <row r="42" spans="1:6" x14ac:dyDescent="0.3">
      <c r="A42" s="180" t="s">
        <v>2010</v>
      </c>
      <c r="B42" s="180" t="s">
        <v>2011</v>
      </c>
      <c r="C42" s="182"/>
      <c r="D42" s="182"/>
      <c r="E42" s="182">
        <f t="shared" si="0"/>
        <v>0</v>
      </c>
      <c r="F42" s="182"/>
    </row>
    <row r="43" spans="1:6" x14ac:dyDescent="0.3">
      <c r="A43" s="180" t="s">
        <v>1809</v>
      </c>
      <c r="B43" s="180" t="s">
        <v>2012</v>
      </c>
      <c r="C43" s="182">
        <f>SUM(C44,C48:C54)</f>
        <v>223819.38</v>
      </c>
      <c r="D43" s="182">
        <f>SUM(D44,D48:D54)</f>
        <v>0</v>
      </c>
      <c r="E43" s="182">
        <f t="shared" si="0"/>
        <v>223819.38</v>
      </c>
      <c r="F43" s="182">
        <f>SUM(F44,F48:F54)</f>
        <v>200397</v>
      </c>
    </row>
    <row r="44" spans="1:6" x14ac:dyDescent="0.3">
      <c r="A44" s="180" t="s">
        <v>1810</v>
      </c>
      <c r="B44" s="180" t="s">
        <v>2013</v>
      </c>
      <c r="C44" s="182">
        <f>SUM(C45:C47)</f>
        <v>0</v>
      </c>
      <c r="D44" s="182">
        <f>SUM(D45:D47)</f>
        <v>0</v>
      </c>
      <c r="E44" s="182">
        <f t="shared" si="0"/>
        <v>0</v>
      </c>
      <c r="F44" s="182">
        <f>SUM(F45:F47)</f>
        <v>0</v>
      </c>
    </row>
    <row r="45" spans="1:6" x14ac:dyDescent="0.3">
      <c r="A45" s="180" t="s">
        <v>2014</v>
      </c>
      <c r="B45" s="180" t="s">
        <v>2015</v>
      </c>
      <c r="C45" s="182"/>
      <c r="D45" s="182"/>
      <c r="E45" s="182">
        <f t="shared" si="0"/>
        <v>0</v>
      </c>
      <c r="F45" s="182"/>
    </row>
    <row r="46" spans="1:6" x14ac:dyDescent="0.3">
      <c r="A46" s="180" t="s">
        <v>2016</v>
      </c>
      <c r="B46" s="180" t="s">
        <v>2017</v>
      </c>
      <c r="C46" s="182"/>
      <c r="D46" s="182"/>
      <c r="E46" s="182">
        <f t="shared" si="0"/>
        <v>0</v>
      </c>
      <c r="F46" s="182"/>
    </row>
    <row r="47" spans="1:6" x14ac:dyDescent="0.3">
      <c r="A47" s="180" t="s">
        <v>2018</v>
      </c>
      <c r="B47" s="180" t="s">
        <v>2019</v>
      </c>
      <c r="C47" s="182"/>
      <c r="D47" s="182"/>
      <c r="E47" s="182">
        <f t="shared" si="0"/>
        <v>0</v>
      </c>
      <c r="F47" s="182"/>
    </row>
    <row r="48" spans="1:6" x14ac:dyDescent="0.3">
      <c r="A48" s="180" t="s">
        <v>2020</v>
      </c>
      <c r="B48" s="180" t="s">
        <v>2021</v>
      </c>
      <c r="C48" s="182"/>
      <c r="D48" s="182"/>
      <c r="E48" s="182">
        <f t="shared" si="0"/>
        <v>0</v>
      </c>
      <c r="F48" s="182"/>
    </row>
    <row r="49" spans="1:6" x14ac:dyDescent="0.3">
      <c r="A49" s="180" t="s">
        <v>2022</v>
      </c>
      <c r="B49" s="180" t="s">
        <v>2023</v>
      </c>
      <c r="C49" s="182"/>
      <c r="D49" s="182"/>
      <c r="E49" s="182">
        <f t="shared" si="0"/>
        <v>0</v>
      </c>
      <c r="F49" s="182"/>
    </row>
    <row r="50" spans="1:6" x14ac:dyDescent="0.3">
      <c r="A50" s="180" t="s">
        <v>2024</v>
      </c>
      <c r="B50" s="180" t="s">
        <v>2025</v>
      </c>
      <c r="C50" s="182"/>
      <c r="D50" s="182"/>
      <c r="E50" s="182">
        <f t="shared" si="0"/>
        <v>0</v>
      </c>
      <c r="F50" s="182"/>
    </row>
    <row r="51" spans="1:6" x14ac:dyDescent="0.3">
      <c r="A51" s="180" t="s">
        <v>2026</v>
      </c>
      <c r="B51" s="180" t="s">
        <v>2027</v>
      </c>
      <c r="C51" s="182"/>
      <c r="D51" s="182"/>
      <c r="E51" s="182">
        <f t="shared" si="0"/>
        <v>0</v>
      </c>
      <c r="F51" s="182"/>
    </row>
    <row r="52" spans="1:6" x14ac:dyDescent="0.3">
      <c r="A52" s="180" t="s">
        <v>2028</v>
      </c>
      <c r="B52" s="180" t="s">
        <v>2029</v>
      </c>
      <c r="C52" s="182"/>
      <c r="D52" s="182"/>
      <c r="E52" s="182">
        <f t="shared" si="0"/>
        <v>0</v>
      </c>
      <c r="F52" s="182"/>
    </row>
    <row r="53" spans="1:6" x14ac:dyDescent="0.3">
      <c r="A53" s="180" t="s">
        <v>2030</v>
      </c>
      <c r="B53" s="180" t="s">
        <v>2031</v>
      </c>
      <c r="C53" s="182"/>
      <c r="D53" s="182"/>
      <c r="E53" s="182">
        <f t="shared" si="0"/>
        <v>0</v>
      </c>
      <c r="F53" s="182"/>
    </row>
    <row r="54" spans="1:6" x14ac:dyDescent="0.3">
      <c r="A54" s="180" t="s">
        <v>2032</v>
      </c>
      <c r="B54" s="180" t="s">
        <v>2033</v>
      </c>
      <c r="C54" s="182">
        <f>IFERROR(IF(VLOOKUP("481",'Účtovná osnova'!$M:$N,2,FALSE)&gt;0,VLOOKUP("481",'Účtovná osnova'!$M:$N,2,FALSE),),)</f>
        <v>223819.38</v>
      </c>
      <c r="D54" s="182"/>
      <c r="E54" s="182">
        <f t="shared" si="0"/>
        <v>223819.38</v>
      </c>
      <c r="F54" s="182">
        <v>200397</v>
      </c>
    </row>
    <row r="55" spans="1:6" x14ac:dyDescent="0.3">
      <c r="A55" s="180" t="s">
        <v>2034</v>
      </c>
      <c r="B55" s="180" t="s">
        <v>2035</v>
      </c>
      <c r="C55" s="182">
        <f>SUM(C56,C60:C67)</f>
        <v>2241782.9900000002</v>
      </c>
      <c r="D55" s="182">
        <f>SUM(D56,D60:D67)</f>
        <v>60821.43</v>
      </c>
      <c r="E55" s="182">
        <f t="shared" si="0"/>
        <v>2180961.56</v>
      </c>
      <c r="F55" s="182">
        <f>SUM(F56,F60:F67)</f>
        <v>3084651</v>
      </c>
    </row>
    <row r="56" spans="1:6" x14ac:dyDescent="0.3">
      <c r="A56" s="180" t="s">
        <v>2036</v>
      </c>
      <c r="B56" s="180" t="s">
        <v>2037</v>
      </c>
      <c r="C56" s="182">
        <f>SUM(C57:C59)</f>
        <v>2221236.6</v>
      </c>
      <c r="D56" s="182">
        <f>SUM(D57:D59)</f>
        <v>60821.43</v>
      </c>
      <c r="E56" s="182">
        <f t="shared" si="0"/>
        <v>2160415.17</v>
      </c>
      <c r="F56" s="182">
        <f>SUM(F57:F59)</f>
        <v>2988086</v>
      </c>
    </row>
    <row r="57" spans="1:6" x14ac:dyDescent="0.3">
      <c r="A57" s="180" t="s">
        <v>2038</v>
      </c>
      <c r="B57" s="180" t="s">
        <v>2039</v>
      </c>
      <c r="C57" s="182">
        <f>VLOOKUP(311130,'Účtovná osnova'!$A$1:$I$1068,6,FALSE)+VLOOKUP(311230,'Účtovná osnova'!$A$1:$I$1068,6,FALSE)</f>
        <v>122077.17</v>
      </c>
      <c r="D57" s="182"/>
      <c r="E57" s="182">
        <f t="shared" si="0"/>
        <v>122077.17</v>
      </c>
      <c r="F57" s="182">
        <v>108624</v>
      </c>
    </row>
    <row r="58" spans="1:6" x14ac:dyDescent="0.3">
      <c r="A58" s="180" t="s">
        <v>2040</v>
      </c>
      <c r="B58" s="180" t="s">
        <v>2041</v>
      </c>
      <c r="C58" s="182"/>
      <c r="D58" s="182"/>
      <c r="E58" s="182">
        <f t="shared" si="0"/>
        <v>0</v>
      </c>
      <c r="F58" s="182"/>
    </row>
    <row r="59" spans="1:6" x14ac:dyDescent="0.3">
      <c r="A59" s="180" t="s">
        <v>2042</v>
      </c>
      <c r="B59" s="180" t="s">
        <v>2019</v>
      </c>
      <c r="C59" s="182">
        <f>IFERROR(VLOOKUP("311",'Účtovná osnova'!$M:$N,2,FALSE),)+IFERROR(VLOOKUP("312",'Účtovná osnova'!$M:$N,2,FALSE),)+IFERROR(VLOOKUP("313",'Účtovná osnova'!$M:$N,2,FALSE),)+IFERROR(VLOOKUP("314",'Účtovná osnova'!$M:$N,2,FALSE),)+IFERROR(VLOOKUP("315",'Účtovná osnova'!$M:$N,2,FALSE),)-SUM(C42,C45:C47,C57:C58)</f>
        <v>2099159.4300000002</v>
      </c>
      <c r="D59" s="182">
        <f>-IFERROR(VLOOKUP("391",'Účtovná osnova'!$M:$N,2,FALSE),)-SUM(D42,D45:D47,D49:D51,D53,D57:D58,D61:D65,D67)</f>
        <v>60821.43</v>
      </c>
      <c r="E59" s="182">
        <f t="shared" si="0"/>
        <v>2038338.0000000002</v>
      </c>
      <c r="F59" s="182">
        <v>2879462</v>
      </c>
    </row>
    <row r="60" spans="1:6" x14ac:dyDescent="0.3">
      <c r="A60" s="180" t="s">
        <v>2043</v>
      </c>
      <c r="B60" s="180" t="s">
        <v>2021</v>
      </c>
      <c r="C60" s="182">
        <f>IFERROR(IF(VLOOKUP("316",'Účtovná osnova'!$M:$N,2,FALSE)&gt;0,VLOOKUP("316",'Účtovná osnova'!$M:$N,2,FALSE),),)-C48</f>
        <v>0</v>
      </c>
      <c r="D60" s="182"/>
      <c r="E60" s="182">
        <f t="shared" si="0"/>
        <v>0</v>
      </c>
      <c r="F60" s="182">
        <v>0</v>
      </c>
    </row>
    <row r="61" spans="1:6" x14ac:dyDescent="0.3">
      <c r="A61" s="180" t="s">
        <v>2044</v>
      </c>
      <c r="B61" s="180" t="s">
        <v>2023</v>
      </c>
      <c r="C61" s="182">
        <f>VLOOKUP(351100,'Účtovná osnova'!$A$1:$I$1068,6,FALSE)</f>
        <v>0</v>
      </c>
      <c r="D61" s="182"/>
      <c r="E61" s="182">
        <f t="shared" si="0"/>
        <v>0</v>
      </c>
      <c r="F61" s="182">
        <v>0</v>
      </c>
    </row>
    <row r="62" spans="1:6" x14ac:dyDescent="0.3">
      <c r="A62" s="180" t="s">
        <v>2045</v>
      </c>
      <c r="B62" s="180" t="s">
        <v>2046</v>
      </c>
      <c r="C62" s="182">
        <f>IFERROR(VLOOKUP("351",'Účtovná osnova'!$M:$N,2,FALSE),)-SUM(C49:C50,C61)</f>
        <v>0</v>
      </c>
      <c r="D62" s="182"/>
      <c r="E62" s="182">
        <f t="shared" si="0"/>
        <v>0</v>
      </c>
      <c r="F62" s="182">
        <v>0</v>
      </c>
    </row>
    <row r="63" spans="1:6" x14ac:dyDescent="0.3">
      <c r="A63" s="180" t="s">
        <v>2047</v>
      </c>
      <c r="B63" s="180" t="s">
        <v>2048</v>
      </c>
      <c r="C63" s="182">
        <f>IFERROR(VLOOKUP("354",'Účtovná osnova'!$M:$N,2,FALSE),)+IFERROR(VLOOKUP("355",'Účtovná osnova'!$M:$N,2,FALSE),)+IFERROR(VLOOKUP("358",'Účtovná osnova'!$M:$N,2,FALSE),)+IFERROR(IF(VLOOKUP("398",'Účtovná osnova'!$M:$N,2,FALSE)&gt;0,VLOOKUP("398",'Účtovná osnova'!$M:$N,2,FALSE),),)</f>
        <v>0</v>
      </c>
      <c r="D63" s="182"/>
      <c r="E63" s="182">
        <f t="shared" si="0"/>
        <v>0</v>
      </c>
      <c r="F63" s="182">
        <v>0</v>
      </c>
    </row>
    <row r="64" spans="1:6" x14ac:dyDescent="0.3">
      <c r="A64" s="180" t="s">
        <v>2049</v>
      </c>
      <c r="B64" s="180" t="s">
        <v>2050</v>
      </c>
      <c r="C64" s="182">
        <f>IFERROR(IF(VLOOKUP("336",'Účtovná osnova'!$M:$N,2,FALSE)&gt;0,VLOOKUP("336",'Účtovná osnova'!$M:$N,2,FALSE),),)</f>
        <v>0</v>
      </c>
      <c r="D64" s="182"/>
      <c r="E64" s="182">
        <f t="shared" si="0"/>
        <v>0</v>
      </c>
      <c r="F64" s="182">
        <v>0</v>
      </c>
    </row>
    <row r="65" spans="1:6" x14ac:dyDescent="0.3">
      <c r="A65" s="180" t="s">
        <v>2051</v>
      </c>
      <c r="B65" s="180" t="s">
        <v>2052</v>
      </c>
      <c r="C65" s="182">
        <f>IFERROR(IF(VLOOKUP("341",'Účtovná osnova'!$M:$N,2,FALSE)&gt;0,VLOOKUP("341",'Účtovná osnova'!$M:$N,2,FALSE),),)+IFERROR(IF(VLOOKUP("342",'Účtovná osnova'!$M:$N,2,FALSE)&gt;0,VLOOKUP("342",'Účtovná osnova'!$M:$N,2,FALSE),),)+IFERROR(IF(VLOOKUP("343",'Účtovná osnova'!$M:$N,2,FALSE)&gt;0,VLOOKUP("343",'Účtovná osnova'!$M:$N,2,FALSE),),)+IFERROR(IF(VLOOKUP("345",'Účtovná osnova'!$M:$N,2,FALSE)&gt;0,VLOOKUP("345",'Účtovná osnova'!$M:$N,2,FALSE),),)+IFERROR(IF(VLOOKUP("346",'Účtovná osnova'!$M:$N,2,FALSE)&gt;0,VLOOKUP("346",'Účtovná osnova'!$M:$N,2,FALSE),),)+IFERROR(IF(VLOOKUP("347",'Účtovná osnova'!$M:$N,2,FALSE)&gt;0,VLOOKUP("347",'Účtovná osnova'!$M:$N,2,FALSE),),)</f>
        <v>0</v>
      </c>
      <c r="D65" s="182"/>
      <c r="E65" s="182">
        <f t="shared" si="0"/>
        <v>0</v>
      </c>
      <c r="F65" s="182">
        <v>85625</v>
      </c>
    </row>
    <row r="66" spans="1:6" x14ac:dyDescent="0.3">
      <c r="A66" s="180" t="s">
        <v>2053</v>
      </c>
      <c r="B66" s="180" t="s">
        <v>2029</v>
      </c>
      <c r="C66" s="182">
        <f>IFERROR(IF(VLOOKUP("373",'Účtovná osnova'!$M:$N,2,FALSE)&gt;0,VLOOKUP("373",'Účtovná osnova'!$M:$N,2,FALSE),),)+IFERROR(VLOOKUP("376",'Účtovná osnova'!$M:$N,2,FALSE),)</f>
        <v>0</v>
      </c>
      <c r="D66" s="182"/>
      <c r="E66" s="182">
        <f t="shared" si="0"/>
        <v>0</v>
      </c>
      <c r="F66" s="182">
        <v>0</v>
      </c>
    </row>
    <row r="67" spans="1:6" x14ac:dyDescent="0.3">
      <c r="A67" s="180" t="s">
        <v>2054</v>
      </c>
      <c r="B67" s="180" t="s">
        <v>2055</v>
      </c>
      <c r="C67" s="182">
        <f>IFERROR(IF(VLOOKUP("331",'Účtovná osnova'!$M:$N,2,FALSE)&gt;0,VLOOKUP("331",'Účtovná osnova'!$M:$N,2,FALSE),),)+IFERROR(VLOOKUP("335",'Účtovná osnova'!$M:$N,2,FALSE),)+IFERROR(VLOOKUP("371",'Účtovná osnova'!$M:$N,2,FALSE),)+IFERROR(VLOOKUP("374",'Účtovná osnova'!$M:$N,2,FALSE),)+IFERROR(VLOOKUP("375",'Účtovná osnova'!$M:$N,2,FALSE),)+IFERROR(VLOOKUP("378",'Účtovná osnova'!$M:$N,2,FALSE),)</f>
        <v>20546.39</v>
      </c>
      <c r="D67" s="182"/>
      <c r="E67" s="182">
        <f t="shared" si="0"/>
        <v>20546.39</v>
      </c>
      <c r="F67" s="182">
        <v>10940</v>
      </c>
    </row>
    <row r="68" spans="1:6" x14ac:dyDescent="0.3">
      <c r="A68" s="180" t="s">
        <v>2056</v>
      </c>
      <c r="B68" s="180" t="s">
        <v>2057</v>
      </c>
      <c r="C68" s="182">
        <f>SUM(C69:C72)</f>
        <v>0</v>
      </c>
      <c r="D68" s="182">
        <f>SUM(D69:D72)</f>
        <v>0</v>
      </c>
      <c r="E68" s="182">
        <f t="shared" ref="E68:E80" si="1">C68-D68</f>
        <v>0</v>
      </c>
      <c r="F68" s="182">
        <f>SUM(F69:F72)</f>
        <v>0</v>
      </c>
    </row>
    <row r="69" spans="1:6" x14ac:dyDescent="0.3">
      <c r="A69" s="180" t="s">
        <v>2058</v>
      </c>
      <c r="B69" s="180" t="s">
        <v>2059</v>
      </c>
      <c r="C69" s="182"/>
      <c r="D69" s="182"/>
      <c r="E69" s="182">
        <f t="shared" si="1"/>
        <v>0</v>
      </c>
      <c r="F69" s="182"/>
    </row>
    <row r="70" spans="1:6" x14ac:dyDescent="0.3">
      <c r="A70" s="180" t="s">
        <v>2060</v>
      </c>
      <c r="B70" s="180" t="s">
        <v>2061</v>
      </c>
      <c r="C70" s="182">
        <f>IFERROR(VLOOKUP("251",'Účtovná osnova'!$M:$N,2,FALSE),)+IFERROR(VLOOKUP("253",'Účtovná osnova'!$M:$N,2,FALSE),)+IFERROR(VLOOKUP("256",'Účtovná osnova'!$M:$N,2,FALSE),)+IFERROR(VLOOKUP("257",'Účtovná osnova'!$M:$N,2,FALSE),)-C69</f>
        <v>0</v>
      </c>
      <c r="D70" s="182"/>
      <c r="E70" s="182">
        <f t="shared" si="1"/>
        <v>0</v>
      </c>
      <c r="F70" s="182">
        <v>0</v>
      </c>
    </row>
    <row r="71" spans="1:6" x14ac:dyDescent="0.3">
      <c r="A71" s="180" t="s">
        <v>2062</v>
      </c>
      <c r="B71" s="180" t="s">
        <v>2063</v>
      </c>
      <c r="C71" s="182">
        <f>IFERROR(VLOOKUP("252",'Účtovná osnova'!$M:$N,2,FALSE),)</f>
        <v>0</v>
      </c>
      <c r="D71" s="182"/>
      <c r="E71" s="182">
        <f t="shared" si="1"/>
        <v>0</v>
      </c>
      <c r="F71" s="182">
        <v>0</v>
      </c>
    </row>
    <row r="72" spans="1:6" x14ac:dyDescent="0.3">
      <c r="A72" s="180" t="s">
        <v>2064</v>
      </c>
      <c r="B72" s="180" t="s">
        <v>2065</v>
      </c>
      <c r="C72" s="182">
        <f>IFERROR(VLOOKUP("259",'Účtovná osnova'!$M:$N,2,FALSE),)</f>
        <v>0</v>
      </c>
      <c r="D72" s="182">
        <f>-IFERROR(VLOOKUP("291",'Účtovná osnova'!$M:$N,2,FALSE),)-SUM(D69:D70)</f>
        <v>0</v>
      </c>
      <c r="E72" s="182">
        <f t="shared" si="1"/>
        <v>0</v>
      </c>
      <c r="F72" s="182">
        <v>0</v>
      </c>
    </row>
    <row r="73" spans="1:6" x14ac:dyDescent="0.3">
      <c r="A73" s="180" t="s">
        <v>2066</v>
      </c>
      <c r="B73" s="180" t="s">
        <v>2067</v>
      </c>
      <c r="C73" s="182">
        <f>SUM(C74:C75)</f>
        <v>92070.369999999981</v>
      </c>
      <c r="D73" s="182">
        <f>SUM(D74:D75)</f>
        <v>0</v>
      </c>
      <c r="E73" s="182">
        <f t="shared" si="1"/>
        <v>92070.369999999981</v>
      </c>
      <c r="F73" s="182">
        <f>SUM(F74:F75)</f>
        <v>169379</v>
      </c>
    </row>
    <row r="74" spans="1:6" x14ac:dyDescent="0.3">
      <c r="A74" s="180" t="s">
        <v>2068</v>
      </c>
      <c r="B74" s="180" t="s">
        <v>2069</v>
      </c>
      <c r="C74" s="182">
        <f>IFERROR(VLOOKUP("211",'Účtovná osnova'!$M:$N,2,FALSE),)+IFERROR(VLOOKUP("213",'Účtovná osnova'!$M:$N,2,FALSE),)</f>
        <v>13918.45</v>
      </c>
      <c r="D74" s="182"/>
      <c r="E74" s="182">
        <f t="shared" si="1"/>
        <v>13918.45</v>
      </c>
      <c r="F74" s="182">
        <v>7999</v>
      </c>
    </row>
    <row r="75" spans="1:6" x14ac:dyDescent="0.3">
      <c r="A75" s="180" t="s">
        <v>1811</v>
      </c>
      <c r="B75" s="180" t="s">
        <v>2070</v>
      </c>
      <c r="C75" s="182">
        <f>IFERROR(VLOOKUP("221",'Účtovná osnova'!$M:$N,2,FALSE),)-IFERROR(IF(VLOOKUP(221200,'Účtovná osnova'!$A$1:$I$1068,6,FALSE)&lt;0,VLOOKUP(221200,'Účtovná osnova'!$A$1:$I$1068,6,FALSE),),)+IFERROR(VLOOKUP("261",'Účtovná osnova'!$M:$N,2,FALSE),)-C32</f>
        <v>78151.919999999984</v>
      </c>
      <c r="D75" s="182"/>
      <c r="E75" s="182">
        <f t="shared" si="1"/>
        <v>78151.919999999984</v>
      </c>
      <c r="F75" s="182">
        <v>161380</v>
      </c>
    </row>
    <row r="76" spans="1:6" x14ac:dyDescent="0.3">
      <c r="A76" s="180" t="s">
        <v>2071</v>
      </c>
      <c r="B76" s="180" t="s">
        <v>2072</v>
      </c>
      <c r="C76" s="182">
        <f>SUM(C77:C80)</f>
        <v>56090.46</v>
      </c>
      <c r="D76" s="182"/>
      <c r="E76" s="182">
        <f t="shared" si="1"/>
        <v>56090.46</v>
      </c>
      <c r="F76" s="182">
        <f>SUM(F77:F80)</f>
        <v>55981</v>
      </c>
    </row>
    <row r="77" spans="1:6" x14ac:dyDescent="0.3">
      <c r="A77" s="180" t="s">
        <v>2073</v>
      </c>
      <c r="B77" s="180" t="s">
        <v>2074</v>
      </c>
      <c r="C77" s="182"/>
      <c r="D77" s="182"/>
      <c r="E77" s="182">
        <f t="shared" si="1"/>
        <v>0</v>
      </c>
      <c r="F77" s="182"/>
    </row>
    <row r="78" spans="1:6" x14ac:dyDescent="0.3">
      <c r="A78" s="180" t="s">
        <v>2075</v>
      </c>
      <c r="B78" s="180" t="s">
        <v>2076</v>
      </c>
      <c r="C78" s="182">
        <f>IFERROR(VLOOKUP("381",'Účtovná osnova'!$M:$N,2,FALSE),)+IFERROR(VLOOKUP("382",'Účtovná osnova'!$M:$N,2,FALSE),)-C77</f>
        <v>17961.46</v>
      </c>
      <c r="D78" s="182"/>
      <c r="E78" s="182">
        <f t="shared" si="1"/>
        <v>17961.46</v>
      </c>
      <c r="F78" s="182">
        <v>20862</v>
      </c>
    </row>
    <row r="79" spans="1:6" x14ac:dyDescent="0.3">
      <c r="A79" s="180" t="s">
        <v>2077</v>
      </c>
      <c r="B79" s="180" t="s">
        <v>2078</v>
      </c>
      <c r="C79" s="182"/>
      <c r="D79" s="182"/>
      <c r="E79" s="182">
        <f t="shared" si="1"/>
        <v>0</v>
      </c>
      <c r="F79" s="182"/>
    </row>
    <row r="80" spans="1:6" x14ac:dyDescent="0.3">
      <c r="A80" s="180" t="s">
        <v>2079</v>
      </c>
      <c r="B80" s="180" t="s">
        <v>2080</v>
      </c>
      <c r="C80" s="182">
        <f>IFERROR(VLOOKUP("385",'Účtovná osnova'!$M:$N,2,FALSE),)-C79</f>
        <v>38129</v>
      </c>
      <c r="D80" s="182"/>
      <c r="E80" s="182">
        <f t="shared" si="1"/>
        <v>38129</v>
      </c>
      <c r="F80" s="182">
        <v>35119</v>
      </c>
    </row>
    <row r="81" spans="1:6" x14ac:dyDescent="0.3">
      <c r="A81" s="183" t="s">
        <v>2081</v>
      </c>
      <c r="B81" s="183" t="s">
        <v>2082</v>
      </c>
      <c r="C81" s="182">
        <f>SUM(C82,C103,C143)</f>
        <v>13693905.330000002</v>
      </c>
      <c r="D81" s="182"/>
      <c r="E81" s="182"/>
      <c r="F81" s="182">
        <f>SUM(F82,F103,F143)</f>
        <v>15838211</v>
      </c>
    </row>
    <row r="82" spans="1:6" x14ac:dyDescent="0.3">
      <c r="A82" s="180" t="s">
        <v>2083</v>
      </c>
      <c r="B82" s="180" t="s">
        <v>2084</v>
      </c>
      <c r="C82" s="182">
        <f>SUM(C83,C87:C89,C92,C95,C99,C102)</f>
        <v>8254944.1800000016</v>
      </c>
      <c r="D82" s="182"/>
      <c r="E82" s="182"/>
      <c r="F82" s="182">
        <f>SUM(F83,F87:F89,F92,F95,F99,F102)</f>
        <v>7574159.9999999991</v>
      </c>
    </row>
    <row r="83" spans="1:6" x14ac:dyDescent="0.3">
      <c r="A83" s="180" t="s">
        <v>1812</v>
      </c>
      <c r="B83" s="180" t="s">
        <v>2085</v>
      </c>
      <c r="C83" s="182">
        <f>SUM(C84:C86)</f>
        <v>2956639</v>
      </c>
      <c r="D83" s="182"/>
      <c r="E83" s="182"/>
      <c r="F83" s="182">
        <f>SUM(F84:F86)</f>
        <v>2956639</v>
      </c>
    </row>
    <row r="84" spans="1:6" x14ac:dyDescent="0.3">
      <c r="A84" s="180" t="s">
        <v>1813</v>
      </c>
      <c r="B84" s="180" t="s">
        <v>2086</v>
      </c>
      <c r="C84" s="182">
        <f>-IFERROR(VLOOKUP("411",'Účtovná osnova'!$M:$N,2,FALSE),)-IFERROR(VLOOKUP("491",'Účtovná osnova'!$M:$N,2,FALSE),)</f>
        <v>2956639</v>
      </c>
      <c r="D84" s="182"/>
      <c r="E84" s="182"/>
      <c r="F84" s="182">
        <v>2956639</v>
      </c>
    </row>
    <row r="85" spans="1:6" x14ac:dyDescent="0.3">
      <c r="A85" s="180" t="s">
        <v>2087</v>
      </c>
      <c r="B85" s="180" t="s">
        <v>2088</v>
      </c>
      <c r="C85" s="182">
        <f>-IFERROR(VLOOKUP("419",'Účtovná osnova'!$M:$N,2,FALSE),)</f>
        <v>0</v>
      </c>
      <c r="D85" s="182"/>
      <c r="E85" s="182"/>
      <c r="F85" s="182">
        <v>0</v>
      </c>
    </row>
    <row r="86" spans="1:6" x14ac:dyDescent="0.3">
      <c r="A86" s="180" t="s">
        <v>2089</v>
      </c>
      <c r="B86" s="180" t="s">
        <v>2090</v>
      </c>
      <c r="C86" s="182">
        <f>-IFERROR(VLOOKUP("353",'Účtovná osnova'!$M:$N,2,FALSE),)</f>
        <v>0</v>
      </c>
      <c r="D86" s="182"/>
      <c r="E86" s="182"/>
      <c r="F86" s="182">
        <v>0</v>
      </c>
    </row>
    <row r="87" spans="1:6" x14ac:dyDescent="0.3">
      <c r="A87" s="180" t="s">
        <v>2091</v>
      </c>
      <c r="B87" s="180" t="s">
        <v>2092</v>
      </c>
      <c r="C87" s="182">
        <f>-IFERROR(VLOOKUP("412",'Účtovná osnova'!$M:$N,2,FALSE),)</f>
        <v>0</v>
      </c>
      <c r="D87" s="182"/>
      <c r="E87" s="182"/>
      <c r="F87" s="182">
        <v>0</v>
      </c>
    </row>
    <row r="88" spans="1:6" x14ac:dyDescent="0.3">
      <c r="A88" s="180" t="s">
        <v>2093</v>
      </c>
      <c r="B88" s="180" t="s">
        <v>2094</v>
      </c>
      <c r="C88" s="182">
        <f>-IFERROR(VLOOKUP("413",'Účtovná osnova'!$M:$N,2,FALSE),)</f>
        <v>4346417.08</v>
      </c>
      <c r="D88" s="182"/>
      <c r="E88" s="182"/>
      <c r="F88" s="182">
        <v>4346417</v>
      </c>
    </row>
    <row r="89" spans="1:6" x14ac:dyDescent="0.3">
      <c r="A89" s="180" t="s">
        <v>2095</v>
      </c>
      <c r="B89" s="180" t="s">
        <v>2096</v>
      </c>
      <c r="C89" s="182">
        <f>SUM(C90:C91)</f>
        <v>745.2</v>
      </c>
      <c r="D89" s="182"/>
      <c r="E89" s="182"/>
      <c r="F89" s="182">
        <f>SUM(F90:F91)</f>
        <v>745.2</v>
      </c>
    </row>
    <row r="90" spans="1:6" x14ac:dyDescent="0.3">
      <c r="A90" s="180" t="s">
        <v>2097</v>
      </c>
      <c r="B90" s="180" t="s">
        <v>2098</v>
      </c>
      <c r="C90" s="182">
        <f>-IFERROR(VLOOKUP("417",'Účtovná osnova'!$M:$N,2,FALSE),)-IFERROR(VLOOKUP("418",'Účtovná osnova'!$M:$N,2,FALSE),)-IFERROR(VLOOKUP("421",'Účtovná osnova'!$M:$N,2,FALSE),)-IFERROR(VLOOKUP("422",'Účtovná osnova'!$M:$N,2,FALSE),)-C91</f>
        <v>745.2</v>
      </c>
      <c r="D90" s="182"/>
      <c r="E90" s="182"/>
      <c r="F90" s="182">
        <v>745.2</v>
      </c>
    </row>
    <row r="91" spans="1:6" x14ac:dyDescent="0.3">
      <c r="A91" s="180" t="s">
        <v>1814</v>
      </c>
      <c r="B91" s="180" t="s">
        <v>2099</v>
      </c>
      <c r="C91" s="182"/>
      <c r="D91" s="182"/>
      <c r="E91" s="182"/>
      <c r="F91" s="182"/>
    </row>
    <row r="92" spans="1:6" x14ac:dyDescent="0.3">
      <c r="A92" s="180" t="s">
        <v>2100</v>
      </c>
      <c r="B92" s="180" t="s">
        <v>2101</v>
      </c>
      <c r="C92" s="182">
        <f>SUM(C93:C94)</f>
        <v>1440.75</v>
      </c>
      <c r="D92" s="182"/>
      <c r="E92" s="182"/>
      <c r="F92" s="182">
        <f>SUM(F93:F94)</f>
        <v>1440.75</v>
      </c>
    </row>
    <row r="93" spans="1:6" x14ac:dyDescent="0.3">
      <c r="A93" s="180" t="s">
        <v>2102</v>
      </c>
      <c r="B93" s="180" t="s">
        <v>2103</v>
      </c>
      <c r="C93" s="182">
        <f>-IFERROR(VLOOKUP("423",'Účtovná osnova'!$M:$N,2,FALSE),)</f>
        <v>0</v>
      </c>
      <c r="D93" s="182"/>
      <c r="E93" s="182"/>
      <c r="F93" s="182">
        <v>0</v>
      </c>
    </row>
    <row r="94" spans="1:6" x14ac:dyDescent="0.3">
      <c r="A94" s="180" t="s">
        <v>1815</v>
      </c>
      <c r="B94" s="180" t="s">
        <v>2104</v>
      </c>
      <c r="C94" s="182">
        <f>-IFERROR(VLOOKUP("427",'Účtovná osnova'!$M:$N,2,FALSE),)</f>
        <v>1440.75</v>
      </c>
      <c r="D94" s="182"/>
      <c r="E94" s="182"/>
      <c r="F94" s="182">
        <v>1440.75</v>
      </c>
    </row>
    <row r="95" spans="1:6" x14ac:dyDescent="0.3">
      <c r="A95" s="180" t="s">
        <v>2105</v>
      </c>
      <c r="B95" s="180" t="s">
        <v>2106</v>
      </c>
      <c r="C95" s="182">
        <f>SUM(C96:C98)</f>
        <v>0</v>
      </c>
      <c r="D95" s="182"/>
      <c r="E95" s="182"/>
      <c r="F95" s="182">
        <f>SUM(F96:F98)</f>
        <v>0</v>
      </c>
    </row>
    <row r="96" spans="1:6" x14ac:dyDescent="0.3">
      <c r="A96" s="180" t="s">
        <v>2107</v>
      </c>
      <c r="B96" s="180" t="s">
        <v>2108</v>
      </c>
      <c r="C96" s="182">
        <f>-IFERROR(VLOOKUP("414",'Účtovná osnova'!$M:$N,2,FALSE),)</f>
        <v>0</v>
      </c>
      <c r="D96" s="182"/>
      <c r="E96" s="182"/>
      <c r="F96" s="182">
        <v>0</v>
      </c>
    </row>
    <row r="97" spans="1:6" x14ac:dyDescent="0.3">
      <c r="A97" s="180" t="s">
        <v>2109</v>
      </c>
      <c r="B97" s="180" t="s">
        <v>2110</v>
      </c>
      <c r="C97" s="182">
        <f>-IFERROR(VLOOKUP("415",'Účtovná osnova'!$M:$N,2,FALSE),)</f>
        <v>0</v>
      </c>
      <c r="D97" s="182"/>
      <c r="E97" s="182"/>
      <c r="F97" s="182">
        <v>0</v>
      </c>
    </row>
    <row r="98" spans="1:6" x14ac:dyDescent="0.3">
      <c r="A98" s="180" t="s">
        <v>2111</v>
      </c>
      <c r="B98" s="180" t="s">
        <v>2112</v>
      </c>
      <c r="C98" s="182">
        <f>-IFERROR(VLOOKUP("416",'Účtovná osnova'!$M:$N,2,FALSE),)</f>
        <v>0</v>
      </c>
      <c r="D98" s="182"/>
      <c r="E98" s="182"/>
      <c r="F98" s="182">
        <v>0</v>
      </c>
    </row>
    <row r="99" spans="1:6" x14ac:dyDescent="0.3">
      <c r="A99" s="180" t="s">
        <v>2113</v>
      </c>
      <c r="B99" s="180" t="s">
        <v>2114</v>
      </c>
      <c r="C99" s="182">
        <f>SUM(C100:C101)</f>
        <v>268918.18000000063</v>
      </c>
      <c r="D99" s="182"/>
      <c r="E99" s="182"/>
      <c r="F99" s="182">
        <f>SUM(F100:F101)</f>
        <v>-311600.34999999963</v>
      </c>
    </row>
    <row r="100" spans="1:6" x14ac:dyDescent="0.3">
      <c r="A100" s="180" t="s">
        <v>2115</v>
      </c>
      <c r="B100" s="180" t="s">
        <v>2116</v>
      </c>
      <c r="C100" s="182">
        <f>-IFERROR(VLOOKUP("428",'Účtovná osnova'!$M:$N,2,FALSE),)</f>
        <v>5416844.5300000003</v>
      </c>
      <c r="D100" s="182"/>
      <c r="E100" s="182"/>
      <c r="F100" s="182">
        <v>4836326</v>
      </c>
    </row>
    <row r="101" spans="1:6" x14ac:dyDescent="0.3">
      <c r="A101" s="180" t="s">
        <v>2117</v>
      </c>
      <c r="B101" s="180" t="s">
        <v>2118</v>
      </c>
      <c r="C101" s="182">
        <f>-IFERROR(VLOOKUP("429",'Účtovná osnova'!$M:$N,2,FALSE),)</f>
        <v>-5147926.3499999996</v>
      </c>
      <c r="D101" s="182"/>
      <c r="E101" s="182"/>
      <c r="F101" s="182">
        <v>-5147926.3499999996</v>
      </c>
    </row>
    <row r="102" spans="1:6" x14ac:dyDescent="0.3">
      <c r="A102" s="180" t="s">
        <v>1690</v>
      </c>
      <c r="B102" s="180" t="s">
        <v>2119</v>
      </c>
      <c r="C102" s="182">
        <f>E3-SUM(C83,C87:C89,C92,C95,C99,C103,C143)</f>
        <v>680783.97000000067</v>
      </c>
      <c r="D102" s="182"/>
      <c r="E102" s="182"/>
      <c r="F102" s="182">
        <f>F3-SUM(F83,F87:F89,F92,F95,F99,F103,F143)</f>
        <v>580518.39999999851</v>
      </c>
    </row>
    <row r="103" spans="1:6" x14ac:dyDescent="0.3">
      <c r="A103" s="180" t="s">
        <v>2120</v>
      </c>
      <c r="B103" s="180" t="s">
        <v>2121</v>
      </c>
      <c r="C103" s="182">
        <f>SUM(C104,C120,C123:C124,C138,C141:C142)</f>
        <v>5419684.3000000007</v>
      </c>
      <c r="D103" s="182"/>
      <c r="E103" s="182"/>
      <c r="F103" s="182">
        <f>SUM(F104,F120,F123:F124,F138,F141:F142)</f>
        <v>8222509</v>
      </c>
    </row>
    <row r="104" spans="1:6" x14ac:dyDescent="0.3">
      <c r="A104" s="180" t="s">
        <v>2122</v>
      </c>
      <c r="B104" s="180" t="s">
        <v>2123</v>
      </c>
      <c r="C104" s="182">
        <f>SUM(C105,C109:C119)</f>
        <v>358.16</v>
      </c>
      <c r="D104" s="182"/>
      <c r="E104" s="182"/>
      <c r="F104" s="182">
        <f>SUM(F105,F109:F119)</f>
        <v>168</v>
      </c>
    </row>
    <row r="105" spans="1:6" x14ac:dyDescent="0.3">
      <c r="A105" s="180" t="s">
        <v>2124</v>
      </c>
      <c r="B105" s="180" t="s">
        <v>2125</v>
      </c>
      <c r="C105" s="182">
        <f>SUM(C106:C108)</f>
        <v>0</v>
      </c>
      <c r="D105" s="182"/>
      <c r="E105" s="182"/>
      <c r="F105" s="182">
        <f>SUM(F106:F108)</f>
        <v>0</v>
      </c>
    </row>
    <row r="106" spans="1:6" x14ac:dyDescent="0.3">
      <c r="A106" s="180" t="s">
        <v>2126</v>
      </c>
      <c r="B106" s="180" t="s">
        <v>2127</v>
      </c>
      <c r="C106" s="182"/>
      <c r="D106" s="182"/>
      <c r="E106" s="182"/>
      <c r="F106" s="182"/>
    </row>
    <row r="107" spans="1:6" x14ac:dyDescent="0.3">
      <c r="A107" s="180" t="s">
        <v>2128</v>
      </c>
      <c r="B107" s="180" t="s">
        <v>2129</v>
      </c>
      <c r="C107" s="182"/>
      <c r="D107" s="182"/>
      <c r="E107" s="182"/>
      <c r="F107" s="182"/>
    </row>
    <row r="108" spans="1:6" x14ac:dyDescent="0.3">
      <c r="A108" s="180" t="s">
        <v>2130</v>
      </c>
      <c r="B108" s="180" t="s">
        <v>2131</v>
      </c>
      <c r="C108" s="182">
        <f>-IFERROR(VLOOKUP("476",'Účtovná osnova'!$M:$N,2,FALSE),)-SUM(C106:C107)</f>
        <v>0</v>
      </c>
      <c r="D108" s="182"/>
      <c r="E108" s="182"/>
      <c r="F108" s="182">
        <v>0</v>
      </c>
    </row>
    <row r="109" spans="1:6" x14ac:dyDescent="0.3">
      <c r="A109" s="180" t="s">
        <v>2132</v>
      </c>
      <c r="B109" s="180" t="s">
        <v>2021</v>
      </c>
      <c r="C109" s="182"/>
      <c r="D109" s="182"/>
      <c r="E109" s="182"/>
      <c r="F109" s="182"/>
    </row>
    <row r="110" spans="1:6" x14ac:dyDescent="0.3">
      <c r="A110" s="180" t="s">
        <v>2133</v>
      </c>
      <c r="B110" s="180" t="s">
        <v>2134</v>
      </c>
      <c r="C110" s="182"/>
      <c r="D110" s="182"/>
      <c r="E110" s="182"/>
      <c r="F110" s="182"/>
    </row>
    <row r="111" spans="1:6" x14ac:dyDescent="0.3">
      <c r="A111" s="180" t="s">
        <v>2135</v>
      </c>
      <c r="B111" s="180" t="s">
        <v>2136</v>
      </c>
      <c r="C111" s="182">
        <f>-IFERROR(VLOOKUP("471",'Účtovná osnova'!$M:$N,2,FALSE),)-C110</f>
        <v>0</v>
      </c>
      <c r="D111" s="182"/>
      <c r="E111" s="182"/>
      <c r="F111" s="182">
        <v>0</v>
      </c>
    </row>
    <row r="112" spans="1:6" x14ac:dyDescent="0.3">
      <c r="A112" s="180" t="s">
        <v>2137</v>
      </c>
      <c r="B112" s="180" t="s">
        <v>2138</v>
      </c>
      <c r="C112" s="182">
        <f>-IFERROR(VLOOKUP("479",'Účtovná osnova'!$M:$N,2,FALSE),)-C111</f>
        <v>0</v>
      </c>
      <c r="D112" s="182"/>
      <c r="E112" s="182"/>
      <c r="F112" s="182">
        <v>0</v>
      </c>
    </row>
    <row r="113" spans="1:6" x14ac:dyDescent="0.3">
      <c r="A113" s="180" t="s">
        <v>2139</v>
      </c>
      <c r="B113" s="180" t="s">
        <v>2140</v>
      </c>
      <c r="C113" s="182">
        <f>-IFERROR(VLOOKUP("475",'Účtovná osnova'!$M:$N,2,FALSE),)</f>
        <v>0</v>
      </c>
      <c r="D113" s="182"/>
      <c r="E113" s="182"/>
      <c r="F113" s="182">
        <v>0</v>
      </c>
    </row>
    <row r="114" spans="1:6" x14ac:dyDescent="0.3">
      <c r="A114" s="180" t="s">
        <v>2141</v>
      </c>
      <c r="B114" s="180" t="s">
        <v>2142</v>
      </c>
      <c r="C114" s="182">
        <f>-IFERROR(VLOOKUP("478",'Účtovná osnova'!$M:$N,2,FALSE),)</f>
        <v>0</v>
      </c>
      <c r="D114" s="182"/>
      <c r="E114" s="182"/>
      <c r="F114" s="182">
        <v>0</v>
      </c>
    </row>
    <row r="115" spans="1:6" x14ac:dyDescent="0.3">
      <c r="A115" s="183" t="s">
        <v>2143</v>
      </c>
      <c r="B115" s="183" t="s">
        <v>2144</v>
      </c>
      <c r="C115" s="182">
        <f>-IFERROR(VLOOKUP("473",'Účtovná osnova'!$M:$N,2,FALSE),)</f>
        <v>0</v>
      </c>
      <c r="D115" s="182"/>
      <c r="E115" s="182"/>
      <c r="F115" s="182">
        <v>0</v>
      </c>
    </row>
    <row r="116" spans="1:6" x14ac:dyDescent="0.3">
      <c r="A116" s="180" t="s">
        <v>2145</v>
      </c>
      <c r="B116" s="180" t="s">
        <v>2146</v>
      </c>
      <c r="C116" s="182">
        <f>-IFERROR(VLOOKUP("472",'Účtovná osnova'!$M:$N,2,FALSE),)</f>
        <v>358.16</v>
      </c>
      <c r="D116" s="182"/>
      <c r="E116" s="182"/>
      <c r="F116" s="182">
        <v>168</v>
      </c>
    </row>
    <row r="117" spans="1:6" x14ac:dyDescent="0.3">
      <c r="A117" s="180" t="s">
        <v>2147</v>
      </c>
      <c r="B117" s="180" t="s">
        <v>2148</v>
      </c>
      <c r="C117" s="182">
        <f>-IFERROR(VLOOKUP("474",'Účtovná osnova'!$M:$N,2,FALSE),)</f>
        <v>0</v>
      </c>
      <c r="D117" s="182"/>
      <c r="E117" s="182"/>
      <c r="F117" s="182">
        <v>0</v>
      </c>
    </row>
    <row r="118" spans="1:6" x14ac:dyDescent="0.3">
      <c r="A118" s="180" t="s">
        <v>2149</v>
      </c>
      <c r="B118" s="180" t="s">
        <v>2150</v>
      </c>
      <c r="C118" s="182"/>
      <c r="D118" s="182"/>
      <c r="E118" s="182"/>
      <c r="F118" s="182"/>
    </row>
    <row r="119" spans="1:6" x14ac:dyDescent="0.3">
      <c r="A119" s="180" t="s">
        <v>2151</v>
      </c>
      <c r="B119" s="180" t="s">
        <v>2152</v>
      </c>
      <c r="C119" s="182">
        <f>-IFERROR(IF(VLOOKUP("481",'Účtovná osnova'!$M:$N,2,FALSE)&lt;0,VLOOKUP("481",'Účtovná osnova'!$M:$N,2,FALSE),),)</f>
        <v>0</v>
      </c>
      <c r="D119" s="182"/>
      <c r="E119" s="182"/>
      <c r="F119" s="182">
        <v>0</v>
      </c>
    </row>
    <row r="120" spans="1:6" x14ac:dyDescent="0.3">
      <c r="A120" s="180" t="s">
        <v>2153</v>
      </c>
      <c r="B120" s="180" t="s">
        <v>2154</v>
      </c>
      <c r="C120" s="182">
        <f>SUM(C121:C122)</f>
        <v>0</v>
      </c>
      <c r="D120" s="182"/>
      <c r="E120" s="182"/>
      <c r="F120" s="182">
        <f>SUM(F121:F122)</f>
        <v>0</v>
      </c>
    </row>
    <row r="121" spans="1:6" x14ac:dyDescent="0.3">
      <c r="A121" s="180" t="s">
        <v>2155</v>
      </c>
      <c r="B121" s="180" t="s">
        <v>2156</v>
      </c>
      <c r="C121" s="182">
        <f>-IFERROR(VLOOKUP("451",'Účtovná osnova'!$M:$N,2,FALSE),)</f>
        <v>0</v>
      </c>
      <c r="D121" s="182"/>
      <c r="E121" s="182"/>
      <c r="F121" s="182">
        <v>0</v>
      </c>
    </row>
    <row r="122" spans="1:6" x14ac:dyDescent="0.3">
      <c r="A122" s="180" t="s">
        <v>2157</v>
      </c>
      <c r="B122" s="180" t="s">
        <v>2158</v>
      </c>
      <c r="C122" s="182">
        <f>-IFERROR(VLOOKUP("459",'Účtovná osnova'!$M:$N,2,FALSE),)</f>
        <v>0</v>
      </c>
      <c r="D122" s="182"/>
      <c r="E122" s="182"/>
      <c r="F122" s="182">
        <v>0</v>
      </c>
    </row>
    <row r="123" spans="1:6" x14ac:dyDescent="0.3">
      <c r="A123" s="180" t="s">
        <v>2159</v>
      </c>
      <c r="B123" s="180" t="s">
        <v>2160</v>
      </c>
      <c r="C123" s="182">
        <f>-IFERROR(VLOOKUP("461",'Účtovná osnova'!$M:$N,2,FALSE),)</f>
        <v>0</v>
      </c>
      <c r="D123" s="182"/>
      <c r="E123" s="182"/>
      <c r="F123" s="182">
        <v>0</v>
      </c>
    </row>
    <row r="124" spans="1:6" x14ac:dyDescent="0.3">
      <c r="A124" s="180" t="s">
        <v>2161</v>
      </c>
      <c r="B124" s="180" t="s">
        <v>2162</v>
      </c>
      <c r="C124" s="182">
        <f>SUM(C125,C129:C137)</f>
        <v>4436575.26</v>
      </c>
      <c r="D124" s="182"/>
      <c r="E124" s="182"/>
      <c r="F124" s="182">
        <f>SUM(F125,F129:F137)</f>
        <v>7760498</v>
      </c>
    </row>
    <row r="125" spans="1:6" x14ac:dyDescent="0.3">
      <c r="A125" s="180" t="s">
        <v>2163</v>
      </c>
      <c r="B125" s="180" t="s">
        <v>2164</v>
      </c>
      <c r="C125" s="182">
        <f>SUM(C126:C128)</f>
        <v>3891179.6599999997</v>
      </c>
      <c r="D125" s="182"/>
      <c r="E125" s="182"/>
      <c r="F125" s="182">
        <f>SUM(F126:F128)</f>
        <v>7472166</v>
      </c>
    </row>
    <row r="126" spans="1:6" x14ac:dyDescent="0.3">
      <c r="A126" s="180" t="s">
        <v>2165</v>
      </c>
      <c r="B126" s="180" t="s">
        <v>2166</v>
      </c>
      <c r="C126" s="182">
        <f>-VLOOKUP(321130,'Účtovná osnova'!$A$1:$I$1068,6,FALSE)-VLOOKUP(321230,'Účtovná osnova'!$A$1:$I$1068,6,FALSE)</f>
        <v>120730.91</v>
      </c>
      <c r="D126" s="182"/>
      <c r="E126" s="182"/>
      <c r="F126" s="182">
        <v>135250</v>
      </c>
    </row>
    <row r="127" spans="1:6" x14ac:dyDescent="0.3">
      <c r="A127" s="180" t="s">
        <v>2167</v>
      </c>
      <c r="B127" s="180" t="s">
        <v>2168</v>
      </c>
      <c r="C127" s="182"/>
      <c r="D127" s="182"/>
      <c r="E127" s="182"/>
      <c r="F127" s="182"/>
    </row>
    <row r="128" spans="1:6" x14ac:dyDescent="0.3">
      <c r="A128" s="180" t="s">
        <v>2169</v>
      </c>
      <c r="B128" s="180" t="s">
        <v>2170</v>
      </c>
      <c r="C128" s="182">
        <f>-IFERROR(VLOOKUP("321",'Účtovná osnova'!$M:$N,2,FALSE),)-IFERROR(VLOOKUP("322",'Účtovná osnova'!$M:$N,2,FALSE),)-IFERROR(VLOOKUP("324",'Účtovná osnova'!$M:$N,2,FALSE),)-IFERROR(VLOOKUP("325",'Účtovná osnova'!$M:$N,2,FALSE),)-IFERROR(VLOOKUP("326",'Účtovná osnova'!$M:$N,2,FALSE),)-C126-C127</f>
        <v>3770448.7499999995</v>
      </c>
      <c r="D128" s="182"/>
      <c r="E128" s="182"/>
      <c r="F128" s="182">
        <v>7336916</v>
      </c>
    </row>
    <row r="129" spans="1:6" x14ac:dyDescent="0.3">
      <c r="A129" s="180" t="s">
        <v>2171</v>
      </c>
      <c r="B129" s="180" t="s">
        <v>2021</v>
      </c>
      <c r="C129" s="182">
        <f>-IFERROR(IF(VLOOKUP("316",'Účtovná osnova'!$M:$N,2,FALSE)&lt;0,VLOOKUP("316",'Účtovná osnova'!$M:$N,2,FALSE),),)-C109</f>
        <v>0</v>
      </c>
      <c r="D129" s="182"/>
      <c r="E129" s="182"/>
      <c r="F129" s="182">
        <v>0</v>
      </c>
    </row>
    <row r="130" spans="1:6" x14ac:dyDescent="0.3">
      <c r="A130" s="180" t="s">
        <v>2172</v>
      </c>
      <c r="B130" s="180" t="s">
        <v>2173</v>
      </c>
      <c r="C130" s="182"/>
      <c r="D130" s="182"/>
      <c r="E130" s="182"/>
      <c r="F130" s="182"/>
    </row>
    <row r="131" spans="1:6" x14ac:dyDescent="0.3">
      <c r="A131" s="180" t="s">
        <v>2174</v>
      </c>
      <c r="B131" s="180" t="s">
        <v>2175</v>
      </c>
      <c r="C131" s="182">
        <f>-IFERROR(VLOOKUP("361",'Účtovná osnova'!$M:$N,2,FALSE),)-C130</f>
        <v>0</v>
      </c>
      <c r="D131" s="182"/>
      <c r="E131" s="182"/>
      <c r="F131" s="182">
        <v>0</v>
      </c>
    </row>
    <row r="132" spans="1:6" x14ac:dyDescent="0.3">
      <c r="A132" s="180" t="s">
        <v>1692</v>
      </c>
      <c r="B132" s="180" t="s">
        <v>2176</v>
      </c>
      <c r="C132" s="182">
        <f>-IFERROR(VLOOKUP("364",'Účtovná osnova'!$M:$N,2,FALSE),)-IFERROR(VLOOKUP("365",'Účtovná osnova'!$M:$N,2,FALSE),)-IFERROR(VLOOKUP("366",'Účtovná osnova'!$M:$N,2,FALSE),)-IFERROR(VLOOKUP("367",'Účtovná osnova'!$M:$N,2,FALSE),)-IFERROR(VLOOKUP("368",'Účtovná osnova'!$M:$N,2,FALSE),)-IFERROR(IF(VLOOKUP("398",'Účtovná osnova'!$M:$N,2,FALSE)&lt;0,VLOOKUP("398",'Účtovná osnova'!$M:$N,2,FALSE),),)</f>
        <v>0</v>
      </c>
      <c r="D132" s="182"/>
      <c r="E132" s="182"/>
      <c r="F132" s="182">
        <v>0</v>
      </c>
    </row>
    <row r="133" spans="1:6" x14ac:dyDescent="0.3">
      <c r="A133" s="180" t="s">
        <v>1693</v>
      </c>
      <c r="B133" s="180" t="s">
        <v>2177</v>
      </c>
      <c r="C133" s="182">
        <f>-IFERROR(IF(VLOOKUP("331",'Účtovná osnova'!$M:$N,2,FALSE)&lt;0,VLOOKUP("331",'Účtovná osnova'!$M:$N,2,FALSE),),)-IFERROR(VLOOKUP("333",'Účtovná osnova'!$M:$N,2,FALSE),)</f>
        <v>142079.17000000001</v>
      </c>
      <c r="D133" s="182"/>
      <c r="E133" s="182"/>
      <c r="F133" s="182">
        <v>147868</v>
      </c>
    </row>
    <row r="134" spans="1:6" x14ac:dyDescent="0.3">
      <c r="A134" s="180" t="s">
        <v>1694</v>
      </c>
      <c r="B134" s="180" t="s">
        <v>2178</v>
      </c>
      <c r="C134" s="182">
        <f>-IFERROR(IF(VLOOKUP("336",'Účtovná osnova'!$M:$N,2,FALSE)&lt;0,VLOOKUP("336",'Účtovná osnova'!$M:$N,2,FALSE),),)</f>
        <v>99887.95</v>
      </c>
      <c r="D134" s="182"/>
      <c r="E134" s="182"/>
      <c r="F134" s="182">
        <v>101167</v>
      </c>
    </row>
    <row r="135" spans="1:6" x14ac:dyDescent="0.3">
      <c r="A135" s="180" t="s">
        <v>2179</v>
      </c>
      <c r="B135" s="180" t="s">
        <v>2180</v>
      </c>
      <c r="C135" s="182">
        <f>-IFERROR(IF(VLOOKUP("341",'Účtovná osnova'!$M:$N,2,FALSE)&lt;0,VLOOKUP("341",'Účtovná osnova'!$M:$N,2,FALSE),),)-IFERROR(IF(VLOOKUP("342",'Účtovná osnova'!$M:$N,2,FALSE)&lt;0,VLOOKUP("342",'Účtovná osnova'!$M:$N,2,FALSE),),)-IFERROR(IF(VLOOKUP("343",'Účtovná osnova'!$M:$N,2,FALSE)&lt;0,VLOOKUP("343",'Účtovná osnova'!$M:$N,2,FALSE),),)-IFERROR(IF(VLOOKUP("345",'Účtovná osnova'!$M:$N,2,FALSE)&lt;0,VLOOKUP("345",'Účtovná osnova'!$M:$N,2,FALSE),),)-IFERROR(IF(VLOOKUP("346",'Účtovná osnova'!$M:$N,2,FALSE)&lt;0,VLOOKUP("346",'Účtovná osnova'!$M:$N,2,FALSE),),)-IFERROR(IF(VLOOKUP("347",'Účtovná osnova'!$M:$N,2,FALSE)&lt;0,VLOOKUP("347",'Účtovná osnova'!$M:$N,2,FALSE),),)</f>
        <v>296391.07</v>
      </c>
      <c r="D135" s="182"/>
      <c r="E135" s="182"/>
      <c r="F135" s="182">
        <v>36423</v>
      </c>
    </row>
    <row r="136" spans="1:6" x14ac:dyDescent="0.3">
      <c r="A136" s="180" t="s">
        <v>2181</v>
      </c>
      <c r="B136" s="180" t="s">
        <v>2182</v>
      </c>
      <c r="C136" s="182">
        <f>-IFERROR(IF(VLOOKUP("373",'Účtovná osnova'!$M:$N,2,FALSE)&lt;0,VLOOKUP("373",'Účtovná osnova'!$M:$N,2,FALSE),),)-IFERROR(VLOOKUP("377",'Účtovná osnova'!$M:$N,2,FALSE),)</f>
        <v>0</v>
      </c>
      <c r="D136" s="182"/>
      <c r="E136" s="182"/>
      <c r="F136" s="182">
        <v>0</v>
      </c>
    </row>
    <row r="137" spans="1:6" x14ac:dyDescent="0.3">
      <c r="A137" s="180" t="s">
        <v>2183</v>
      </c>
      <c r="B137" s="180" t="s">
        <v>2184</v>
      </c>
      <c r="C137" s="182">
        <f>-IFERROR(VLOOKUP("372",'Účtovná osnova'!$M:$N,2,FALSE),)-IFERROR(VLOOKUP("379",'Účtovná osnova'!$M:$N,2,FALSE),)</f>
        <v>7037.41</v>
      </c>
      <c r="D137" s="182"/>
      <c r="E137" s="182"/>
      <c r="F137" s="182">
        <v>2874</v>
      </c>
    </row>
    <row r="138" spans="1:6" x14ac:dyDescent="0.3">
      <c r="A138" s="180" t="s">
        <v>2185</v>
      </c>
      <c r="B138" s="180" t="s">
        <v>2186</v>
      </c>
      <c r="C138" s="182">
        <f>SUM(C139:C140)</f>
        <v>391255.11</v>
      </c>
      <c r="D138" s="182"/>
      <c r="E138" s="182"/>
      <c r="F138" s="182">
        <v>379170</v>
      </c>
    </row>
    <row r="139" spans="1:6" x14ac:dyDescent="0.3">
      <c r="A139" s="180" t="s">
        <v>2187</v>
      </c>
      <c r="B139" s="183" t="s">
        <v>2188</v>
      </c>
      <c r="C139" s="182">
        <f>-VLOOKUP(323450,'Účtovná osnova'!$A$1:$I$1068,6,FALSE)</f>
        <v>113112.54</v>
      </c>
      <c r="D139" s="182"/>
      <c r="E139" s="182"/>
      <c r="F139" s="182">
        <v>132553</v>
      </c>
    </row>
    <row r="140" spans="1:6" x14ac:dyDescent="0.3">
      <c r="A140" s="180" t="s">
        <v>2189</v>
      </c>
      <c r="B140" s="180" t="s">
        <v>2190</v>
      </c>
      <c r="C140" s="182">
        <f>-IFERROR(VLOOKUP("323",'Účtovná osnova'!$M:$N,2,FALSE),)-C139</f>
        <v>278142.57</v>
      </c>
      <c r="D140" s="182"/>
      <c r="E140" s="182"/>
      <c r="F140" s="182">
        <v>246617</v>
      </c>
    </row>
    <row r="141" spans="1:6" x14ac:dyDescent="0.3">
      <c r="A141" s="180" t="s">
        <v>1695</v>
      </c>
      <c r="B141" s="180" t="s">
        <v>2191</v>
      </c>
      <c r="C141" s="182">
        <f>-IFERROR(IF(VLOOKUP(221200,'Účtovná osnova'!$A$1:$I$1068,6,FALSE)&lt;0,VLOOKUP(221200,'Účtovná osnova'!$A$1:$I$1068,6,FALSE),),)-IFERROR(VLOOKUP("231",'Účtovná osnova'!$M:$N,2,FALSE),)-IFERROR(VLOOKUP("232",'Účtovná osnova'!$M:$N,2,FALSE),)</f>
        <v>591495.77</v>
      </c>
      <c r="D141" s="182"/>
      <c r="E141" s="182"/>
      <c r="F141" s="182">
        <v>82673</v>
      </c>
    </row>
    <row r="142" spans="1:6" x14ac:dyDescent="0.3">
      <c r="A142" s="180" t="s">
        <v>2192</v>
      </c>
      <c r="B142" s="180" t="s">
        <v>2193</v>
      </c>
      <c r="C142" s="182">
        <f>-IFERROR(VLOOKUP("241",'Účtovná osnova'!$M:$N,2,FALSE),)-IFERROR(VLOOKUP("249",'Účtovná osnova'!$M:$N,2,FALSE),)-IFERROR(VLOOKUP("255",'Účtovná osnova'!$M:$N,2,FALSE),)</f>
        <v>0</v>
      </c>
      <c r="D142" s="182"/>
      <c r="E142" s="182"/>
      <c r="F142" s="182">
        <v>0</v>
      </c>
    </row>
    <row r="143" spans="1:6" x14ac:dyDescent="0.3">
      <c r="A143" s="180" t="s">
        <v>2194</v>
      </c>
      <c r="B143" s="180" t="s">
        <v>2195</v>
      </c>
      <c r="C143" s="182">
        <f>SUM(C144:C147)</f>
        <v>19276.849999999999</v>
      </c>
      <c r="D143" s="182"/>
      <c r="E143" s="182"/>
      <c r="F143" s="182">
        <f>SUM(F144:F147)</f>
        <v>41542</v>
      </c>
    </row>
    <row r="144" spans="1:6" x14ac:dyDescent="0.3">
      <c r="A144" s="180" t="s">
        <v>2196</v>
      </c>
      <c r="B144" s="180" t="s">
        <v>2197</v>
      </c>
      <c r="C144" s="182"/>
      <c r="D144" s="182"/>
      <c r="E144" s="182"/>
      <c r="F144" s="182"/>
    </row>
    <row r="145" spans="1:6" x14ac:dyDescent="0.3">
      <c r="A145" s="180" t="s">
        <v>2198</v>
      </c>
      <c r="B145" s="180" t="s">
        <v>2199</v>
      </c>
      <c r="C145" s="182">
        <f>-IFERROR(VLOOKUP("383",'Účtovná osnova'!$M:$N,2,FALSE),)-C144</f>
        <v>197.82</v>
      </c>
      <c r="D145" s="182"/>
      <c r="E145" s="182"/>
      <c r="F145" s="182">
        <v>54</v>
      </c>
    </row>
    <row r="146" spans="1:6" x14ac:dyDescent="0.3">
      <c r="A146" s="180" t="s">
        <v>2200</v>
      </c>
      <c r="B146" s="180" t="s">
        <v>2201</v>
      </c>
      <c r="C146" s="182"/>
      <c r="D146" s="182"/>
      <c r="E146" s="182"/>
      <c r="F146" s="182"/>
    </row>
    <row r="147" spans="1:6" x14ac:dyDescent="0.3">
      <c r="A147" s="180" t="s">
        <v>2202</v>
      </c>
      <c r="B147" s="180" t="s">
        <v>2203</v>
      </c>
      <c r="C147" s="182">
        <f>-IFERROR(VLOOKUP("384",'Účtovná osnova'!$M:$N,2,FALSE),)-C146</f>
        <v>19079.03</v>
      </c>
      <c r="D147" s="182"/>
      <c r="E147" s="182"/>
      <c r="F147" s="182">
        <v>41488</v>
      </c>
    </row>
    <row r="148" spans="1:6" x14ac:dyDescent="0.3">
      <c r="A148" s="180" t="s">
        <v>461</v>
      </c>
      <c r="B148" s="180" t="s">
        <v>461</v>
      </c>
      <c r="C148" s="182"/>
      <c r="D148" s="182"/>
      <c r="E148" s="182"/>
      <c r="F148" s="182"/>
    </row>
    <row r="149" spans="1:6" x14ac:dyDescent="0.3">
      <c r="A149" s="180"/>
      <c r="B149" s="180"/>
    </row>
    <row r="150" spans="1:6" x14ac:dyDescent="0.3">
      <c r="A150" s="180"/>
      <c r="B150" s="180"/>
    </row>
    <row r="151" spans="1:6" x14ac:dyDescent="0.3">
      <c r="A151" s="180"/>
      <c r="B151" s="180"/>
    </row>
    <row r="152" spans="1:6" x14ac:dyDescent="0.3">
      <c r="A152" s="180"/>
      <c r="B152" s="180"/>
    </row>
    <row r="153" spans="1:6" x14ac:dyDescent="0.3">
      <c r="A153" s="180"/>
      <c r="B153" s="180"/>
    </row>
    <row r="154" spans="1:6" x14ac:dyDescent="0.3">
      <c r="A154" s="180"/>
      <c r="B154" s="180"/>
    </row>
    <row r="155" spans="1:6" x14ac:dyDescent="0.3">
      <c r="A155" s="180"/>
      <c r="B155" s="180"/>
    </row>
    <row r="156" spans="1:6" x14ac:dyDescent="0.3">
      <c r="A156" s="180"/>
      <c r="B156" s="180"/>
    </row>
    <row r="157" spans="1:6" x14ac:dyDescent="0.3">
      <c r="A157" s="180"/>
      <c r="B157" s="180"/>
    </row>
    <row r="158" spans="1:6" x14ac:dyDescent="0.3">
      <c r="A158" s="180"/>
      <c r="B158" s="180"/>
    </row>
    <row r="159" spans="1:6" x14ac:dyDescent="0.3">
      <c r="A159" s="180"/>
      <c r="B159" s="180"/>
    </row>
    <row r="160" spans="1:6" x14ac:dyDescent="0.3">
      <c r="A160" s="180"/>
      <c r="B160" s="180"/>
    </row>
    <row r="161" spans="1:2" x14ac:dyDescent="0.3">
      <c r="A161" s="180"/>
      <c r="B161" s="180"/>
    </row>
    <row r="162" spans="1:2" x14ac:dyDescent="0.3">
      <c r="A162" s="180"/>
      <c r="B162" s="180"/>
    </row>
    <row r="163" spans="1:2" x14ac:dyDescent="0.3">
      <c r="A163" s="180"/>
      <c r="B163" s="180"/>
    </row>
    <row r="164" spans="1:2" x14ac:dyDescent="0.3">
      <c r="A164" s="180"/>
      <c r="B164" s="180"/>
    </row>
    <row r="165" spans="1:2" x14ac:dyDescent="0.3">
      <c r="A165" s="180"/>
      <c r="B165" s="180"/>
    </row>
    <row r="166" spans="1:2" x14ac:dyDescent="0.3">
      <c r="A166" s="180"/>
      <c r="B166" s="180"/>
    </row>
    <row r="167" spans="1:2" x14ac:dyDescent="0.3">
      <c r="A167" s="180"/>
      <c r="B167" s="180"/>
    </row>
    <row r="168" spans="1:2" x14ac:dyDescent="0.3">
      <c r="A168" s="180"/>
      <c r="B168" s="180"/>
    </row>
    <row r="169" spans="1:2" x14ac:dyDescent="0.3">
      <c r="A169" s="180"/>
      <c r="B169" s="180"/>
    </row>
    <row r="170" spans="1:2" x14ac:dyDescent="0.3">
      <c r="A170" s="180"/>
      <c r="B170" s="180"/>
    </row>
    <row r="171" spans="1:2" x14ac:dyDescent="0.3">
      <c r="A171" s="180" t="s">
        <v>461</v>
      </c>
      <c r="B171" s="180" t="s">
        <v>461</v>
      </c>
    </row>
  </sheetData>
  <mergeCells count="1">
    <mergeCell ref="C1:E1"/>
  </mergeCells>
  <phoneticPr fontId="41" type="noConversion"/>
  <pageMargins left="0.75" right="0.75" top="1" bottom="1" header="0.5" footer="0.5"/>
  <pageSetup paperSize="9" orientation="portrait" verticalDpi="0" r:id="rId1"/>
  <ignoredErrors>
    <ignoredError sqref="C4:E4 C7 C15 C39 C73 D9 E3 E23 E13 E35:E36 E43:E44 E55:E56 E68 E73" formula="1"/>
    <ignoredError sqref="A3:A12 A134 A65:A102 A50:A64 A23:A49 A13:A22 A103:A133 A136:A147 A13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2DAC2-68C0-454C-8556-C9441E03CB7F}">
  <dimension ref="A1:D67"/>
  <sheetViews>
    <sheetView workbookViewId="0">
      <pane ySplit="1" topLeftCell="A2" activePane="bottomLeft" state="frozen"/>
      <selection pane="bottomLeft" activeCell="A2" sqref="A2"/>
    </sheetView>
  </sheetViews>
  <sheetFormatPr defaultColWidth="8.88671875" defaultRowHeight="14.4" x14ac:dyDescent="0.3"/>
  <cols>
    <col min="1" max="1" width="100" style="173" customWidth="1"/>
    <col min="2" max="2" width="3" style="173" bestFit="1" customWidth="1"/>
    <col min="3" max="3" width="14.44140625" style="175" bestFit="1" customWidth="1"/>
    <col min="4" max="4" width="15.33203125" style="175" bestFit="1" customWidth="1"/>
    <col min="5" max="16384" width="8.88671875" style="173"/>
  </cols>
  <sheetData>
    <row r="1" spans="1:4" x14ac:dyDescent="0.3">
      <c r="A1" s="202" t="s">
        <v>2265</v>
      </c>
      <c r="B1" s="201"/>
      <c r="C1" s="203" t="s">
        <v>1816</v>
      </c>
      <c r="D1" s="203" t="s">
        <v>1817</v>
      </c>
    </row>
    <row r="2" spans="1:4" x14ac:dyDescent="0.3">
      <c r="A2" s="174" t="s">
        <v>1818</v>
      </c>
      <c r="B2" s="174" t="s">
        <v>1879</v>
      </c>
      <c r="C2" s="177">
        <f>SUM(C4:C9)</f>
        <v>49592782.510000005</v>
      </c>
      <c r="D2" s="177">
        <v>54609939</v>
      </c>
    </row>
    <row r="3" spans="1:4" x14ac:dyDescent="0.3">
      <c r="A3" s="174" t="s">
        <v>1819</v>
      </c>
      <c r="B3" s="174" t="s">
        <v>1880</v>
      </c>
      <c r="C3" s="188">
        <f>SUM(C4:C10)</f>
        <v>49685450.070000008</v>
      </c>
      <c r="D3" s="177">
        <v>54628511</v>
      </c>
    </row>
    <row r="4" spans="1:4" x14ac:dyDescent="0.3">
      <c r="A4" s="174" t="s">
        <v>1820</v>
      </c>
      <c r="B4" s="174" t="s">
        <v>1884</v>
      </c>
      <c r="C4" s="177">
        <f>-IFERROR(VLOOKUP("604",'Účtovná osnova'!M:N,2,FALSE),)-IFERROR(VLOOKUP("607",'Účtovná osnova'!M:N,2,FALSE),)</f>
        <v>40607651.230000004</v>
      </c>
      <c r="D4" s="177">
        <v>44256434</v>
      </c>
    </row>
    <row r="5" spans="1:4" x14ac:dyDescent="0.3">
      <c r="A5" s="174" t="s">
        <v>1821</v>
      </c>
      <c r="B5" s="174" t="s">
        <v>1885</v>
      </c>
      <c r="C5" s="177">
        <f>-IFERROR(VLOOKUP("601",'Účtovná osnova'!M:N,2,FALSE),)</f>
        <v>0</v>
      </c>
      <c r="D5" s="177"/>
    </row>
    <row r="6" spans="1:4" x14ac:dyDescent="0.3">
      <c r="A6" s="174" t="s">
        <v>1822</v>
      </c>
      <c r="B6" s="174" t="s">
        <v>1886</v>
      </c>
      <c r="C6" s="177">
        <f>-IFERROR(VLOOKUP("602",'Účtovná osnova'!M:N,2,FALSE),)-IFERROR(VLOOKUP("606",'Účtovná osnova'!M:N,2,FALSE),)</f>
        <v>3262034.9200000009</v>
      </c>
      <c r="D6" s="177">
        <v>3283179</v>
      </c>
    </row>
    <row r="7" spans="1:4" x14ac:dyDescent="0.3">
      <c r="A7" s="174" t="s">
        <v>1823</v>
      </c>
      <c r="B7" s="174" t="s">
        <v>1887</v>
      </c>
      <c r="C7" s="177">
        <f>-IFERROR(VLOOKUP("610",'Účtovná osnova'!M:N,2,FALSE),)-IFERROR(VLOOKUP("611",'Účtovná osnova'!M:N,2,FALSE),)-IFERROR(VLOOKUP("612",'Účtovná osnova'!M:N,2,FALSE),)-IFERROR(VLOOKUP("613",'Účtovná osnova'!M:N,2,FALSE),)-IFERROR(VLOOKUP("614",'Účtovná osnova'!M:N,2,FALSE),)-IFERROR(VLOOKUP("615",'Účtovná osnova'!M:N,2,FALSE),)-IFERROR(VLOOKUP("616",'Účtovná osnova'!M:N,2,FALSE),)-IFERROR(VLOOKUP("617",'Účtovná osnova'!M:N,2,FALSE),)-IFERROR(VLOOKUP("618",'Účtovná osnova'!M:N,2,FALSE),)-IFERROR(VLOOKUP("619",'Účtovná osnova'!M:N,2,FALSE),)</f>
        <v>0</v>
      </c>
      <c r="D7" s="177"/>
    </row>
    <row r="8" spans="1:4" x14ac:dyDescent="0.3">
      <c r="A8" s="174" t="s">
        <v>1824</v>
      </c>
      <c r="B8" s="174" t="s">
        <v>1888</v>
      </c>
      <c r="C8" s="177">
        <f>-IFERROR(VLOOKUP("620",'Účtovná osnova'!M:N,2,FALSE),)-IFERROR(VLOOKUP("621",'Účtovná osnova'!M:N,2,FALSE),)-IFERROR(VLOOKUP("622",'Účtovná osnova'!M:N,2,FALSE),)-IFERROR(VLOOKUP("623",'Účtovná osnova'!M:N,2,FALSE),)-IFERROR(VLOOKUP("624",'Účtovná osnova'!M:N,2,FALSE),)-IFERROR(VLOOKUP("625",'Účtovná osnova'!M:N,2,FALSE),)-IFERROR(VLOOKUP("626",'Účtovná osnova'!M:N,2,FALSE),)-IFERROR(VLOOKUP("627",'Účtovná osnova'!M:N,2,FALSE),)-IFERROR(VLOOKUP("628",'Účtovná osnova'!M:N,2,FALSE),)-IFERROR(VLOOKUP("629",'Účtovná osnova'!M:N,2,FALSE),)</f>
        <v>237839.78</v>
      </c>
      <c r="D8" s="177">
        <v>835784</v>
      </c>
    </row>
    <row r="9" spans="1:4" x14ac:dyDescent="0.3">
      <c r="A9" s="174" t="s">
        <v>1825</v>
      </c>
      <c r="B9" s="174" t="s">
        <v>1889</v>
      </c>
      <c r="C9" s="177">
        <f>-IFERROR(VLOOKUP("641",'Účtovná osnova'!M:N,2,FALSE),)-IFERROR(VLOOKUP("642",'Účtovná osnova'!M:N,2,FALSE),)</f>
        <v>5485256.5800000001</v>
      </c>
      <c r="D9" s="177">
        <v>6234541</v>
      </c>
    </row>
    <row r="10" spans="1:4" x14ac:dyDescent="0.3">
      <c r="A10" s="174" t="s">
        <v>1826</v>
      </c>
      <c r="B10" s="174" t="s">
        <v>1890</v>
      </c>
      <c r="C10" s="177">
        <f>-IFERROR(VLOOKUP("644",'Účtovná osnova'!M:N,2,FALSE),)-IFERROR(VLOOKUP("645",'Účtovná osnova'!M:N,2,FALSE),)-IFERROR(VLOOKUP("646",'Účtovná osnova'!M:N,2,FALSE),)-IFERROR(VLOOKUP("648",'Účtovná osnova'!M:N,2,FALSE),)-IFERROR(VLOOKUP("655",'Účtovná osnova'!M:N,2,FALSE),)-IFERROR(VLOOKUP("657",'Účtovná osnova'!M:N,2,FALSE),)</f>
        <v>92667.56</v>
      </c>
      <c r="D10" s="177">
        <v>18573</v>
      </c>
    </row>
    <row r="11" spans="1:4" x14ac:dyDescent="0.3">
      <c r="A11" s="174" t="s">
        <v>1827</v>
      </c>
      <c r="B11" s="174" t="s">
        <v>1883</v>
      </c>
      <c r="C11" s="177">
        <f>SUM(C12:C16,C21:C22,C25:C27)</f>
        <v>48721840.539999992</v>
      </c>
      <c r="D11" s="177">
        <v>53734219</v>
      </c>
    </row>
    <row r="12" spans="1:4" x14ac:dyDescent="0.3">
      <c r="A12" s="174" t="s">
        <v>1828</v>
      </c>
      <c r="B12" s="174" t="s">
        <v>1891</v>
      </c>
      <c r="C12" s="177">
        <f>IFERROR(VLOOKUP("504",'Účtovná osnova'!M:N,2,FALSE),)+IFERROR(VLOOKUP("507",'Účtovná osnova'!M:N,2,FALSE),)</f>
        <v>35657750.229999997</v>
      </c>
      <c r="D12" s="177">
        <v>39575915</v>
      </c>
    </row>
    <row r="13" spans="1:4" x14ac:dyDescent="0.3">
      <c r="A13" s="176" t="s">
        <v>1829</v>
      </c>
      <c r="B13" s="174" t="s">
        <v>1892</v>
      </c>
      <c r="C13" s="177">
        <f>IFERROR(VLOOKUP("501",'Účtovná osnova'!M:N,2,FALSE),)+IFERROR(VLOOKUP("502",'Účtovná osnova'!M:N,2,FALSE),)+IFERROR(VLOOKUP("503",'Účtovná osnova'!M:N,2,FALSE),)</f>
        <v>601697.80000000005</v>
      </c>
      <c r="D13" s="177">
        <v>782571</v>
      </c>
    </row>
    <row r="14" spans="1:4" x14ac:dyDescent="0.3">
      <c r="A14" s="174" t="s">
        <v>1830</v>
      </c>
      <c r="B14" s="174" t="s">
        <v>1691</v>
      </c>
      <c r="C14" s="177">
        <f>IFERROR(VLOOKUP("505",'Účtovná osnova'!M:N,2,FALSE),)</f>
        <v>192910.06</v>
      </c>
      <c r="D14" s="177">
        <v>165695</v>
      </c>
    </row>
    <row r="15" spans="1:4" x14ac:dyDescent="0.3">
      <c r="A15" s="174" t="s">
        <v>1831</v>
      </c>
      <c r="B15" s="174" t="s">
        <v>1893</v>
      </c>
      <c r="C15" s="177">
        <f>IFERROR(VLOOKUP("510",'Účtovná osnova'!M:N,2,FALSE),)+IFERROR(VLOOKUP("511",'Účtovná osnova'!M:N,2,FALSE),)+IFERROR(VLOOKUP("512",'Účtovná osnova'!M:N,2,FALSE),)+IFERROR(VLOOKUP("513",'Účtovná osnova'!M:N,2,FALSE),)+IFERROR(VLOOKUP("514",'Účtovná osnova'!M:N,2,FALSE),)+IFERROR(VLOOKUP("515",'Účtovná osnova'!M:N,2,FALSE),)+IFERROR(VLOOKUP("516",'Účtovná osnova'!M:N,2,FALSE),)+IFERROR(VLOOKUP("517",'Účtovná osnova'!M:N,2,FALSE),)+IFERROR(VLOOKUP("518",'Účtovná osnova'!M:N,2,FALSE),)+IFERROR(VLOOKUP("519",'Účtovná osnova'!M:N,2,FALSE),)</f>
        <v>2838940.09</v>
      </c>
      <c r="D15" s="177">
        <v>3236543</v>
      </c>
    </row>
    <row r="16" spans="1:4" x14ac:dyDescent="0.3">
      <c r="A16" s="174" t="s">
        <v>1832</v>
      </c>
      <c r="B16" s="174" t="s">
        <v>1894</v>
      </c>
      <c r="C16" s="177">
        <f>SUM(C17:C20)</f>
        <v>3316751.3399999994</v>
      </c>
      <c r="D16" s="177">
        <v>3278615</v>
      </c>
    </row>
    <row r="17" spans="1:4" x14ac:dyDescent="0.3">
      <c r="A17" s="174" t="s">
        <v>1833</v>
      </c>
      <c r="B17" s="174" t="s">
        <v>1895</v>
      </c>
      <c r="C17" s="177">
        <f>IFERROR(VLOOKUP("521",'Účtovná osnova'!M:N,2,FALSE),)+IFERROR(VLOOKUP("522",'Účtovná osnova'!M:N,2,FALSE),)</f>
        <v>2360131.4699999997</v>
      </c>
      <c r="D17" s="177">
        <v>2351500</v>
      </c>
    </row>
    <row r="18" spans="1:4" x14ac:dyDescent="0.3">
      <c r="A18" s="174" t="s">
        <v>1834</v>
      </c>
      <c r="B18" s="174" t="s">
        <v>1896</v>
      </c>
      <c r="C18" s="177">
        <f>IFERROR(VLOOKUP("523",'Účtovná osnova'!M:N,2,FALSE),)</f>
        <v>0</v>
      </c>
      <c r="D18" s="177"/>
    </row>
    <row r="19" spans="1:4" x14ac:dyDescent="0.3">
      <c r="A19" s="174" t="s">
        <v>1835</v>
      </c>
      <c r="B19" s="174" t="s">
        <v>1897</v>
      </c>
      <c r="C19" s="177">
        <f>IFERROR(VLOOKUP("524",'Účtovná osnova'!M:N,2,FALSE),)+IFERROR(VLOOKUP("525",'Účtovná osnova'!M:N,2,FALSE),)+IFERROR(VLOOKUP("526",'Účtovná osnova'!M:N,2,FALSE),)</f>
        <v>858822.84000000008</v>
      </c>
      <c r="D19" s="177">
        <v>835488</v>
      </c>
    </row>
    <row r="20" spans="1:4" x14ac:dyDescent="0.3">
      <c r="A20" s="174" t="s">
        <v>1836</v>
      </c>
      <c r="B20" s="174" t="s">
        <v>1898</v>
      </c>
      <c r="C20" s="177">
        <f>IFERROR(VLOOKUP("527",'Účtovná osnova'!M:N,2,FALSE),)+IFERROR(VLOOKUP("528",'Účtovná osnova'!M:N,2,FALSE),)</f>
        <v>97797.03</v>
      </c>
      <c r="D20" s="177">
        <v>91627</v>
      </c>
    </row>
    <row r="21" spans="1:4" x14ac:dyDescent="0.3">
      <c r="A21" s="174" t="s">
        <v>1837</v>
      </c>
      <c r="B21" s="174" t="s">
        <v>1899</v>
      </c>
      <c r="C21" s="177">
        <f>IFERROR(VLOOKUP("530",'Účtovná osnova'!M:N,2,FALSE),)+IFERROR(VLOOKUP("531",'Účtovná osnova'!M:N,2,FALSE),)+IFERROR(VLOOKUP("532",'Účtovná osnova'!M:N,2,FALSE),)+IFERROR(VLOOKUP("533",'Účtovná osnova'!M:N,2,FALSE),)+IFERROR(VLOOKUP("534",'Účtovná osnova'!M:N,2,FALSE),)+IFERROR(VLOOKUP("535",'Účtovná osnova'!M:N,2,FALSE),)+IFERROR(VLOOKUP("536",'Účtovná osnova'!M:N,2,FALSE),)+IFERROR(VLOOKUP("537",'Účtovná osnova'!M:N,2,FALSE),)+IFERROR(VLOOKUP("538",'Účtovná osnova'!M:N,2,FALSE),)+IFERROR(VLOOKUP("539",'Účtovná osnova'!M:N,2,FALSE),)</f>
        <v>14669.56</v>
      </c>
      <c r="D21" s="177">
        <v>7931</v>
      </c>
    </row>
    <row r="22" spans="1:4" x14ac:dyDescent="0.3">
      <c r="A22" s="174" t="s">
        <v>1838</v>
      </c>
      <c r="B22" s="174" t="s">
        <v>1697</v>
      </c>
      <c r="C22" s="177">
        <f>SUM(C23:C24)</f>
        <v>557044.49000000011</v>
      </c>
      <c r="D22" s="177">
        <v>488608</v>
      </c>
    </row>
    <row r="23" spans="1:4" x14ac:dyDescent="0.3">
      <c r="A23" s="174" t="s">
        <v>1839</v>
      </c>
      <c r="B23" s="174" t="s">
        <v>1700</v>
      </c>
      <c r="C23" s="177">
        <f>IFERROR(VLOOKUP("551",'Účtovná osnova'!M:N,2,FALSE),)</f>
        <v>557044.49000000011</v>
      </c>
      <c r="D23" s="177">
        <v>488608</v>
      </c>
    </row>
    <row r="24" spans="1:4" x14ac:dyDescent="0.3">
      <c r="A24" s="174" t="s">
        <v>1840</v>
      </c>
      <c r="B24" s="174" t="s">
        <v>1900</v>
      </c>
      <c r="C24" s="177">
        <f>IFERROR(VLOOKUP("553",'Účtovná osnova'!M:N,2,FALSE),)</f>
        <v>0</v>
      </c>
      <c r="D24" s="177"/>
    </row>
    <row r="25" spans="1:4" x14ac:dyDescent="0.3">
      <c r="A25" s="174" t="s">
        <v>1841</v>
      </c>
      <c r="B25" s="174" t="s">
        <v>1901</v>
      </c>
      <c r="C25" s="177">
        <f>IFERROR(VLOOKUP("541",'Účtovná osnova'!M:N,2,FALSE),)+IFERROR(VLOOKUP("542",'Účtovná osnova'!M:N,2,FALSE),)</f>
        <v>5365819.97</v>
      </c>
      <c r="D25" s="177">
        <v>6006756</v>
      </c>
    </row>
    <row r="26" spans="1:4" x14ac:dyDescent="0.3">
      <c r="A26" s="174" t="s">
        <v>1842</v>
      </c>
      <c r="B26" s="174" t="s">
        <v>1881</v>
      </c>
      <c r="C26" s="177">
        <f>IFERROR(VLOOKUP("547",'Účtovná osnova'!M:N,2,FALSE),)</f>
        <v>0</v>
      </c>
      <c r="D26" s="177">
        <v>-25299</v>
      </c>
    </row>
    <row r="27" spans="1:4" x14ac:dyDescent="0.3">
      <c r="A27" s="174" t="s">
        <v>1843</v>
      </c>
      <c r="B27" s="174" t="s">
        <v>1902</v>
      </c>
      <c r="C27" s="177">
        <f>IFERROR(VLOOKUP("543",'Účtovná osnova'!M:N,2,FALSE),)+IFERROR(VLOOKUP("544",'Účtovná osnova'!M:N,2,FALSE),)+IFERROR(VLOOKUP("545",'Účtovná osnova'!M:N,2,FALSE),)+IFERROR(VLOOKUP("546",'Účtovná osnova'!M:N,2,FALSE),)+IFERROR(VLOOKUP("548",'Účtovná osnova'!M:N,2,FALSE),)+IFERROR(VLOOKUP("549",'Účtovná osnova'!M:N,2,FALSE),)+IFERROR(VLOOKUP("555",'Účtovná osnova'!M:N,2,FALSE),)+IFERROR(VLOOKUP("557",'Účtovná osnova'!M:N,2,FALSE),)</f>
        <v>176257</v>
      </c>
      <c r="D27" s="177">
        <v>216884</v>
      </c>
    </row>
    <row r="28" spans="1:4" x14ac:dyDescent="0.3">
      <c r="A28" s="174" t="s">
        <v>1844</v>
      </c>
      <c r="B28" s="174" t="s">
        <v>1882</v>
      </c>
      <c r="C28" s="177">
        <f>C3-C11</f>
        <v>963609.53000001609</v>
      </c>
      <c r="D28" s="177">
        <v>894291.95</v>
      </c>
    </row>
    <row r="29" spans="1:4" x14ac:dyDescent="0.3">
      <c r="A29" s="174" t="s">
        <v>1845</v>
      </c>
      <c r="B29" s="174" t="s">
        <v>1704</v>
      </c>
      <c r="C29" s="177">
        <f>SUM(C4:C8)-SUM(C12:C15)</f>
        <v>4816227.7500000149</v>
      </c>
      <c r="D29" s="177">
        <v>4614673</v>
      </c>
    </row>
    <row r="30" spans="1:4" x14ac:dyDescent="0.3">
      <c r="A30" s="174" t="s">
        <v>1846</v>
      </c>
      <c r="B30" s="174" t="s">
        <v>1705</v>
      </c>
      <c r="C30" s="177">
        <f>SUM(C31:C32,C36,C40,C43:C45)</f>
        <v>8598.68</v>
      </c>
      <c r="D30" s="177">
        <v>9094</v>
      </c>
    </row>
    <row r="31" spans="1:4" x14ac:dyDescent="0.3">
      <c r="A31" s="174" t="s">
        <v>1847</v>
      </c>
      <c r="B31" s="174" t="s">
        <v>1903</v>
      </c>
      <c r="C31" s="177">
        <f>IFERROR(VLOOKUP("661",'Účtovná osnova'!M:N,2,FALSE),)</f>
        <v>0</v>
      </c>
      <c r="D31" s="177"/>
    </row>
    <row r="32" spans="1:4" x14ac:dyDescent="0.3">
      <c r="A32" s="174" t="s">
        <v>1848</v>
      </c>
      <c r="B32" s="174" t="s">
        <v>1904</v>
      </c>
      <c r="C32" s="177">
        <f>SUM(C33:C35)</f>
        <v>0</v>
      </c>
      <c r="D32" s="177"/>
    </row>
    <row r="33" spans="1:4" x14ac:dyDescent="0.3">
      <c r="A33" s="174" t="s">
        <v>1849</v>
      </c>
      <c r="B33" s="174" t="s">
        <v>1905</v>
      </c>
      <c r="C33" s="177"/>
      <c r="D33" s="177"/>
    </row>
    <row r="34" spans="1:4" x14ac:dyDescent="0.3">
      <c r="A34" s="174" t="s">
        <v>1850</v>
      </c>
      <c r="B34" s="174" t="s">
        <v>1906</v>
      </c>
      <c r="C34" s="177"/>
      <c r="D34" s="177"/>
    </row>
    <row r="35" spans="1:4" x14ac:dyDescent="0.3">
      <c r="A35" s="174" t="s">
        <v>1851</v>
      </c>
      <c r="B35" s="174" t="s">
        <v>1907</v>
      </c>
      <c r="C35" s="177">
        <f>-IFERROR(VLOOKUP("665",'Účtovná osnova'!M:N,2,FALSE),)-SUM(C33:C34)</f>
        <v>0</v>
      </c>
      <c r="D35" s="177"/>
    </row>
    <row r="36" spans="1:4" x14ac:dyDescent="0.3">
      <c r="A36" s="174" t="s">
        <v>1852</v>
      </c>
      <c r="B36" s="174" t="s">
        <v>1908</v>
      </c>
      <c r="C36" s="177">
        <f>SUM(C37:C39)</f>
        <v>0</v>
      </c>
      <c r="D36" s="177"/>
    </row>
    <row r="37" spans="1:4" x14ac:dyDescent="0.3">
      <c r="A37" s="174" t="s">
        <v>1853</v>
      </c>
      <c r="B37" s="174" t="s">
        <v>1909</v>
      </c>
      <c r="C37" s="177"/>
      <c r="D37" s="177"/>
    </row>
    <row r="38" spans="1:4" x14ac:dyDescent="0.3">
      <c r="A38" s="174" t="s">
        <v>1854</v>
      </c>
      <c r="B38" s="174" t="s">
        <v>1910</v>
      </c>
      <c r="C38" s="177"/>
      <c r="D38" s="177"/>
    </row>
    <row r="39" spans="1:4" x14ac:dyDescent="0.3">
      <c r="A39" s="174" t="s">
        <v>1855</v>
      </c>
      <c r="B39" s="174" t="s">
        <v>1911</v>
      </c>
      <c r="C39" s="177">
        <f>-IFERROR(VLOOKUP("666",'Účtovná osnova'!M:N,2,FALSE),)-SUM(C37:C38)</f>
        <v>0</v>
      </c>
      <c r="D39" s="177"/>
    </row>
    <row r="40" spans="1:4" x14ac:dyDescent="0.3">
      <c r="A40" s="174" t="s">
        <v>1856</v>
      </c>
      <c r="B40" s="174" t="s">
        <v>1912</v>
      </c>
      <c r="C40" s="177">
        <f>SUM(C41:C42)</f>
        <v>8580.82</v>
      </c>
    </row>
    <row r="41" spans="1:4" x14ac:dyDescent="0.3">
      <c r="A41" s="174" t="s">
        <v>1857</v>
      </c>
      <c r="B41" s="174" t="s">
        <v>1913</v>
      </c>
      <c r="C41" s="177">
        <f>-IFERROR(VLOOKUP(662100,'Účtovná osnova'!A:F,6,FALSE),)</f>
        <v>8580.82</v>
      </c>
      <c r="D41" s="177">
        <v>7378</v>
      </c>
    </row>
    <row r="42" spans="1:4" x14ac:dyDescent="0.3">
      <c r="A42" s="174" t="s">
        <v>1858</v>
      </c>
      <c r="B42" s="174" t="s">
        <v>1737</v>
      </c>
      <c r="C42" s="177">
        <f>-IFERROR(VLOOKUP("662",'Účtovná osnova'!M:N,2,FALSE),)-C41</f>
        <v>0</v>
      </c>
      <c r="D42" s="177">
        <v>7378</v>
      </c>
    </row>
    <row r="43" spans="1:4" x14ac:dyDescent="0.3">
      <c r="A43" s="174" t="s">
        <v>1859</v>
      </c>
      <c r="B43" s="174" t="s">
        <v>1740</v>
      </c>
      <c r="C43" s="177">
        <f>-IFERROR(VLOOKUP("663",'Účtovná osnova'!M:N,2,FALSE),)</f>
        <v>17.86</v>
      </c>
      <c r="D43" s="177">
        <v>1716</v>
      </c>
    </row>
    <row r="44" spans="1:4" x14ac:dyDescent="0.3">
      <c r="A44" s="174" t="s">
        <v>1860</v>
      </c>
      <c r="B44" s="174" t="s">
        <v>1914</v>
      </c>
      <c r="C44" s="177">
        <f>-IFERROR(VLOOKUP("664",'Účtovná osnova'!M:N,2,FALSE),)-IFERROR(VLOOKUP("667",'Účtovná osnova'!M:N,2,FALSE),)</f>
        <v>0</v>
      </c>
      <c r="D44" s="177"/>
    </row>
    <row r="45" spans="1:4" x14ac:dyDescent="0.3">
      <c r="A45" s="174" t="s">
        <v>1861</v>
      </c>
      <c r="B45" s="174" t="s">
        <v>1915</v>
      </c>
      <c r="C45" s="177">
        <f>-IFERROR(VLOOKUP("668",'Účtovná osnova'!M:N,2,FALSE),)</f>
        <v>0</v>
      </c>
      <c r="D45" s="177"/>
    </row>
    <row r="46" spans="1:4" x14ac:dyDescent="0.3">
      <c r="A46" s="174" t="s">
        <v>1862</v>
      </c>
      <c r="B46" s="174" t="s">
        <v>1916</v>
      </c>
      <c r="C46" s="177">
        <f>SUM(C47:C50,C53:C55)</f>
        <v>85961.299999999988</v>
      </c>
      <c r="D46" s="177">
        <v>100771</v>
      </c>
    </row>
    <row r="47" spans="1:4" x14ac:dyDescent="0.3">
      <c r="A47" s="174" t="s">
        <v>1863</v>
      </c>
      <c r="B47" s="174" t="s">
        <v>1917</v>
      </c>
      <c r="C47" s="177">
        <f>IFERROR(VLOOKUP("561",'Účtovná osnova'!M:N,2,FALSE),)</f>
        <v>0</v>
      </c>
      <c r="D47" s="177"/>
    </row>
    <row r="48" spans="1:4" x14ac:dyDescent="0.3">
      <c r="A48" s="174" t="s">
        <v>1864</v>
      </c>
      <c r="B48" s="174" t="s">
        <v>1918</v>
      </c>
      <c r="C48" s="177">
        <f>IFERROR(VLOOKUP("566",'Účtovná osnova'!M:N,2,FALSE),)</f>
        <v>0</v>
      </c>
      <c r="D48" s="177"/>
    </row>
    <row r="49" spans="1:4" x14ac:dyDescent="0.3">
      <c r="A49" s="174" t="s">
        <v>1865</v>
      </c>
      <c r="B49" s="174" t="s">
        <v>1919</v>
      </c>
      <c r="C49" s="177">
        <f>IFERROR(VLOOKUP("565",'Účtovná osnova'!M:N,2,FALSE),)</f>
        <v>0</v>
      </c>
      <c r="D49" s="177"/>
    </row>
    <row r="50" spans="1:4" x14ac:dyDescent="0.3">
      <c r="A50" s="174" t="s">
        <v>1866</v>
      </c>
      <c r="B50" s="174" t="s">
        <v>1920</v>
      </c>
      <c r="C50" s="177">
        <f>SUM(C51:C52)</f>
        <v>53415.839999999997</v>
      </c>
      <c r="D50" s="177">
        <v>59655</v>
      </c>
    </row>
    <row r="51" spans="1:4" x14ac:dyDescent="0.3">
      <c r="A51" s="174" t="s">
        <v>1867</v>
      </c>
      <c r="B51" s="174" t="s">
        <v>1921</v>
      </c>
      <c r="C51" s="177"/>
      <c r="D51" s="177"/>
    </row>
    <row r="52" spans="1:4" x14ac:dyDescent="0.3">
      <c r="A52" s="174" t="s">
        <v>1868</v>
      </c>
      <c r="B52" s="174" t="s">
        <v>1922</v>
      </c>
      <c r="C52" s="177">
        <f>IFERROR(VLOOKUP("562",'Účtovná osnova'!M:N,2,FALSE),)-C51</f>
        <v>53415.839999999997</v>
      </c>
      <c r="D52" s="177">
        <v>59655</v>
      </c>
    </row>
    <row r="53" spans="1:4" x14ac:dyDescent="0.3">
      <c r="A53" s="174" t="s">
        <v>1869</v>
      </c>
      <c r="B53" s="174" t="s">
        <v>1923</v>
      </c>
      <c r="C53" s="177">
        <f>IFERROR(VLOOKUP("563",'Účtovná osnova'!M:N,2,FALSE),)</f>
        <v>15245.4</v>
      </c>
      <c r="D53" s="177">
        <v>19965</v>
      </c>
    </row>
    <row r="54" spans="1:4" x14ac:dyDescent="0.3">
      <c r="A54" s="174" t="s">
        <v>1870</v>
      </c>
      <c r="B54" s="174" t="s">
        <v>1924</v>
      </c>
      <c r="C54" s="177">
        <f>IFERROR(VLOOKUP("564",'Účtovná osnova'!M:N,2,FALSE),)+IFERROR(VLOOKUP("567",'Účtovná osnova'!M:N,2,FALSE),)</f>
        <v>0</v>
      </c>
      <c r="D54" s="177"/>
    </row>
    <row r="55" spans="1:4" x14ac:dyDescent="0.3">
      <c r="A55" s="174" t="s">
        <v>1871</v>
      </c>
      <c r="B55" s="174" t="s">
        <v>1925</v>
      </c>
      <c r="C55" s="177">
        <f>IFERROR(VLOOKUP("568",'Účtovná osnova'!M:N,2,FALSE),)+IFERROR(VLOOKUP("569",'Účtovná osnova'!M:N,2,FALSE),)</f>
        <v>17300.060000000001</v>
      </c>
      <c r="D55" s="177">
        <v>21150</v>
      </c>
    </row>
    <row r="56" spans="1:4" x14ac:dyDescent="0.3">
      <c r="A56" s="174" t="s">
        <v>1872</v>
      </c>
      <c r="B56" s="174" t="s">
        <v>1926</v>
      </c>
      <c r="C56" s="177">
        <f>C30-C46</f>
        <v>-77362.62</v>
      </c>
      <c r="D56" s="177">
        <v>-91676</v>
      </c>
    </row>
    <row r="57" spans="1:4" x14ac:dyDescent="0.3">
      <c r="A57" s="174" t="s">
        <v>1873</v>
      </c>
      <c r="B57" s="174" t="s">
        <v>1927</v>
      </c>
      <c r="C57" s="177">
        <f>SUM(C28,C56)</f>
        <v>886246.9100000161</v>
      </c>
      <c r="D57" s="177">
        <v>802616</v>
      </c>
    </row>
    <row r="58" spans="1:4" x14ac:dyDescent="0.3">
      <c r="A58" s="174" t="s">
        <v>1874</v>
      </c>
      <c r="B58" s="174" t="s">
        <v>1928</v>
      </c>
      <c r="C58" s="177">
        <f>SUM(C59:C60)</f>
        <v>205462.95</v>
      </c>
      <c r="D58" s="177">
        <v>222098</v>
      </c>
    </row>
    <row r="59" spans="1:4" x14ac:dyDescent="0.3">
      <c r="A59" s="174" t="s">
        <v>1875</v>
      </c>
      <c r="B59" s="174" t="s">
        <v>1929</v>
      </c>
      <c r="C59" s="177">
        <f>IFERROR(VLOOKUP("591",'Účtovná osnova'!M:N,2,FALSE),)+IFERROR(VLOOKUP("595",'Účtovná osnova'!M:N,2,FALSE),)</f>
        <v>228884.91</v>
      </c>
      <c r="D59" s="177">
        <v>228556</v>
      </c>
    </row>
    <row r="60" spans="1:4" x14ac:dyDescent="0.3">
      <c r="A60" s="174" t="s">
        <v>1876</v>
      </c>
      <c r="B60" s="174" t="s">
        <v>1930</v>
      </c>
      <c r="C60" s="177">
        <f>IFERROR(VLOOKUP("592",'Účtovná osnova'!M:N,2,FALSE),)</f>
        <v>-23421.96</v>
      </c>
      <c r="D60" s="177">
        <v>-6458</v>
      </c>
    </row>
    <row r="61" spans="1:4" x14ac:dyDescent="0.3">
      <c r="A61" s="174" t="s">
        <v>1877</v>
      </c>
      <c r="B61" s="174" t="s">
        <v>1931</v>
      </c>
      <c r="C61" s="177">
        <f>IFERROR(VLOOKUP("596",'Účtovná osnova'!M:N,2,FALSE),)</f>
        <v>0</v>
      </c>
      <c r="D61" s="177"/>
    </row>
    <row r="62" spans="1:4" x14ac:dyDescent="0.3">
      <c r="A62" s="174" t="s">
        <v>1878</v>
      </c>
      <c r="B62" s="174" t="s">
        <v>1932</v>
      </c>
      <c r="C62" s="177">
        <f>C57-C58-C61</f>
        <v>680783.96000001603</v>
      </c>
      <c r="D62" s="177">
        <v>580518</v>
      </c>
    </row>
    <row r="63" spans="1:4" x14ac:dyDescent="0.3">
      <c r="A63" s="174" t="s">
        <v>461</v>
      </c>
      <c r="B63" s="174"/>
      <c r="C63" s="177"/>
      <c r="D63" s="177"/>
    </row>
    <row r="64" spans="1:4" x14ac:dyDescent="0.3">
      <c r="A64" s="174" t="s">
        <v>461</v>
      </c>
      <c r="B64" s="174"/>
      <c r="C64" s="177"/>
      <c r="D64" s="177"/>
    </row>
    <row r="65" spans="1:4" x14ac:dyDescent="0.3">
      <c r="A65" s="174" t="s">
        <v>461</v>
      </c>
      <c r="B65" s="174"/>
      <c r="C65" s="177"/>
      <c r="D65" s="177"/>
    </row>
    <row r="66" spans="1:4" x14ac:dyDescent="0.3">
      <c r="C66" s="177"/>
      <c r="D66" s="177"/>
    </row>
    <row r="67" spans="1:4" x14ac:dyDescent="0.3">
      <c r="C67" s="177"/>
      <c r="D67" s="177"/>
    </row>
  </sheetData>
  <phoneticPr fontId="41" type="noConversion"/>
  <pageMargins left="0.7" right="0.7" top="0.75" bottom="0.75" header="0.3" footer="0.3"/>
  <pageSetup paperSize="9" orientation="landscape" r:id="rId1"/>
  <headerFooter>
    <oddHeader>&amp;BVýkaz ziskov a strát 2014 MF SR č.18009/2014 - upravený výpočet obratu&amp;B
AutoPalace</oddHeader>
    <evenHeader>&amp;D
APG\MUCKA
Strana &amp;P</evenHeader>
  </headerFooter>
  <ignoredErrors>
    <ignoredError sqref="C5 C9 C22" formula="1"/>
    <ignoredError sqref="B2:B6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842"/>
  <sheetViews>
    <sheetView showGridLines="0" tabSelected="1" view="pageBreakPreview" zoomScaleNormal="100" zoomScaleSheetLayoutView="100" workbookViewId="0">
      <pane ySplit="1" topLeftCell="A2" activePane="bottomLeft" state="frozen"/>
      <selection activeCell="M216" sqref="M216:O216"/>
      <selection pane="bottomLeft" activeCell="A2" sqref="A2"/>
    </sheetView>
  </sheetViews>
  <sheetFormatPr defaultColWidth="9.33203125" defaultRowHeight="14.25" customHeight="1" x14ac:dyDescent="0.2"/>
  <cols>
    <col min="1" max="1" width="2.6640625" style="3" customWidth="1"/>
    <col min="2" max="2" width="1.5546875" style="5" customWidth="1"/>
    <col min="3" max="33" width="3.44140625" style="5" customWidth="1"/>
    <col min="34" max="34" width="3.44140625" style="33" customWidth="1"/>
    <col min="35" max="35" width="9.88671875" style="5" bestFit="1" customWidth="1"/>
    <col min="36" max="16384" width="9.33203125" style="5"/>
  </cols>
  <sheetData>
    <row r="1" spans="1:34" s="2" customFormat="1" ht="15.75" customHeight="1" thickBot="1" x14ac:dyDescent="0.3">
      <c r="A1" s="1" t="s">
        <v>0</v>
      </c>
      <c r="B1" s="303" t="s">
        <v>1</v>
      </c>
      <c r="C1" s="303"/>
      <c r="D1" s="303"/>
      <c r="E1" s="303"/>
      <c r="F1" s="303"/>
      <c r="G1" s="303"/>
      <c r="H1" s="303"/>
      <c r="I1" s="303"/>
      <c r="J1" s="303"/>
      <c r="K1" s="303"/>
      <c r="L1" s="303"/>
      <c r="M1" s="303"/>
      <c r="N1" s="303"/>
      <c r="O1" s="303"/>
      <c r="P1" s="303"/>
      <c r="Q1" s="303"/>
      <c r="R1" s="303"/>
      <c r="S1" s="303"/>
      <c r="T1" s="303"/>
      <c r="U1" s="303"/>
      <c r="V1" s="303"/>
      <c r="W1" s="303"/>
      <c r="X1" s="303"/>
      <c r="Y1" s="303"/>
      <c r="Z1" s="303"/>
      <c r="AA1" s="303"/>
      <c r="AB1" s="303"/>
      <c r="AC1" s="303"/>
      <c r="AD1" s="303"/>
      <c r="AE1" s="303"/>
      <c r="AF1" s="303"/>
      <c r="AG1" s="303"/>
      <c r="AH1" s="304"/>
    </row>
    <row r="2" spans="1:34" s="4" customFormat="1" ht="9" customHeight="1" x14ac:dyDescent="0.25">
      <c r="A2" s="3"/>
      <c r="AH2" s="20"/>
    </row>
    <row r="3" spans="1:34" s="4" customFormat="1" ht="15" customHeight="1" x14ac:dyDescent="0.25">
      <c r="A3" s="3"/>
      <c r="D3" s="6" t="s">
        <v>397</v>
      </c>
      <c r="E3" s="7"/>
      <c r="F3" s="7"/>
      <c r="G3" s="7"/>
      <c r="H3" s="7"/>
      <c r="I3" s="7"/>
      <c r="J3" s="8"/>
      <c r="K3" s="9"/>
      <c r="L3" s="10" t="s">
        <v>2</v>
      </c>
      <c r="M3" s="11" t="s">
        <v>455</v>
      </c>
      <c r="N3" s="12" t="s">
        <v>456</v>
      </c>
      <c r="O3" s="12" t="s">
        <v>455</v>
      </c>
      <c r="P3" s="12" t="s">
        <v>456</v>
      </c>
      <c r="Q3" s="12" t="s">
        <v>457</v>
      </c>
      <c r="R3" s="12" t="s">
        <v>458</v>
      </c>
      <c r="S3" s="12" t="s">
        <v>455</v>
      </c>
      <c r="T3" s="12" t="s">
        <v>459</v>
      </c>
      <c r="U3" s="12" t="s">
        <v>460</v>
      </c>
      <c r="V3" s="13" t="s">
        <v>456</v>
      </c>
      <c r="X3" s="10" t="s">
        <v>3</v>
      </c>
      <c r="Y3" s="11" t="s">
        <v>458</v>
      </c>
      <c r="Z3" s="12" t="s">
        <v>460</v>
      </c>
      <c r="AA3" s="12" t="s">
        <v>457</v>
      </c>
      <c r="AB3" s="12" t="s">
        <v>455</v>
      </c>
      <c r="AC3" s="12" t="s">
        <v>456</v>
      </c>
      <c r="AD3" s="12" t="s">
        <v>460</v>
      </c>
      <c r="AE3" s="12" t="s">
        <v>458</v>
      </c>
      <c r="AF3" s="13" t="s">
        <v>455</v>
      </c>
      <c r="AG3" s="14" t="s">
        <v>461</v>
      </c>
      <c r="AH3" s="42"/>
    </row>
    <row r="4" spans="1:34" s="4" customFormat="1" ht="15" hidden="1" customHeight="1" x14ac:dyDescent="0.25">
      <c r="A4" s="3"/>
      <c r="D4" s="15"/>
      <c r="E4" s="9"/>
      <c r="F4" s="9"/>
      <c r="G4" s="9"/>
      <c r="H4" s="9"/>
      <c r="I4" s="9"/>
      <c r="J4" s="9"/>
      <c r="K4" s="9"/>
      <c r="W4" s="10"/>
      <c r="X4" s="14"/>
      <c r="Y4" s="14"/>
      <c r="Z4" s="14"/>
      <c r="AA4" s="14"/>
      <c r="AB4" s="14"/>
      <c r="AC4" s="14"/>
      <c r="AD4" s="14"/>
      <c r="AE4" s="14"/>
      <c r="AF4" s="14"/>
      <c r="AG4" s="14"/>
      <c r="AH4" s="20"/>
    </row>
    <row r="5" spans="1:34" s="4" customFormat="1" ht="15" customHeight="1" x14ac:dyDescent="0.25">
      <c r="A5" s="3"/>
      <c r="D5" s="36" t="s">
        <v>465</v>
      </c>
      <c r="E5" s="9"/>
      <c r="F5" s="9"/>
      <c r="G5" s="9"/>
      <c r="H5" s="9"/>
      <c r="I5" s="9"/>
      <c r="J5" s="9"/>
      <c r="K5" s="9"/>
      <c r="W5" s="10"/>
      <c r="X5" s="14"/>
      <c r="Y5" s="14"/>
      <c r="Z5" s="14"/>
      <c r="AA5" s="14"/>
      <c r="AB5" s="14"/>
      <c r="AC5" s="14"/>
      <c r="AD5" s="14"/>
      <c r="AE5" s="14"/>
      <c r="AF5" s="14"/>
      <c r="AG5" s="14"/>
      <c r="AH5" s="20"/>
    </row>
    <row r="6" spans="1:34" s="4" customFormat="1" ht="21.75" customHeight="1" x14ac:dyDescent="0.25">
      <c r="A6" s="3"/>
      <c r="AH6" s="20"/>
    </row>
    <row r="7" spans="1:34" s="4" customFormat="1" ht="13.8" x14ac:dyDescent="0.25">
      <c r="A7" s="3"/>
      <c r="D7" s="16" t="s">
        <v>4</v>
      </c>
      <c r="AH7" s="20"/>
    </row>
    <row r="8" spans="1:34" s="4" customFormat="1" ht="13.8" x14ac:dyDescent="0.25">
      <c r="A8" s="3"/>
      <c r="D8" s="16"/>
      <c r="AH8" s="20"/>
    </row>
    <row r="9" spans="1:34" s="4" customFormat="1" ht="15" customHeight="1" x14ac:dyDescent="0.25">
      <c r="A9" s="3"/>
      <c r="D9" s="305" t="s">
        <v>466</v>
      </c>
      <c r="E9" s="306"/>
      <c r="F9" s="306"/>
      <c r="G9" s="306"/>
      <c r="H9" s="306"/>
      <c r="I9" s="306"/>
      <c r="J9" s="306"/>
      <c r="K9" s="306"/>
      <c r="L9" s="306"/>
      <c r="M9" s="306"/>
      <c r="N9" s="306"/>
      <c r="O9" s="306"/>
      <c r="P9" s="306"/>
      <c r="Q9" s="306"/>
      <c r="R9" s="306"/>
      <c r="S9" s="306"/>
      <c r="T9" s="306"/>
      <c r="U9" s="306"/>
      <c r="V9" s="306"/>
      <c r="W9" s="306"/>
      <c r="X9" s="306"/>
      <c r="Y9" s="306"/>
      <c r="Z9" s="306"/>
      <c r="AA9" s="306"/>
      <c r="AB9" s="306"/>
      <c r="AC9" s="306"/>
      <c r="AD9" s="306"/>
      <c r="AE9" s="306"/>
      <c r="AF9" s="306"/>
      <c r="AG9" s="306"/>
      <c r="AH9" s="20"/>
    </row>
    <row r="10" spans="1:34" s="4" customFormat="1" ht="13.8" x14ac:dyDescent="0.25">
      <c r="A10" s="3"/>
      <c r="D10" s="306"/>
      <c r="E10" s="306"/>
      <c r="F10" s="306"/>
      <c r="G10" s="306"/>
      <c r="H10" s="306"/>
      <c r="I10" s="306"/>
      <c r="J10" s="306"/>
      <c r="K10" s="306"/>
      <c r="L10" s="306"/>
      <c r="M10" s="306"/>
      <c r="N10" s="306"/>
      <c r="O10" s="306"/>
      <c r="P10" s="306"/>
      <c r="Q10" s="306"/>
      <c r="R10" s="306"/>
      <c r="S10" s="306"/>
      <c r="T10" s="306"/>
      <c r="U10" s="306"/>
      <c r="V10" s="306"/>
      <c r="W10" s="306"/>
      <c r="X10" s="306"/>
      <c r="Y10" s="306"/>
      <c r="Z10" s="306"/>
      <c r="AA10" s="306"/>
      <c r="AB10" s="306"/>
      <c r="AC10" s="306"/>
      <c r="AD10" s="306"/>
      <c r="AE10" s="306"/>
      <c r="AF10" s="306"/>
      <c r="AG10" s="306"/>
      <c r="AH10" s="20"/>
    </row>
    <row r="11" spans="1:34" s="4" customFormat="1" ht="13.8" x14ac:dyDescent="0.25">
      <c r="A11" s="3"/>
      <c r="D11" s="306"/>
      <c r="E11" s="306"/>
      <c r="F11" s="306"/>
      <c r="G11" s="306"/>
      <c r="H11" s="306"/>
      <c r="I11" s="306"/>
      <c r="J11" s="306"/>
      <c r="K11" s="306"/>
      <c r="L11" s="306"/>
      <c r="M11" s="306"/>
      <c r="N11" s="306"/>
      <c r="O11" s="306"/>
      <c r="P11" s="306"/>
      <c r="Q11" s="306"/>
      <c r="R11" s="306"/>
      <c r="S11" s="306"/>
      <c r="T11" s="306"/>
      <c r="U11" s="306"/>
      <c r="V11" s="306"/>
      <c r="W11" s="306"/>
      <c r="X11" s="306"/>
      <c r="Y11" s="306"/>
      <c r="Z11" s="306"/>
      <c r="AA11" s="306"/>
      <c r="AB11" s="306"/>
      <c r="AC11" s="306"/>
      <c r="AD11" s="306"/>
      <c r="AE11" s="306"/>
      <c r="AF11" s="306"/>
      <c r="AG11" s="306"/>
      <c r="AH11" s="20"/>
    </row>
    <row r="12" spans="1:34" s="4" customFormat="1" ht="13.8" x14ac:dyDescent="0.25">
      <c r="A12" s="3"/>
      <c r="D12" s="306"/>
      <c r="E12" s="306"/>
      <c r="F12" s="306"/>
      <c r="G12" s="306"/>
      <c r="H12" s="306"/>
      <c r="I12" s="306"/>
      <c r="J12" s="306"/>
      <c r="K12" s="306"/>
      <c r="L12" s="306"/>
      <c r="M12" s="306"/>
      <c r="N12" s="306"/>
      <c r="O12" s="306"/>
      <c r="P12" s="306"/>
      <c r="Q12" s="306"/>
      <c r="R12" s="306"/>
      <c r="S12" s="306"/>
      <c r="T12" s="306"/>
      <c r="U12" s="306"/>
      <c r="V12" s="306"/>
      <c r="W12" s="306"/>
      <c r="X12" s="306"/>
      <c r="Y12" s="306"/>
      <c r="Z12" s="306"/>
      <c r="AA12" s="306"/>
      <c r="AB12" s="306"/>
      <c r="AC12" s="306"/>
      <c r="AD12" s="306"/>
      <c r="AE12" s="306"/>
      <c r="AF12" s="306"/>
      <c r="AG12" s="306"/>
      <c r="AH12" s="20"/>
    </row>
    <row r="13" spans="1:34" s="4" customFormat="1" ht="13.8" x14ac:dyDescent="0.25">
      <c r="A13" s="3"/>
      <c r="AH13" s="20"/>
    </row>
    <row r="14" spans="1:34" s="4" customFormat="1" ht="15" customHeight="1" x14ac:dyDescent="0.25">
      <c r="A14" s="3"/>
      <c r="C14" s="20"/>
      <c r="D14" s="208"/>
      <c r="E14" s="281"/>
      <c r="F14" s="281"/>
      <c r="G14" s="281"/>
      <c r="H14" s="281"/>
      <c r="I14" s="281"/>
      <c r="J14" s="281"/>
      <c r="K14" s="281"/>
      <c r="L14" s="281"/>
      <c r="M14" s="281"/>
      <c r="N14" s="281"/>
      <c r="O14" s="281"/>
      <c r="P14" s="281"/>
      <c r="Q14" s="281"/>
      <c r="R14" s="281"/>
      <c r="S14" s="281"/>
      <c r="T14" s="281"/>
      <c r="U14" s="281"/>
      <c r="V14" s="281"/>
      <c r="W14" s="281"/>
      <c r="X14" s="281"/>
      <c r="Y14" s="281"/>
      <c r="Z14" s="281"/>
      <c r="AA14" s="281"/>
      <c r="AB14" s="281"/>
      <c r="AC14" s="281"/>
      <c r="AD14" s="281"/>
      <c r="AE14" s="281"/>
      <c r="AF14" s="281"/>
      <c r="AG14" s="281"/>
      <c r="AH14" s="20"/>
    </row>
    <row r="15" spans="1:34" s="4" customFormat="1" ht="13.8" x14ac:dyDescent="0.25">
      <c r="A15" s="3"/>
      <c r="C15" s="20"/>
      <c r="D15" s="281"/>
      <c r="E15" s="281"/>
      <c r="F15" s="281"/>
      <c r="G15" s="281"/>
      <c r="H15" s="281"/>
      <c r="I15" s="281"/>
      <c r="J15" s="281"/>
      <c r="K15" s="281"/>
      <c r="L15" s="281"/>
      <c r="M15" s="281"/>
      <c r="N15" s="281"/>
      <c r="O15" s="281"/>
      <c r="P15" s="281"/>
      <c r="Q15" s="281"/>
      <c r="R15" s="281"/>
      <c r="S15" s="281"/>
      <c r="T15" s="281"/>
      <c r="U15" s="281"/>
      <c r="V15" s="281"/>
      <c r="W15" s="281"/>
      <c r="X15" s="281"/>
      <c r="Y15" s="281"/>
      <c r="Z15" s="281"/>
      <c r="AA15" s="281"/>
      <c r="AB15" s="281"/>
      <c r="AC15" s="281"/>
      <c r="AD15" s="281"/>
      <c r="AE15" s="281"/>
      <c r="AF15" s="281"/>
      <c r="AG15" s="281"/>
      <c r="AH15" s="20"/>
    </row>
    <row r="16" spans="1:34" s="4" customFormat="1" ht="13.8" x14ac:dyDescent="0.25">
      <c r="A16" s="3"/>
      <c r="AH16" s="20"/>
    </row>
    <row r="17" spans="1:34" s="4" customFormat="1" ht="13.8" x14ac:dyDescent="0.25">
      <c r="A17" s="3"/>
      <c r="D17" s="17" t="s">
        <v>5</v>
      </c>
      <c r="AH17" s="20"/>
    </row>
    <row r="18" spans="1:34" s="4" customFormat="1" ht="13.8" x14ac:dyDescent="0.25">
      <c r="A18" s="3"/>
      <c r="D18" s="18" t="s">
        <v>6</v>
      </c>
      <c r="E18" s="19" t="s">
        <v>7</v>
      </c>
      <c r="F18" s="19"/>
      <c r="G18" s="19"/>
      <c r="H18" s="19"/>
      <c r="I18" s="19"/>
      <c r="J18" s="19"/>
      <c r="K18" s="19"/>
      <c r="L18" s="19"/>
      <c r="M18" s="19"/>
      <c r="N18" s="19"/>
      <c r="O18" s="19"/>
      <c r="P18" s="19"/>
      <c r="Q18" s="19"/>
      <c r="AH18" s="20"/>
    </row>
    <row r="19" spans="1:34" s="4" customFormat="1" ht="13.8" x14ac:dyDescent="0.25">
      <c r="A19" s="3"/>
      <c r="D19" s="18" t="s">
        <v>8</v>
      </c>
      <c r="E19" s="19" t="s">
        <v>9</v>
      </c>
      <c r="F19" s="19"/>
      <c r="G19" s="19"/>
      <c r="H19" s="19"/>
      <c r="I19" s="19"/>
      <c r="J19" s="19"/>
      <c r="K19" s="19"/>
      <c r="L19" s="19"/>
      <c r="M19" s="19"/>
      <c r="N19" s="19"/>
      <c r="O19" s="19"/>
      <c r="P19" s="19"/>
      <c r="Q19" s="19"/>
      <c r="AH19" s="20"/>
    </row>
    <row r="20" spans="1:34" s="4" customFormat="1" ht="13.8" x14ac:dyDescent="0.25">
      <c r="A20" s="3"/>
      <c r="D20" s="18" t="s">
        <v>10</v>
      </c>
      <c r="E20" s="19" t="s">
        <v>11</v>
      </c>
      <c r="F20" s="19"/>
      <c r="G20" s="19"/>
      <c r="H20" s="19"/>
      <c r="I20" s="19"/>
      <c r="J20" s="19"/>
      <c r="K20" s="19"/>
      <c r="L20" s="19"/>
      <c r="AH20" s="20"/>
    </row>
    <row r="21" spans="1:34" s="4" customFormat="1" ht="13.8" x14ac:dyDescent="0.25">
      <c r="A21" s="3"/>
      <c r="D21" s="18" t="s">
        <v>12</v>
      </c>
      <c r="E21" s="19" t="s">
        <v>13</v>
      </c>
      <c r="F21" s="19"/>
      <c r="G21" s="19"/>
      <c r="H21" s="19"/>
      <c r="I21" s="19"/>
      <c r="J21" s="19"/>
      <c r="K21" s="19"/>
      <c r="L21" s="19"/>
      <c r="AH21" s="20"/>
    </row>
    <row r="22" spans="1:34" s="4" customFormat="1" ht="13.8" x14ac:dyDescent="0.25">
      <c r="A22" s="3"/>
      <c r="D22" s="18"/>
      <c r="AH22" s="20"/>
    </row>
    <row r="23" spans="1:34" s="4" customFormat="1" ht="13.8" x14ac:dyDescent="0.25">
      <c r="A23" s="3"/>
      <c r="AH23" s="20"/>
    </row>
    <row r="24" spans="1:34" s="4" customFormat="1" ht="13.8" x14ac:dyDescent="0.25">
      <c r="A24" s="3"/>
      <c r="D24" s="17" t="s">
        <v>14</v>
      </c>
      <c r="AH24" s="20"/>
    </row>
    <row r="25" spans="1:34" s="4" customFormat="1" ht="14.4" thickBot="1" x14ac:dyDescent="0.3">
      <c r="A25" s="3"/>
      <c r="AH25" s="20"/>
    </row>
    <row r="26" spans="1:34" s="4" customFormat="1" ht="34.5" customHeight="1" thickBot="1" x14ac:dyDescent="0.3">
      <c r="A26" s="3">
        <v>1</v>
      </c>
      <c r="D26" s="307" t="s">
        <v>15</v>
      </c>
      <c r="E26" s="307"/>
      <c r="F26" s="307"/>
      <c r="G26" s="307"/>
      <c r="H26" s="307"/>
      <c r="I26" s="307"/>
      <c r="J26" s="307"/>
      <c r="K26" s="307"/>
      <c r="L26" s="307"/>
      <c r="M26" s="307"/>
      <c r="N26" s="307"/>
      <c r="O26" s="307"/>
      <c r="P26" s="307" t="s">
        <v>16</v>
      </c>
      <c r="Q26" s="307"/>
      <c r="R26" s="307"/>
      <c r="S26" s="307"/>
      <c r="T26" s="307"/>
      <c r="U26" s="307"/>
      <c r="V26" s="307"/>
      <c r="W26" s="307"/>
      <c r="X26" s="307"/>
      <c r="Y26" s="307" t="s">
        <v>17</v>
      </c>
      <c r="Z26" s="307"/>
      <c r="AA26" s="307"/>
      <c r="AB26" s="307"/>
      <c r="AC26" s="307"/>
      <c r="AD26" s="307"/>
      <c r="AE26" s="307"/>
      <c r="AF26" s="307"/>
      <c r="AG26" s="307"/>
      <c r="AH26" s="20"/>
    </row>
    <row r="27" spans="1:34" s="4" customFormat="1" ht="30" customHeight="1" x14ac:dyDescent="0.25">
      <c r="A27" s="3"/>
      <c r="D27" s="316" t="s">
        <v>18</v>
      </c>
      <c r="E27" s="316"/>
      <c r="F27" s="316"/>
      <c r="G27" s="316"/>
      <c r="H27" s="316"/>
      <c r="I27" s="316"/>
      <c r="J27" s="316"/>
      <c r="K27" s="316"/>
      <c r="L27" s="316"/>
      <c r="M27" s="316"/>
      <c r="N27" s="316"/>
      <c r="O27" s="316"/>
      <c r="P27" s="317">
        <v>75</v>
      </c>
      <c r="Q27" s="317"/>
      <c r="R27" s="317"/>
      <c r="S27" s="317"/>
      <c r="T27" s="317"/>
      <c r="U27" s="317"/>
      <c r="V27" s="317"/>
      <c r="W27" s="317"/>
      <c r="X27" s="317"/>
      <c r="Y27" s="317">
        <v>71</v>
      </c>
      <c r="Z27" s="317"/>
      <c r="AA27" s="317"/>
      <c r="AB27" s="317"/>
      <c r="AC27" s="317"/>
      <c r="AD27" s="317"/>
      <c r="AE27" s="317"/>
      <c r="AF27" s="317"/>
      <c r="AG27" s="317"/>
      <c r="AH27" s="20"/>
    </row>
    <row r="28" spans="1:34" s="4" customFormat="1" ht="30" customHeight="1" x14ac:dyDescent="0.25">
      <c r="A28" s="3"/>
      <c r="D28" s="318" t="s">
        <v>19</v>
      </c>
      <c r="E28" s="318"/>
      <c r="F28" s="318"/>
      <c r="G28" s="318"/>
      <c r="H28" s="318"/>
      <c r="I28" s="318"/>
      <c r="J28" s="318"/>
      <c r="K28" s="318"/>
      <c r="L28" s="318"/>
      <c r="M28" s="318"/>
      <c r="N28" s="318"/>
      <c r="O28" s="318"/>
      <c r="P28" s="319">
        <v>76</v>
      </c>
      <c r="Q28" s="319"/>
      <c r="R28" s="319"/>
      <c r="S28" s="319"/>
      <c r="T28" s="319"/>
      <c r="U28" s="319"/>
      <c r="V28" s="319"/>
      <c r="W28" s="319"/>
      <c r="X28" s="319"/>
      <c r="Y28" s="319">
        <v>76</v>
      </c>
      <c r="Z28" s="319"/>
      <c r="AA28" s="319"/>
      <c r="AB28" s="319"/>
      <c r="AC28" s="319"/>
      <c r="AD28" s="319"/>
      <c r="AE28" s="319"/>
      <c r="AF28" s="319"/>
      <c r="AG28" s="319"/>
      <c r="AH28" s="20"/>
    </row>
    <row r="29" spans="1:34" s="4" customFormat="1" ht="30" customHeight="1" thickBot="1" x14ac:dyDescent="0.3">
      <c r="A29" s="3"/>
      <c r="D29" s="312" t="s">
        <v>20</v>
      </c>
      <c r="E29" s="312"/>
      <c r="F29" s="312"/>
      <c r="G29" s="312"/>
      <c r="H29" s="312"/>
      <c r="I29" s="312"/>
      <c r="J29" s="312"/>
      <c r="K29" s="312"/>
      <c r="L29" s="312"/>
      <c r="M29" s="312"/>
      <c r="N29" s="312"/>
      <c r="O29" s="312"/>
      <c r="P29" s="311">
        <v>5</v>
      </c>
      <c r="Q29" s="311"/>
      <c r="R29" s="311"/>
      <c r="S29" s="311"/>
      <c r="T29" s="311"/>
      <c r="U29" s="311"/>
      <c r="V29" s="311"/>
      <c r="W29" s="311"/>
      <c r="X29" s="311"/>
      <c r="Y29" s="311">
        <v>5</v>
      </c>
      <c r="Z29" s="311"/>
      <c r="AA29" s="311"/>
      <c r="AB29" s="311"/>
      <c r="AC29" s="311"/>
      <c r="AD29" s="311"/>
      <c r="AE29" s="311"/>
      <c r="AF29" s="311"/>
      <c r="AG29" s="311"/>
      <c r="AH29" s="20"/>
    </row>
    <row r="30" spans="1:34" s="4" customFormat="1" ht="13.8" x14ac:dyDescent="0.25">
      <c r="A30" s="3"/>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row>
    <row r="31" spans="1:34" s="4" customFormat="1" ht="13.8" x14ac:dyDescent="0.25">
      <c r="A31" s="3"/>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row>
    <row r="32" spans="1:34" s="4" customFormat="1" ht="15" customHeight="1" x14ac:dyDescent="0.25">
      <c r="A32" s="3"/>
      <c r="D32" s="208" t="s">
        <v>467</v>
      </c>
      <c r="E32" s="281"/>
      <c r="F32" s="281"/>
      <c r="G32" s="281"/>
      <c r="H32" s="281"/>
      <c r="I32" s="281"/>
      <c r="J32" s="281"/>
      <c r="K32" s="281"/>
      <c r="L32" s="281"/>
      <c r="M32" s="281"/>
      <c r="N32" s="281"/>
      <c r="O32" s="281"/>
      <c r="P32" s="281"/>
      <c r="Q32" s="281"/>
      <c r="R32" s="281"/>
      <c r="S32" s="281"/>
      <c r="T32" s="281"/>
      <c r="U32" s="281"/>
      <c r="V32" s="281"/>
      <c r="W32" s="281"/>
      <c r="X32" s="281"/>
      <c r="Y32" s="281"/>
      <c r="Z32" s="281"/>
      <c r="AA32" s="281"/>
      <c r="AB32" s="281"/>
      <c r="AC32" s="281"/>
      <c r="AD32" s="281"/>
      <c r="AE32" s="281"/>
      <c r="AF32" s="281"/>
      <c r="AG32" s="281"/>
      <c r="AH32" s="20"/>
    </row>
    <row r="33" spans="1:34" s="4" customFormat="1" ht="13.8" x14ac:dyDescent="0.25">
      <c r="A33" s="3"/>
      <c r="D33" s="281"/>
      <c r="E33" s="281"/>
      <c r="F33" s="281"/>
      <c r="G33" s="281"/>
      <c r="H33" s="281"/>
      <c r="I33" s="281"/>
      <c r="J33" s="281"/>
      <c r="K33" s="281"/>
      <c r="L33" s="281"/>
      <c r="M33" s="281"/>
      <c r="N33" s="281"/>
      <c r="O33" s="281"/>
      <c r="P33" s="281"/>
      <c r="Q33" s="281"/>
      <c r="R33" s="281"/>
      <c r="S33" s="281"/>
      <c r="T33" s="281"/>
      <c r="U33" s="281"/>
      <c r="V33" s="281"/>
      <c r="W33" s="281"/>
      <c r="X33" s="281"/>
      <c r="Y33" s="281"/>
      <c r="Z33" s="281"/>
      <c r="AA33" s="281"/>
      <c r="AB33" s="281"/>
      <c r="AC33" s="281"/>
      <c r="AD33" s="281"/>
      <c r="AE33" s="281"/>
      <c r="AF33" s="281"/>
      <c r="AG33" s="281"/>
      <c r="AH33" s="20"/>
    </row>
    <row r="34" spans="1:34" s="4" customFormat="1" ht="14.4" thickBot="1" x14ac:dyDescent="0.3">
      <c r="A34" s="3"/>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row>
    <row r="35" spans="1:34" s="4" customFormat="1" ht="24.75" customHeight="1" thickBot="1" x14ac:dyDescent="0.3">
      <c r="A35" s="3" t="s">
        <v>21</v>
      </c>
      <c r="D35" s="278" t="s">
        <v>468</v>
      </c>
      <c r="E35" s="278"/>
      <c r="F35" s="278"/>
      <c r="G35" s="278"/>
      <c r="H35" s="278"/>
      <c r="I35" s="278"/>
      <c r="J35" s="278"/>
      <c r="K35" s="278"/>
      <c r="L35" s="278"/>
      <c r="M35" s="278"/>
      <c r="N35" s="278" t="s">
        <v>22</v>
      </c>
      <c r="O35" s="278"/>
      <c r="P35" s="278"/>
      <c r="Q35" s="278"/>
      <c r="R35" s="278"/>
      <c r="S35" s="278"/>
      <c r="T35" s="278"/>
      <c r="U35" s="278"/>
      <c r="V35" s="278"/>
      <c r="W35" s="278"/>
      <c r="X35" s="278" t="s">
        <v>23</v>
      </c>
      <c r="Y35" s="278"/>
      <c r="Z35" s="278"/>
      <c r="AA35" s="278"/>
      <c r="AB35" s="278"/>
      <c r="AC35" s="278" t="s">
        <v>24</v>
      </c>
      <c r="AD35" s="278"/>
      <c r="AE35" s="278"/>
      <c r="AF35" s="278"/>
      <c r="AG35" s="278"/>
      <c r="AH35" s="20"/>
    </row>
    <row r="36" spans="1:34" s="4" customFormat="1" ht="24.75" customHeight="1" thickBot="1" x14ac:dyDescent="0.3">
      <c r="A36" s="3"/>
      <c r="D36" s="278"/>
      <c r="E36" s="278"/>
      <c r="F36" s="278"/>
      <c r="G36" s="278"/>
      <c r="H36" s="278"/>
      <c r="I36" s="278"/>
      <c r="J36" s="278"/>
      <c r="K36" s="278"/>
      <c r="L36" s="278"/>
      <c r="M36" s="278"/>
      <c r="N36" s="278" t="s">
        <v>25</v>
      </c>
      <c r="O36" s="278"/>
      <c r="P36" s="278"/>
      <c r="Q36" s="278"/>
      <c r="R36" s="278"/>
      <c r="S36" s="278" t="s">
        <v>26</v>
      </c>
      <c r="T36" s="278"/>
      <c r="U36" s="278"/>
      <c r="V36" s="278"/>
      <c r="W36" s="278"/>
      <c r="X36" s="278"/>
      <c r="Y36" s="278"/>
      <c r="Z36" s="278"/>
      <c r="AA36" s="278"/>
      <c r="AB36" s="278"/>
      <c r="AC36" s="278"/>
      <c r="AD36" s="278"/>
      <c r="AE36" s="278"/>
      <c r="AF36" s="278"/>
      <c r="AG36" s="278"/>
      <c r="AH36" s="20"/>
    </row>
    <row r="37" spans="1:34" s="68" customFormat="1" ht="25.8" customHeight="1" thickBot="1" x14ac:dyDescent="0.3">
      <c r="A37" s="67"/>
      <c r="D37" s="308" t="s">
        <v>670</v>
      </c>
      <c r="E37" s="308"/>
      <c r="F37" s="308"/>
      <c r="G37" s="308"/>
      <c r="H37" s="308"/>
      <c r="I37" s="308"/>
      <c r="J37" s="308"/>
      <c r="K37" s="308"/>
      <c r="L37" s="308"/>
      <c r="M37" s="308"/>
      <c r="N37" s="309">
        <v>2956639</v>
      </c>
      <c r="O37" s="309"/>
      <c r="P37" s="309"/>
      <c r="Q37" s="309"/>
      <c r="R37" s="309"/>
      <c r="S37" s="310">
        <v>1</v>
      </c>
      <c r="T37" s="310"/>
      <c r="U37" s="310"/>
      <c r="V37" s="310"/>
      <c r="W37" s="310"/>
      <c r="X37" s="310">
        <v>1</v>
      </c>
      <c r="Y37" s="310"/>
      <c r="Z37" s="310"/>
      <c r="AA37" s="310"/>
      <c r="AB37" s="310"/>
      <c r="AC37" s="310">
        <v>1</v>
      </c>
      <c r="AD37" s="310"/>
      <c r="AE37" s="310"/>
      <c r="AF37" s="310"/>
      <c r="AG37" s="310"/>
      <c r="AH37" s="70"/>
    </row>
    <row r="38" spans="1:34" s="4" customFormat="1" ht="25.8" customHeight="1" thickBot="1" x14ac:dyDescent="0.3">
      <c r="A38" s="3"/>
      <c r="D38" s="308" t="s">
        <v>470</v>
      </c>
      <c r="E38" s="308"/>
      <c r="F38" s="308"/>
      <c r="G38" s="308"/>
      <c r="H38" s="308"/>
      <c r="I38" s="308"/>
      <c r="J38" s="308"/>
      <c r="K38" s="308"/>
      <c r="L38" s="308"/>
      <c r="M38" s="308"/>
      <c r="N38" s="309">
        <v>6638.78</v>
      </c>
      <c r="O38" s="309"/>
      <c r="P38" s="309"/>
      <c r="Q38" s="309"/>
      <c r="R38" s="309"/>
      <c r="S38" s="310">
        <v>1</v>
      </c>
      <c r="T38" s="310"/>
      <c r="U38" s="310"/>
      <c r="V38" s="310"/>
      <c r="W38" s="310"/>
      <c r="X38" s="310">
        <v>1</v>
      </c>
      <c r="Y38" s="310"/>
      <c r="Z38" s="310"/>
      <c r="AA38" s="310"/>
      <c r="AB38" s="310"/>
      <c r="AC38" s="310">
        <v>1</v>
      </c>
      <c r="AD38" s="310"/>
      <c r="AE38" s="310"/>
      <c r="AF38" s="310"/>
      <c r="AG38" s="310"/>
      <c r="AH38" s="20"/>
    </row>
    <row r="39" spans="1:34" s="38" customFormat="1" ht="25.8" customHeight="1" thickBot="1" x14ac:dyDescent="0.35">
      <c r="A39" s="37"/>
      <c r="D39" s="314" t="s">
        <v>469</v>
      </c>
      <c r="E39" s="314"/>
      <c r="F39" s="314"/>
      <c r="G39" s="314"/>
      <c r="H39" s="314"/>
      <c r="I39" s="314"/>
      <c r="J39" s="314"/>
      <c r="K39" s="314"/>
      <c r="L39" s="314"/>
      <c r="M39" s="314"/>
      <c r="N39" s="576">
        <v>6638.78</v>
      </c>
      <c r="O39" s="576"/>
      <c r="P39" s="576"/>
      <c r="Q39" s="576"/>
      <c r="R39" s="576"/>
      <c r="S39" s="315">
        <v>1</v>
      </c>
      <c r="T39" s="315"/>
      <c r="U39" s="315"/>
      <c r="V39" s="315"/>
      <c r="W39" s="315"/>
      <c r="X39" s="315">
        <v>1</v>
      </c>
      <c r="Y39" s="315"/>
      <c r="Z39" s="315"/>
      <c r="AA39" s="315"/>
      <c r="AB39" s="315"/>
      <c r="AC39" s="315">
        <v>1</v>
      </c>
      <c r="AD39" s="315"/>
      <c r="AE39" s="315"/>
      <c r="AF39" s="315"/>
      <c r="AG39" s="315"/>
      <c r="AH39" s="43"/>
    </row>
    <row r="40" spans="1:34" s="4" customFormat="1" ht="25.8" customHeight="1" thickBot="1" x14ac:dyDescent="0.3">
      <c r="A40" s="3"/>
      <c r="D40" s="373" t="s">
        <v>27</v>
      </c>
      <c r="E40" s="374"/>
      <c r="F40" s="374"/>
      <c r="G40" s="374"/>
      <c r="H40" s="374"/>
      <c r="I40" s="374"/>
      <c r="J40" s="374"/>
      <c r="K40" s="374"/>
      <c r="L40" s="374"/>
      <c r="M40" s="375"/>
      <c r="N40" s="577">
        <f>+N37</f>
        <v>2956639</v>
      </c>
      <c r="O40" s="577"/>
      <c r="P40" s="577"/>
      <c r="Q40" s="577"/>
      <c r="R40" s="577"/>
      <c r="S40" s="578">
        <f>SUM(S38:W38)</f>
        <v>1</v>
      </c>
      <c r="T40" s="579"/>
      <c r="U40" s="579"/>
      <c r="V40" s="579"/>
      <c r="W40" s="580"/>
      <c r="X40" s="578">
        <f>SUM(X38:AB38)</f>
        <v>1</v>
      </c>
      <c r="Y40" s="579"/>
      <c r="Z40" s="579"/>
      <c r="AA40" s="579"/>
      <c r="AB40" s="580"/>
      <c r="AC40" s="578">
        <f>SUM(AC38:AG38)</f>
        <v>1</v>
      </c>
      <c r="AD40" s="579"/>
      <c r="AE40" s="579"/>
      <c r="AF40" s="579"/>
      <c r="AG40" s="580"/>
      <c r="AH40" s="20"/>
    </row>
    <row r="41" spans="1:34" s="4" customFormat="1" ht="13.8" x14ac:dyDescent="0.25">
      <c r="A41" s="3"/>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row>
    <row r="42" spans="1:34" s="4" customFormat="1" ht="14.25" customHeight="1" x14ac:dyDescent="0.25">
      <c r="A42" s="3"/>
      <c r="D42" s="208" t="s">
        <v>471</v>
      </c>
      <c r="E42" s="281"/>
      <c r="F42" s="281"/>
      <c r="G42" s="281"/>
      <c r="H42" s="281"/>
      <c r="I42" s="281"/>
      <c r="J42" s="281"/>
      <c r="K42" s="281"/>
      <c r="L42" s="281"/>
      <c r="M42" s="281"/>
      <c r="N42" s="281"/>
      <c r="O42" s="281"/>
      <c r="P42" s="281"/>
      <c r="Q42" s="281"/>
      <c r="R42" s="281"/>
      <c r="S42" s="281"/>
      <c r="T42" s="281"/>
      <c r="U42" s="281"/>
      <c r="V42" s="281"/>
      <c r="W42" s="281"/>
      <c r="X42" s="281"/>
      <c r="Y42" s="281"/>
      <c r="Z42" s="281"/>
      <c r="AA42" s="281"/>
      <c r="AB42" s="281"/>
      <c r="AC42" s="281"/>
      <c r="AD42" s="281"/>
      <c r="AE42" s="281"/>
      <c r="AF42" s="281"/>
      <c r="AG42" s="281"/>
      <c r="AH42" s="20"/>
    </row>
    <row r="43" spans="1:34" s="4" customFormat="1" ht="13.8" x14ac:dyDescent="0.25">
      <c r="A43" s="3"/>
      <c r="D43" s="281"/>
      <c r="E43" s="281"/>
      <c r="F43" s="281"/>
      <c r="G43" s="281"/>
      <c r="H43" s="281"/>
      <c r="I43" s="281"/>
      <c r="J43" s="281"/>
      <c r="K43" s="281"/>
      <c r="L43" s="281"/>
      <c r="M43" s="281"/>
      <c r="N43" s="281"/>
      <c r="O43" s="281"/>
      <c r="P43" s="281"/>
      <c r="Q43" s="281"/>
      <c r="R43" s="281"/>
      <c r="S43" s="281"/>
      <c r="T43" s="281"/>
      <c r="U43" s="281"/>
      <c r="V43" s="281"/>
      <c r="W43" s="281"/>
      <c r="X43" s="281"/>
      <c r="Y43" s="281"/>
      <c r="Z43" s="281"/>
      <c r="AA43" s="281"/>
      <c r="AB43" s="281"/>
      <c r="AC43" s="281"/>
      <c r="AD43" s="281"/>
      <c r="AE43" s="281"/>
      <c r="AF43" s="281"/>
      <c r="AG43" s="281"/>
      <c r="AH43" s="20"/>
    </row>
    <row r="44" spans="1:34" s="4" customFormat="1" ht="13.8" x14ac:dyDescent="0.25">
      <c r="A44" s="3"/>
      <c r="D44" s="281"/>
      <c r="E44" s="281"/>
      <c r="F44" s="281"/>
      <c r="G44" s="281"/>
      <c r="H44" s="281"/>
      <c r="I44" s="281"/>
      <c r="J44" s="281"/>
      <c r="K44" s="281"/>
      <c r="L44" s="281"/>
      <c r="M44" s="281"/>
      <c r="N44" s="281"/>
      <c r="O44" s="281"/>
      <c r="P44" s="281"/>
      <c r="Q44" s="281"/>
      <c r="R44" s="281"/>
      <c r="S44" s="281"/>
      <c r="T44" s="281"/>
      <c r="U44" s="281"/>
      <c r="V44" s="281"/>
      <c r="W44" s="281"/>
      <c r="X44" s="281"/>
      <c r="Y44" s="281"/>
      <c r="Z44" s="281"/>
      <c r="AA44" s="281"/>
      <c r="AB44" s="281"/>
      <c r="AC44" s="281"/>
      <c r="AD44" s="281"/>
      <c r="AE44" s="281"/>
      <c r="AF44" s="281"/>
      <c r="AG44" s="281"/>
      <c r="AH44" s="20"/>
    </row>
    <row r="45" spans="1:34" s="4" customFormat="1" ht="13.8" x14ac:dyDescent="0.25">
      <c r="A45" s="3"/>
      <c r="D45" s="281"/>
      <c r="E45" s="281"/>
      <c r="F45" s="281"/>
      <c r="G45" s="281"/>
      <c r="H45" s="281"/>
      <c r="I45" s="281"/>
      <c r="J45" s="281"/>
      <c r="K45" s="281"/>
      <c r="L45" s="281"/>
      <c r="M45" s="281"/>
      <c r="N45" s="281"/>
      <c r="O45" s="281"/>
      <c r="P45" s="281"/>
      <c r="Q45" s="281"/>
      <c r="R45" s="281"/>
      <c r="S45" s="281"/>
      <c r="T45" s="281"/>
      <c r="U45" s="281"/>
      <c r="V45" s="281"/>
      <c r="W45" s="281"/>
      <c r="X45" s="281"/>
      <c r="Y45" s="281"/>
      <c r="Z45" s="281"/>
      <c r="AA45" s="281"/>
      <c r="AB45" s="281"/>
      <c r="AC45" s="281"/>
      <c r="AD45" s="281"/>
      <c r="AE45" s="281"/>
      <c r="AF45" s="281"/>
      <c r="AG45" s="281"/>
      <c r="AH45" s="20"/>
    </row>
    <row r="46" spans="1:34" s="4" customFormat="1" ht="13.8" x14ac:dyDescent="0.25">
      <c r="A46" s="3"/>
      <c r="D46" s="281"/>
      <c r="E46" s="281"/>
      <c r="F46" s="281"/>
      <c r="G46" s="281"/>
      <c r="H46" s="281"/>
      <c r="I46" s="281"/>
      <c r="J46" s="281"/>
      <c r="K46" s="281"/>
      <c r="L46" s="281"/>
      <c r="M46" s="281"/>
      <c r="N46" s="281"/>
      <c r="O46" s="281"/>
      <c r="P46" s="281"/>
      <c r="Q46" s="281"/>
      <c r="R46" s="281"/>
      <c r="S46" s="281"/>
      <c r="T46" s="281"/>
      <c r="U46" s="281"/>
      <c r="V46" s="281"/>
      <c r="W46" s="281"/>
      <c r="X46" s="281"/>
      <c r="Y46" s="281"/>
      <c r="Z46" s="281"/>
      <c r="AA46" s="281"/>
      <c r="AB46" s="281"/>
      <c r="AC46" s="281"/>
      <c r="AD46" s="281"/>
      <c r="AE46" s="281"/>
      <c r="AF46" s="281"/>
      <c r="AG46" s="281"/>
      <c r="AH46" s="20"/>
    </row>
    <row r="47" spans="1:34" s="4" customFormat="1" ht="13.8" x14ac:dyDescent="0.25">
      <c r="A47" s="3"/>
      <c r="D47" s="281"/>
      <c r="E47" s="281"/>
      <c r="F47" s="281"/>
      <c r="G47" s="281"/>
      <c r="H47" s="281"/>
      <c r="I47" s="281"/>
      <c r="J47" s="281"/>
      <c r="K47" s="281"/>
      <c r="L47" s="281"/>
      <c r="M47" s="281"/>
      <c r="N47" s="281"/>
      <c r="O47" s="281"/>
      <c r="P47" s="281"/>
      <c r="Q47" s="281"/>
      <c r="R47" s="281"/>
      <c r="S47" s="281"/>
      <c r="T47" s="281"/>
      <c r="U47" s="281"/>
      <c r="V47" s="281"/>
      <c r="W47" s="281"/>
      <c r="X47" s="281"/>
      <c r="Y47" s="281"/>
      <c r="Z47" s="281"/>
      <c r="AA47" s="281"/>
      <c r="AB47" s="281"/>
      <c r="AC47" s="281"/>
      <c r="AD47" s="281"/>
      <c r="AE47" s="281"/>
      <c r="AF47" s="281"/>
      <c r="AG47" s="281"/>
      <c r="AH47" s="20"/>
    </row>
    <row r="48" spans="1:34" s="4" customFormat="1" ht="13.8" x14ac:dyDescent="0.25">
      <c r="A48" s="3"/>
      <c r="D48" s="281"/>
      <c r="E48" s="281"/>
      <c r="F48" s="281"/>
      <c r="G48" s="281"/>
      <c r="H48" s="281"/>
      <c r="I48" s="281"/>
      <c r="J48" s="281"/>
      <c r="K48" s="281"/>
      <c r="L48" s="281"/>
      <c r="M48" s="281"/>
      <c r="N48" s="281"/>
      <c r="O48" s="281"/>
      <c r="P48" s="281"/>
      <c r="Q48" s="281"/>
      <c r="R48" s="281"/>
      <c r="S48" s="281"/>
      <c r="T48" s="281"/>
      <c r="U48" s="281"/>
      <c r="V48" s="281"/>
      <c r="W48" s="281"/>
      <c r="X48" s="281"/>
      <c r="Y48" s="281"/>
      <c r="Z48" s="281"/>
      <c r="AA48" s="281"/>
      <c r="AB48" s="281"/>
      <c r="AC48" s="281"/>
      <c r="AD48" s="281"/>
      <c r="AE48" s="281"/>
      <c r="AF48" s="281"/>
      <c r="AG48" s="281"/>
      <c r="AH48" s="20"/>
    </row>
    <row r="49" spans="1:36" s="4" customFormat="1" ht="13.8" x14ac:dyDescent="0.25">
      <c r="A49" s="3"/>
      <c r="D49" s="70"/>
      <c r="E49" s="70"/>
      <c r="F49" s="70"/>
      <c r="G49" s="70"/>
      <c r="H49" s="70"/>
      <c r="I49" s="70"/>
      <c r="J49" s="70"/>
      <c r="K49" s="70"/>
      <c r="L49" s="70"/>
      <c r="M49" s="70"/>
      <c r="N49" s="70"/>
      <c r="O49" s="70"/>
      <c r="P49" s="70"/>
      <c r="Q49" s="70"/>
      <c r="R49" s="70"/>
      <c r="S49" s="70"/>
      <c r="T49" s="20"/>
      <c r="U49" s="20"/>
      <c r="V49" s="20"/>
      <c r="W49" s="20"/>
      <c r="X49" s="20"/>
      <c r="Y49" s="20"/>
      <c r="Z49" s="20"/>
      <c r="AA49" s="20"/>
      <c r="AB49" s="20"/>
      <c r="AC49" s="20"/>
      <c r="AD49" s="20"/>
      <c r="AE49" s="20"/>
      <c r="AF49" s="20"/>
      <c r="AG49" s="20"/>
      <c r="AH49" s="20"/>
    </row>
    <row r="50" spans="1:36" s="4" customFormat="1" ht="13.8" x14ac:dyDescent="0.25">
      <c r="A50" s="3"/>
      <c r="D50" s="74" t="s">
        <v>669</v>
      </c>
      <c r="E50" s="64"/>
      <c r="F50" s="64"/>
      <c r="G50" s="64"/>
      <c r="H50" s="64"/>
      <c r="I50" s="64"/>
      <c r="J50" s="64"/>
      <c r="K50" s="64"/>
      <c r="L50" s="64"/>
      <c r="M50" s="64"/>
      <c r="N50" s="64"/>
      <c r="O50" s="64"/>
      <c r="P50" s="64"/>
      <c r="Q50" s="64"/>
      <c r="R50" s="64"/>
      <c r="S50" s="64"/>
      <c r="T50" s="74" t="s">
        <v>666</v>
      </c>
      <c r="U50" s="64"/>
      <c r="V50" s="64"/>
      <c r="W50" s="64"/>
      <c r="X50" s="64"/>
      <c r="Y50" s="64"/>
      <c r="Z50" s="64"/>
      <c r="AA50" s="64"/>
      <c r="AB50" s="64"/>
      <c r="AC50" s="64"/>
      <c r="AD50" s="64"/>
      <c r="AE50" s="64"/>
      <c r="AF50" s="64"/>
      <c r="AG50" s="64"/>
      <c r="AH50" s="20"/>
      <c r="AI50" s="20"/>
      <c r="AJ50" s="20"/>
    </row>
    <row r="51" spans="1:36" s="4" customFormat="1" ht="13.8" x14ac:dyDescent="0.25">
      <c r="A51" s="3"/>
      <c r="D51" s="70"/>
      <c r="E51" s="70"/>
      <c r="F51" s="70"/>
      <c r="G51" s="70"/>
      <c r="H51" s="70"/>
      <c r="I51" s="70"/>
      <c r="J51" s="70"/>
      <c r="K51" s="70"/>
      <c r="L51" s="70"/>
      <c r="M51" s="70"/>
      <c r="N51" s="70"/>
      <c r="O51" s="70"/>
      <c r="P51" s="70"/>
      <c r="Q51" s="70"/>
      <c r="R51" s="70"/>
      <c r="S51" s="70"/>
      <c r="T51" s="20"/>
      <c r="U51" s="20"/>
      <c r="V51" s="20"/>
      <c r="W51" s="20"/>
      <c r="X51" s="20"/>
      <c r="Y51" s="20"/>
      <c r="Z51" s="20"/>
      <c r="AA51" s="20"/>
      <c r="AB51" s="20"/>
      <c r="AC51" s="20"/>
      <c r="AD51" s="20"/>
      <c r="AE51" s="20"/>
      <c r="AF51" s="20"/>
      <c r="AG51" s="20"/>
      <c r="AH51" s="20"/>
      <c r="AI51" s="20"/>
      <c r="AJ51" s="20"/>
    </row>
    <row r="52" spans="1:36" s="4" customFormat="1" ht="14.4" thickBot="1" x14ac:dyDescent="0.3">
      <c r="A52" s="3"/>
      <c r="D52" s="320" t="s">
        <v>29</v>
      </c>
      <c r="E52" s="320"/>
      <c r="F52" s="320"/>
      <c r="G52" s="320"/>
      <c r="H52" s="320"/>
      <c r="I52" s="320"/>
      <c r="J52" s="320"/>
      <c r="K52" s="320"/>
      <c r="L52" s="320"/>
      <c r="M52" s="320"/>
      <c r="N52" s="320"/>
      <c r="O52" s="320"/>
      <c r="P52" s="70"/>
      <c r="Q52" s="70"/>
      <c r="R52" s="70"/>
      <c r="S52" s="70"/>
      <c r="T52" s="320" t="s">
        <v>29</v>
      </c>
      <c r="U52" s="320"/>
      <c r="V52" s="320"/>
      <c r="W52" s="320"/>
      <c r="X52" s="320"/>
      <c r="Y52" s="320"/>
      <c r="Z52" s="320"/>
      <c r="AA52" s="320"/>
      <c r="AB52" s="320"/>
      <c r="AC52" s="320"/>
      <c r="AD52" s="320"/>
      <c r="AE52" s="320"/>
      <c r="AF52" s="20"/>
      <c r="AG52" s="20"/>
      <c r="AH52" s="20"/>
      <c r="AI52" s="20"/>
      <c r="AJ52" s="20"/>
    </row>
    <row r="53" spans="1:36" s="4" customFormat="1" ht="14.4" thickTop="1" x14ac:dyDescent="0.25">
      <c r="A53" s="3"/>
      <c r="D53" s="75" t="s">
        <v>30</v>
      </c>
      <c r="E53" s="75"/>
      <c r="F53" s="75"/>
      <c r="G53" s="75"/>
      <c r="H53" s="75"/>
      <c r="I53" s="75"/>
      <c r="J53" s="75"/>
      <c r="K53" s="75"/>
      <c r="L53" s="75"/>
      <c r="M53" s="75"/>
      <c r="N53" s="75"/>
      <c r="O53" s="75"/>
      <c r="P53" s="70"/>
      <c r="Q53" s="70"/>
      <c r="R53" s="70"/>
      <c r="S53" s="70"/>
      <c r="T53" s="65" t="s">
        <v>30</v>
      </c>
      <c r="U53" s="65"/>
      <c r="V53" s="65"/>
      <c r="W53" s="65"/>
      <c r="X53" s="65"/>
      <c r="Y53" s="65"/>
      <c r="Z53" s="65"/>
      <c r="AA53" s="65"/>
      <c r="AB53" s="65"/>
      <c r="AC53" s="65"/>
      <c r="AD53" s="65"/>
      <c r="AE53" s="65"/>
      <c r="AF53" s="20"/>
      <c r="AG53" s="20"/>
      <c r="AH53" s="20"/>
      <c r="AI53" s="20"/>
      <c r="AJ53" s="20"/>
    </row>
    <row r="54" spans="1:36" s="4" customFormat="1" ht="13.8" x14ac:dyDescent="0.25">
      <c r="A54" s="3"/>
      <c r="D54" s="76" t="s">
        <v>661</v>
      </c>
      <c r="E54" s="70"/>
      <c r="F54" s="70"/>
      <c r="G54" s="70"/>
      <c r="H54" s="70"/>
      <c r="I54" s="70"/>
      <c r="J54" s="70"/>
      <c r="K54" s="70"/>
      <c r="L54" s="70"/>
      <c r="M54" s="70"/>
      <c r="N54" s="70"/>
      <c r="O54" s="70"/>
      <c r="P54" s="70"/>
      <c r="Q54" s="70"/>
      <c r="R54" s="70"/>
      <c r="S54" s="70"/>
      <c r="T54" s="76" t="s">
        <v>660</v>
      </c>
      <c r="U54" s="20"/>
      <c r="V54" s="20"/>
      <c r="W54" s="20"/>
      <c r="X54" s="20"/>
      <c r="Y54" s="20"/>
      <c r="Z54" s="20"/>
      <c r="AA54" s="20"/>
      <c r="AB54" s="20"/>
      <c r="AC54" s="20"/>
      <c r="AD54" s="20"/>
      <c r="AE54" s="20"/>
      <c r="AF54" s="20"/>
      <c r="AG54" s="20"/>
      <c r="AH54" s="20"/>
      <c r="AI54" s="20"/>
      <c r="AJ54" s="20"/>
    </row>
    <row r="55" spans="1:36" s="4" customFormat="1" ht="13.8" x14ac:dyDescent="0.25">
      <c r="A55" s="3"/>
      <c r="E55" s="70"/>
      <c r="F55" s="70"/>
      <c r="G55" s="70"/>
      <c r="H55" s="70"/>
      <c r="I55" s="70"/>
      <c r="J55" s="70"/>
      <c r="K55" s="70"/>
      <c r="L55" s="70"/>
      <c r="M55" s="70"/>
      <c r="N55" s="70"/>
      <c r="O55" s="70"/>
      <c r="P55" s="70"/>
      <c r="Q55" s="70"/>
      <c r="R55" s="70"/>
      <c r="S55" s="70"/>
      <c r="T55" s="76" t="s">
        <v>661</v>
      </c>
      <c r="U55" s="20"/>
      <c r="V55" s="20"/>
      <c r="W55" s="20"/>
      <c r="X55" s="20"/>
      <c r="Y55" s="20"/>
      <c r="Z55" s="20"/>
      <c r="AA55" s="20"/>
      <c r="AB55" s="20"/>
      <c r="AC55" s="20"/>
      <c r="AD55" s="20"/>
      <c r="AE55" s="20"/>
      <c r="AF55" s="20"/>
      <c r="AG55" s="20"/>
      <c r="AH55" s="20"/>
      <c r="AI55" s="20"/>
      <c r="AJ55" s="20"/>
    </row>
    <row r="56" spans="1:36" s="4" customFormat="1" ht="13.8" x14ac:dyDescent="0.25">
      <c r="A56" s="28"/>
      <c r="D56" s="76"/>
      <c r="E56" s="70"/>
      <c r="F56" s="70"/>
      <c r="G56" s="70"/>
      <c r="H56" s="70"/>
      <c r="I56" s="70"/>
      <c r="J56" s="70"/>
      <c r="K56" s="70"/>
      <c r="L56" s="70"/>
      <c r="M56" s="70"/>
      <c r="N56" s="70"/>
      <c r="O56" s="70"/>
      <c r="P56" s="70"/>
      <c r="Q56" s="70"/>
      <c r="R56" s="70"/>
      <c r="S56" s="70"/>
      <c r="T56" s="63"/>
      <c r="U56" s="20"/>
      <c r="V56" s="20"/>
      <c r="W56" s="20"/>
      <c r="X56" s="20"/>
      <c r="Y56" s="20"/>
      <c r="Z56" s="20"/>
      <c r="AA56" s="20"/>
      <c r="AB56" s="20"/>
      <c r="AC56" s="20"/>
      <c r="AD56" s="20"/>
      <c r="AE56" s="20"/>
      <c r="AF56" s="20"/>
      <c r="AG56" s="20"/>
      <c r="AH56" s="20"/>
      <c r="AI56" s="20"/>
      <c r="AJ56" s="20"/>
    </row>
    <row r="57" spans="1:36" s="4" customFormat="1" ht="13.8" x14ac:dyDescent="0.25">
      <c r="A57" s="28"/>
      <c r="D57" s="76"/>
      <c r="E57" s="70"/>
      <c r="F57" s="70"/>
      <c r="G57" s="70"/>
      <c r="H57" s="70"/>
      <c r="I57" s="70"/>
      <c r="J57" s="70"/>
      <c r="K57" s="70"/>
      <c r="L57" s="70"/>
      <c r="M57" s="70"/>
      <c r="N57" s="70"/>
      <c r="O57" s="70"/>
      <c r="P57" s="70"/>
      <c r="Q57" s="70"/>
      <c r="R57" s="70"/>
      <c r="S57" s="70"/>
      <c r="T57" s="63"/>
      <c r="U57" s="20"/>
      <c r="V57" s="20"/>
      <c r="W57" s="20"/>
      <c r="X57" s="20"/>
      <c r="Y57" s="20"/>
      <c r="Z57" s="20"/>
      <c r="AA57" s="20"/>
      <c r="AB57" s="20"/>
      <c r="AC57" s="20"/>
      <c r="AD57" s="20"/>
      <c r="AE57" s="20"/>
      <c r="AF57" s="20"/>
      <c r="AG57" s="20"/>
      <c r="AH57" s="20"/>
      <c r="AI57" s="20"/>
      <c r="AJ57" s="20"/>
    </row>
    <row r="58" spans="1:36" s="4" customFormat="1" ht="13.8" x14ac:dyDescent="0.25">
      <c r="A58" s="28"/>
      <c r="D58" s="63"/>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row>
    <row r="59" spans="1:36" s="4" customFormat="1" ht="13.8" x14ac:dyDescent="0.25">
      <c r="A59" s="3"/>
      <c r="D59" s="63"/>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row>
    <row r="60" spans="1:36" s="4" customFormat="1" ht="13.8" x14ac:dyDescent="0.25">
      <c r="A60" s="3"/>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row>
    <row r="61" spans="1:36" s="4" customFormat="1" ht="13.8" x14ac:dyDescent="0.25">
      <c r="A61" s="3"/>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row>
    <row r="62" spans="1:36" s="4" customFormat="1" ht="13.8" x14ac:dyDescent="0.25">
      <c r="A62" s="3"/>
      <c r="D62" s="41" t="s">
        <v>31</v>
      </c>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row>
    <row r="63" spans="1:36" s="4" customFormat="1" ht="13.8" x14ac:dyDescent="0.25">
      <c r="A63" s="3"/>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row>
    <row r="64" spans="1:36" s="4" customFormat="1" ht="13.8" x14ac:dyDescent="0.25">
      <c r="A64" s="3"/>
      <c r="D64" s="208" t="s">
        <v>449</v>
      </c>
      <c r="E64" s="208"/>
      <c r="F64" s="208"/>
      <c r="G64" s="208"/>
      <c r="H64" s="208"/>
      <c r="I64" s="208"/>
      <c r="J64" s="208"/>
      <c r="K64" s="208"/>
      <c r="L64" s="208"/>
      <c r="M64" s="208"/>
      <c r="N64" s="208"/>
      <c r="O64" s="208"/>
      <c r="P64" s="208"/>
      <c r="Q64" s="208"/>
      <c r="R64" s="208"/>
      <c r="S64" s="208"/>
      <c r="T64" s="208"/>
      <c r="U64" s="208"/>
      <c r="V64" s="208"/>
      <c r="W64" s="208"/>
      <c r="X64" s="208"/>
      <c r="Y64" s="208"/>
      <c r="Z64" s="208"/>
      <c r="AA64" s="208"/>
      <c r="AB64" s="208"/>
      <c r="AC64" s="208"/>
      <c r="AD64" s="208"/>
      <c r="AE64" s="208"/>
      <c r="AF64" s="208"/>
      <c r="AG64" s="208"/>
      <c r="AH64" s="20"/>
    </row>
    <row r="65" spans="1:34" s="4" customFormat="1" ht="13.8" x14ac:dyDescent="0.25">
      <c r="A65" s="3"/>
      <c r="D65" s="208"/>
      <c r="E65" s="208"/>
      <c r="F65" s="208"/>
      <c r="G65" s="208"/>
      <c r="H65" s="208"/>
      <c r="I65" s="208"/>
      <c r="J65" s="208"/>
      <c r="K65" s="208"/>
      <c r="L65" s="208"/>
      <c r="M65" s="208"/>
      <c r="N65" s="208"/>
      <c r="O65" s="208"/>
      <c r="P65" s="208"/>
      <c r="Q65" s="208"/>
      <c r="R65" s="208"/>
      <c r="S65" s="208"/>
      <c r="T65" s="208"/>
      <c r="U65" s="208"/>
      <c r="V65" s="208"/>
      <c r="W65" s="208"/>
      <c r="X65" s="208"/>
      <c r="Y65" s="208"/>
      <c r="Z65" s="208"/>
      <c r="AA65" s="208"/>
      <c r="AB65" s="208"/>
      <c r="AC65" s="208"/>
      <c r="AD65" s="208"/>
      <c r="AE65" s="208"/>
      <c r="AF65" s="208"/>
      <c r="AG65" s="208"/>
      <c r="AH65" s="20"/>
    </row>
    <row r="66" spans="1:34" s="4" customFormat="1" ht="13.8" x14ac:dyDescent="0.25">
      <c r="A66" s="3"/>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row>
    <row r="67" spans="1:34" s="4" customFormat="1" ht="13.8" x14ac:dyDescent="0.25">
      <c r="A67" s="3"/>
      <c r="D67" s="208" t="s">
        <v>1678</v>
      </c>
      <c r="E67" s="281"/>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1"/>
      <c r="AH67" s="20"/>
    </row>
    <row r="68" spans="1:34" s="4" customFormat="1" ht="13.8" x14ac:dyDescent="0.25">
      <c r="A68" s="3"/>
      <c r="D68" s="281"/>
      <c r="E68" s="281"/>
      <c r="F68" s="281"/>
      <c r="G68" s="281"/>
      <c r="H68" s="281"/>
      <c r="I68" s="281"/>
      <c r="J68" s="281"/>
      <c r="K68" s="281"/>
      <c r="L68" s="281"/>
      <c r="M68" s="281"/>
      <c r="N68" s="281"/>
      <c r="O68" s="281"/>
      <c r="P68" s="281"/>
      <c r="Q68" s="281"/>
      <c r="R68" s="281"/>
      <c r="S68" s="281"/>
      <c r="T68" s="281"/>
      <c r="U68" s="281"/>
      <c r="V68" s="281"/>
      <c r="W68" s="281"/>
      <c r="X68" s="281"/>
      <c r="Y68" s="281"/>
      <c r="Z68" s="281"/>
      <c r="AA68" s="281"/>
      <c r="AB68" s="281"/>
      <c r="AC68" s="281"/>
      <c r="AD68" s="281"/>
      <c r="AE68" s="281"/>
      <c r="AF68" s="281"/>
      <c r="AG68" s="281"/>
      <c r="AH68" s="20"/>
    </row>
    <row r="69" spans="1:34" s="4" customFormat="1" ht="13.8" x14ac:dyDescent="0.25">
      <c r="A69" s="3"/>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row>
    <row r="70" spans="1:34" s="4" customFormat="1" ht="13.8" x14ac:dyDescent="0.25">
      <c r="A70" s="3"/>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row>
    <row r="71" spans="1:34" s="4" customFormat="1" ht="13.8" x14ac:dyDescent="0.25">
      <c r="A71" s="3"/>
      <c r="D71" s="41" t="s">
        <v>32</v>
      </c>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row>
    <row r="72" spans="1:34" s="4" customFormat="1" ht="13.8" x14ac:dyDescent="0.25">
      <c r="A72" s="3"/>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row>
    <row r="73" spans="1:34" s="4" customFormat="1" ht="13.8" x14ac:dyDescent="0.25">
      <c r="A73" s="3"/>
      <c r="D73" s="208" t="s">
        <v>671</v>
      </c>
      <c r="E73" s="281"/>
      <c r="F73" s="281"/>
      <c r="G73" s="281"/>
      <c r="H73" s="281"/>
      <c r="I73" s="281"/>
      <c r="J73" s="281"/>
      <c r="K73" s="281"/>
      <c r="L73" s="281"/>
      <c r="M73" s="281"/>
      <c r="N73" s="281"/>
      <c r="O73" s="281"/>
      <c r="P73" s="281"/>
      <c r="Q73" s="281"/>
      <c r="R73" s="281"/>
      <c r="S73" s="281"/>
      <c r="T73" s="281"/>
      <c r="U73" s="281"/>
      <c r="V73" s="281"/>
      <c r="W73" s="281"/>
      <c r="X73" s="281"/>
      <c r="Y73" s="281"/>
      <c r="Z73" s="281"/>
      <c r="AA73" s="281"/>
      <c r="AB73" s="281"/>
      <c r="AC73" s="281"/>
      <c r="AD73" s="281"/>
      <c r="AE73" s="281"/>
      <c r="AF73" s="281"/>
      <c r="AG73" s="281"/>
      <c r="AH73" s="20"/>
    </row>
    <row r="74" spans="1:34" s="4" customFormat="1" ht="13.8" x14ac:dyDescent="0.25">
      <c r="A74" s="3"/>
      <c r="D74" s="281"/>
      <c r="E74" s="281"/>
      <c r="F74" s="281"/>
      <c r="G74" s="281"/>
      <c r="H74" s="281"/>
      <c r="I74" s="281"/>
      <c r="J74" s="281"/>
      <c r="K74" s="281"/>
      <c r="L74" s="281"/>
      <c r="M74" s="281"/>
      <c r="N74" s="281"/>
      <c r="O74" s="281"/>
      <c r="P74" s="281"/>
      <c r="Q74" s="281"/>
      <c r="R74" s="281"/>
      <c r="S74" s="281"/>
      <c r="T74" s="281"/>
      <c r="U74" s="281"/>
      <c r="V74" s="281"/>
      <c r="W74" s="281"/>
      <c r="X74" s="281"/>
      <c r="Y74" s="281"/>
      <c r="Z74" s="281"/>
      <c r="AA74" s="281"/>
      <c r="AB74" s="281"/>
      <c r="AC74" s="281"/>
      <c r="AD74" s="281"/>
      <c r="AE74" s="281"/>
      <c r="AF74" s="281"/>
      <c r="AG74" s="281"/>
      <c r="AH74" s="20"/>
    </row>
    <row r="75" spans="1:34" s="4" customFormat="1" ht="13.8" x14ac:dyDescent="0.25">
      <c r="A75" s="3"/>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row>
    <row r="76" spans="1:34" s="4" customFormat="1" ht="13.8" x14ac:dyDescent="0.25">
      <c r="A76" s="3"/>
      <c r="D76" s="41" t="s">
        <v>33</v>
      </c>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row>
    <row r="77" spans="1:34" s="4" customFormat="1" ht="13.8" x14ac:dyDescent="0.25">
      <c r="A77" s="3"/>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row>
    <row r="78" spans="1:34" s="4" customFormat="1" ht="13.8" x14ac:dyDescent="0.25">
      <c r="A78" s="3"/>
      <c r="D78" s="281" t="s">
        <v>34</v>
      </c>
      <c r="E78" s="281"/>
      <c r="F78" s="281"/>
      <c r="G78" s="281"/>
      <c r="H78" s="281"/>
      <c r="I78" s="281"/>
      <c r="J78" s="281"/>
      <c r="K78" s="281"/>
      <c r="L78" s="281"/>
      <c r="M78" s="281"/>
      <c r="N78" s="281"/>
      <c r="O78" s="281"/>
      <c r="P78" s="281"/>
      <c r="Q78" s="281"/>
      <c r="R78" s="281"/>
      <c r="S78" s="281"/>
      <c r="T78" s="281"/>
      <c r="U78" s="281"/>
      <c r="V78" s="281"/>
      <c r="W78" s="281"/>
      <c r="X78" s="281"/>
      <c r="Y78" s="281"/>
      <c r="Z78" s="281"/>
      <c r="AA78" s="281"/>
      <c r="AB78" s="281"/>
      <c r="AC78" s="281"/>
      <c r="AD78" s="281"/>
      <c r="AE78" s="281"/>
      <c r="AF78" s="281"/>
      <c r="AG78" s="281"/>
      <c r="AH78" s="20"/>
    </row>
    <row r="79" spans="1:34" s="4" customFormat="1" ht="13.8" x14ac:dyDescent="0.25">
      <c r="A79" s="3"/>
      <c r="D79" s="281"/>
      <c r="E79" s="281"/>
      <c r="F79" s="281"/>
      <c r="G79" s="281"/>
      <c r="H79" s="281"/>
      <c r="I79" s="281"/>
      <c r="J79" s="281"/>
      <c r="K79" s="281"/>
      <c r="L79" s="281"/>
      <c r="M79" s="281"/>
      <c r="N79" s="281"/>
      <c r="O79" s="281"/>
      <c r="P79" s="281"/>
      <c r="Q79" s="281"/>
      <c r="R79" s="281"/>
      <c r="S79" s="281"/>
      <c r="T79" s="281"/>
      <c r="U79" s="281"/>
      <c r="V79" s="281"/>
      <c r="W79" s="281"/>
      <c r="X79" s="281"/>
      <c r="Y79" s="281"/>
      <c r="Z79" s="281"/>
      <c r="AA79" s="281"/>
      <c r="AB79" s="281"/>
      <c r="AC79" s="281"/>
      <c r="AD79" s="281"/>
      <c r="AE79" s="281"/>
      <c r="AF79" s="281"/>
      <c r="AG79" s="281"/>
      <c r="AH79" s="20"/>
    </row>
    <row r="80" spans="1:34" s="4" customFormat="1" ht="13.8" x14ac:dyDescent="0.25">
      <c r="A80" s="3"/>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row>
    <row r="81" spans="1:34" s="4" customFormat="1" ht="13.8" x14ac:dyDescent="0.25">
      <c r="A81" s="3"/>
      <c r="D81" s="58" t="s">
        <v>35</v>
      </c>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row>
    <row r="82" spans="1:34" s="4" customFormat="1" ht="13.8" x14ac:dyDescent="0.25">
      <c r="A82" s="3"/>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row>
    <row r="83" spans="1:34" s="4" customFormat="1" ht="13.8" x14ac:dyDescent="0.25">
      <c r="A83" s="3"/>
      <c r="D83" s="208" t="s">
        <v>1679</v>
      </c>
      <c r="E83" s="281"/>
      <c r="F83" s="281"/>
      <c r="G83" s="281"/>
      <c r="H83" s="281"/>
      <c r="I83" s="281"/>
      <c r="J83" s="281"/>
      <c r="K83" s="281"/>
      <c r="L83" s="281"/>
      <c r="M83" s="281"/>
      <c r="N83" s="281"/>
      <c r="O83" s="281"/>
      <c r="P83" s="281"/>
      <c r="Q83" s="281"/>
      <c r="R83" s="281"/>
      <c r="S83" s="281"/>
      <c r="T83" s="281"/>
      <c r="U83" s="281"/>
      <c r="V83" s="281"/>
      <c r="W83" s="281"/>
      <c r="X83" s="281"/>
      <c r="Y83" s="281"/>
      <c r="Z83" s="281"/>
      <c r="AA83" s="281"/>
      <c r="AB83" s="281"/>
      <c r="AC83" s="281"/>
      <c r="AD83" s="281"/>
      <c r="AE83" s="281"/>
      <c r="AF83" s="281"/>
      <c r="AG83" s="281"/>
      <c r="AH83" s="20"/>
    </row>
    <row r="84" spans="1:34" s="4" customFormat="1" ht="13.8" x14ac:dyDescent="0.25">
      <c r="A84" s="3"/>
      <c r="D84" s="281"/>
      <c r="E84" s="281"/>
      <c r="F84" s="281"/>
      <c r="G84" s="281"/>
      <c r="H84" s="281"/>
      <c r="I84" s="281"/>
      <c r="J84" s="281"/>
      <c r="K84" s="281"/>
      <c r="L84" s="281"/>
      <c r="M84" s="281"/>
      <c r="N84" s="281"/>
      <c r="O84" s="281"/>
      <c r="P84" s="281"/>
      <c r="Q84" s="281"/>
      <c r="R84" s="281"/>
      <c r="S84" s="281"/>
      <c r="T84" s="281"/>
      <c r="U84" s="281"/>
      <c r="V84" s="281"/>
      <c r="W84" s="281"/>
      <c r="X84" s="281"/>
      <c r="Y84" s="281"/>
      <c r="Z84" s="281"/>
      <c r="AA84" s="281"/>
      <c r="AB84" s="281"/>
      <c r="AC84" s="281"/>
      <c r="AD84" s="281"/>
      <c r="AE84" s="281"/>
      <c r="AF84" s="281"/>
      <c r="AG84" s="281"/>
      <c r="AH84" s="20"/>
    </row>
    <row r="85" spans="1:34" s="4" customFormat="1" ht="39" customHeight="1" x14ac:dyDescent="0.25">
      <c r="A85" s="3"/>
      <c r="D85" s="281"/>
      <c r="E85" s="281"/>
      <c r="F85" s="281"/>
      <c r="G85" s="281"/>
      <c r="H85" s="281"/>
      <c r="I85" s="281"/>
      <c r="J85" s="281"/>
      <c r="K85" s="281"/>
      <c r="L85" s="281"/>
      <c r="M85" s="281"/>
      <c r="N85" s="281"/>
      <c r="O85" s="281"/>
      <c r="P85" s="281"/>
      <c r="Q85" s="281"/>
      <c r="R85" s="281"/>
      <c r="S85" s="281"/>
      <c r="T85" s="281"/>
      <c r="U85" s="281"/>
      <c r="V85" s="281"/>
      <c r="W85" s="281"/>
      <c r="X85" s="281"/>
      <c r="Y85" s="281"/>
      <c r="Z85" s="281"/>
      <c r="AA85" s="281"/>
      <c r="AB85" s="281"/>
      <c r="AC85" s="281"/>
      <c r="AD85" s="281"/>
      <c r="AE85" s="281"/>
      <c r="AF85" s="281"/>
      <c r="AG85" s="281"/>
      <c r="AH85" s="20"/>
    </row>
    <row r="86" spans="1:34" s="4" customFormat="1" ht="29.25" customHeight="1" thickBot="1" x14ac:dyDescent="0.3">
      <c r="A86" s="3"/>
      <c r="D86" s="59"/>
      <c r="E86" s="59"/>
      <c r="F86" s="59"/>
      <c r="G86" s="59"/>
      <c r="H86" s="59"/>
      <c r="I86" s="59"/>
      <c r="J86" s="59"/>
      <c r="K86" s="59"/>
      <c r="L86" s="59"/>
      <c r="M86" s="59"/>
      <c r="N86" s="59"/>
      <c r="O86" s="296" t="s">
        <v>36</v>
      </c>
      <c r="P86" s="296"/>
      <c r="Q86" s="296"/>
      <c r="R86" s="296"/>
      <c r="S86" s="296"/>
      <c r="T86" s="296" t="s">
        <v>37</v>
      </c>
      <c r="U86" s="296"/>
      <c r="V86" s="296"/>
      <c r="W86" s="296"/>
      <c r="X86" s="296"/>
      <c r="Y86" s="296" t="s">
        <v>38</v>
      </c>
      <c r="Z86" s="296"/>
      <c r="AA86" s="296"/>
      <c r="AB86" s="296"/>
      <c r="AC86" s="296"/>
      <c r="AD86" s="20"/>
      <c r="AE86" s="20"/>
      <c r="AF86" s="20"/>
      <c r="AG86" s="20"/>
      <c r="AH86" s="20"/>
    </row>
    <row r="87" spans="1:34" s="4" customFormat="1" ht="13.8" x14ac:dyDescent="0.25">
      <c r="A87" s="3"/>
      <c r="D87" s="321" t="s">
        <v>39</v>
      </c>
      <c r="E87" s="321"/>
      <c r="F87" s="321"/>
      <c r="G87" s="321"/>
      <c r="H87" s="321"/>
      <c r="I87" s="321"/>
      <c r="J87" s="321"/>
      <c r="K87" s="321"/>
      <c r="L87" s="321"/>
      <c r="M87" s="321"/>
      <c r="N87" s="321"/>
      <c r="O87" s="277">
        <v>5</v>
      </c>
      <c r="P87" s="277"/>
      <c r="Q87" s="277"/>
      <c r="R87" s="277"/>
      <c r="S87" s="277"/>
      <c r="T87" s="277">
        <v>0.2</v>
      </c>
      <c r="U87" s="277"/>
      <c r="V87" s="277"/>
      <c r="W87" s="277"/>
      <c r="X87" s="277"/>
      <c r="Y87" s="277" t="s">
        <v>40</v>
      </c>
      <c r="Z87" s="277"/>
      <c r="AA87" s="277"/>
      <c r="AB87" s="277"/>
      <c r="AC87" s="277"/>
      <c r="AD87" s="20"/>
      <c r="AE87" s="20"/>
      <c r="AF87" s="20"/>
      <c r="AG87" s="20"/>
      <c r="AH87" s="20"/>
    </row>
    <row r="88" spans="1:34" s="4" customFormat="1" ht="13.8" x14ac:dyDescent="0.25">
      <c r="A88" s="3"/>
      <c r="D88" s="57"/>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row>
    <row r="89" spans="1:34" s="4" customFormat="1" ht="13.8" x14ac:dyDescent="0.25">
      <c r="A89" s="3"/>
      <c r="D89" s="281" t="s">
        <v>41</v>
      </c>
      <c r="E89" s="281"/>
      <c r="F89" s="281"/>
      <c r="G89" s="281"/>
      <c r="H89" s="281"/>
      <c r="I89" s="281"/>
      <c r="J89" s="281"/>
      <c r="K89" s="281"/>
      <c r="L89" s="281"/>
      <c r="M89" s="281"/>
      <c r="N89" s="281"/>
      <c r="O89" s="281"/>
      <c r="P89" s="281"/>
      <c r="Q89" s="281"/>
      <c r="R89" s="281"/>
      <c r="S89" s="281"/>
      <c r="T89" s="281"/>
      <c r="U89" s="281"/>
      <c r="V89" s="281"/>
      <c r="W89" s="281"/>
      <c r="X89" s="281"/>
      <c r="Y89" s="281"/>
      <c r="Z89" s="281"/>
      <c r="AA89" s="281"/>
      <c r="AB89" s="281"/>
      <c r="AC89" s="281"/>
      <c r="AD89" s="281"/>
      <c r="AE89" s="281"/>
      <c r="AF89" s="281"/>
      <c r="AG89" s="281"/>
      <c r="AH89" s="20"/>
    </row>
    <row r="90" spans="1:34" s="4" customFormat="1" ht="13.8" x14ac:dyDescent="0.25">
      <c r="A90" s="3"/>
      <c r="D90" s="281"/>
      <c r="E90" s="281"/>
      <c r="F90" s="281"/>
      <c r="G90" s="281"/>
      <c r="H90" s="281"/>
      <c r="I90" s="281"/>
      <c r="J90" s="281"/>
      <c r="K90" s="281"/>
      <c r="L90" s="281"/>
      <c r="M90" s="281"/>
      <c r="N90" s="281"/>
      <c r="O90" s="281"/>
      <c r="P90" s="281"/>
      <c r="Q90" s="281"/>
      <c r="R90" s="281"/>
      <c r="S90" s="281"/>
      <c r="T90" s="281"/>
      <c r="U90" s="281"/>
      <c r="V90" s="281"/>
      <c r="W90" s="281"/>
      <c r="X90" s="281"/>
      <c r="Y90" s="281"/>
      <c r="Z90" s="281"/>
      <c r="AA90" s="281"/>
      <c r="AB90" s="281"/>
      <c r="AC90" s="281"/>
      <c r="AD90" s="281"/>
      <c r="AE90" s="281"/>
      <c r="AF90" s="281"/>
      <c r="AG90" s="281"/>
      <c r="AH90" s="20"/>
    </row>
    <row r="91" spans="1:34" s="4" customFormat="1" ht="13.8" x14ac:dyDescent="0.25">
      <c r="A91" s="3"/>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row>
    <row r="92" spans="1:34" s="4" customFormat="1" ht="13.8" x14ac:dyDescent="0.25">
      <c r="A92" s="3"/>
      <c r="D92" s="41" t="s">
        <v>42</v>
      </c>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row>
    <row r="93" spans="1:34" s="4" customFormat="1" ht="13.8" x14ac:dyDescent="0.25">
      <c r="A93" s="3"/>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row>
    <row r="94" spans="1:34" s="4" customFormat="1" ht="13.8" x14ac:dyDescent="0.25">
      <c r="A94" s="3"/>
      <c r="D94" s="281" t="s">
        <v>43</v>
      </c>
      <c r="E94" s="281"/>
      <c r="F94" s="281"/>
      <c r="G94" s="281"/>
      <c r="H94" s="281"/>
      <c r="I94" s="281"/>
      <c r="J94" s="281"/>
      <c r="K94" s="281"/>
      <c r="L94" s="281"/>
      <c r="M94" s="281"/>
      <c r="N94" s="281"/>
      <c r="O94" s="281"/>
      <c r="P94" s="281"/>
      <c r="Q94" s="281"/>
      <c r="R94" s="281"/>
      <c r="S94" s="281"/>
      <c r="T94" s="281"/>
      <c r="U94" s="281"/>
      <c r="V94" s="281"/>
      <c r="W94" s="281"/>
      <c r="X94" s="281"/>
      <c r="Y94" s="281"/>
      <c r="Z94" s="281"/>
      <c r="AA94" s="281"/>
      <c r="AB94" s="281"/>
      <c r="AC94" s="281"/>
      <c r="AD94" s="281"/>
      <c r="AE94" s="281"/>
      <c r="AF94" s="281"/>
      <c r="AG94" s="281"/>
      <c r="AH94" s="20"/>
    </row>
    <row r="95" spans="1:34" s="4" customFormat="1" ht="13.8" x14ac:dyDescent="0.25">
      <c r="A95" s="3"/>
      <c r="D95" s="281"/>
      <c r="E95" s="281"/>
      <c r="F95" s="281"/>
      <c r="G95" s="281"/>
      <c r="H95" s="281"/>
      <c r="I95" s="281"/>
      <c r="J95" s="281"/>
      <c r="K95" s="281"/>
      <c r="L95" s="281"/>
      <c r="M95" s="281"/>
      <c r="N95" s="281"/>
      <c r="O95" s="281"/>
      <c r="P95" s="281"/>
      <c r="Q95" s="281"/>
      <c r="R95" s="281"/>
      <c r="S95" s="281"/>
      <c r="T95" s="281"/>
      <c r="U95" s="281"/>
      <c r="V95" s="281"/>
      <c r="W95" s="281"/>
      <c r="X95" s="281"/>
      <c r="Y95" s="281"/>
      <c r="Z95" s="281"/>
      <c r="AA95" s="281"/>
      <c r="AB95" s="281"/>
      <c r="AC95" s="281"/>
      <c r="AD95" s="281"/>
      <c r="AE95" s="281"/>
      <c r="AF95" s="281"/>
      <c r="AG95" s="281"/>
      <c r="AH95" s="20"/>
    </row>
    <row r="96" spans="1:34" s="4" customFormat="1" ht="13.8" x14ac:dyDescent="0.25">
      <c r="A96" s="3"/>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row>
    <row r="97" spans="1:34" s="4" customFormat="1" ht="13.8" x14ac:dyDescent="0.25">
      <c r="A97" s="3"/>
      <c r="D97" s="281" t="s">
        <v>44</v>
      </c>
      <c r="E97" s="281"/>
      <c r="F97" s="281"/>
      <c r="G97" s="281"/>
      <c r="H97" s="281"/>
      <c r="I97" s="281"/>
      <c r="J97" s="281"/>
      <c r="K97" s="281"/>
      <c r="L97" s="281"/>
      <c r="M97" s="281"/>
      <c r="N97" s="281"/>
      <c r="O97" s="281"/>
      <c r="P97" s="281"/>
      <c r="Q97" s="281"/>
      <c r="R97" s="281"/>
      <c r="S97" s="281"/>
      <c r="T97" s="281"/>
      <c r="U97" s="281"/>
      <c r="V97" s="281"/>
      <c r="W97" s="281"/>
      <c r="X97" s="281"/>
      <c r="Y97" s="281"/>
      <c r="Z97" s="281"/>
      <c r="AA97" s="281"/>
      <c r="AB97" s="281"/>
      <c r="AC97" s="281"/>
      <c r="AD97" s="281"/>
      <c r="AE97" s="281"/>
      <c r="AF97" s="281"/>
      <c r="AG97" s="281"/>
      <c r="AH97" s="20"/>
    </row>
    <row r="98" spans="1:34" s="4" customFormat="1" ht="13.8" x14ac:dyDescent="0.25">
      <c r="A98" s="3"/>
      <c r="D98" s="281"/>
      <c r="E98" s="281"/>
      <c r="F98" s="281"/>
      <c r="G98" s="281"/>
      <c r="H98" s="281"/>
      <c r="I98" s="281"/>
      <c r="J98" s="281"/>
      <c r="K98" s="281"/>
      <c r="L98" s="281"/>
      <c r="M98" s="281"/>
      <c r="N98" s="281"/>
      <c r="O98" s="281"/>
      <c r="P98" s="281"/>
      <c r="Q98" s="281"/>
      <c r="R98" s="281"/>
      <c r="S98" s="281"/>
      <c r="T98" s="281"/>
      <c r="U98" s="281"/>
      <c r="V98" s="281"/>
      <c r="W98" s="281"/>
      <c r="X98" s="281"/>
      <c r="Y98" s="281"/>
      <c r="Z98" s="281"/>
      <c r="AA98" s="281"/>
      <c r="AB98" s="281"/>
      <c r="AC98" s="281"/>
      <c r="AD98" s="281"/>
      <c r="AE98" s="281"/>
      <c r="AF98" s="281"/>
      <c r="AG98" s="281"/>
      <c r="AH98" s="20"/>
    </row>
    <row r="99" spans="1:34" s="4" customFormat="1" ht="13.8" x14ac:dyDescent="0.25">
      <c r="A99" s="3"/>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row>
    <row r="100" spans="1:34" s="4" customFormat="1" ht="13.8" x14ac:dyDescent="0.25">
      <c r="A100" s="3"/>
      <c r="D100" s="281" t="s">
        <v>45</v>
      </c>
      <c r="E100" s="281"/>
      <c r="F100" s="281"/>
      <c r="G100" s="281"/>
      <c r="H100" s="281"/>
      <c r="I100" s="281"/>
      <c r="J100" s="281"/>
      <c r="K100" s="281"/>
      <c r="L100" s="281"/>
      <c r="M100" s="281"/>
      <c r="N100" s="281"/>
      <c r="O100" s="281"/>
      <c r="P100" s="281"/>
      <c r="Q100" s="281"/>
      <c r="R100" s="281"/>
      <c r="S100" s="281"/>
      <c r="T100" s="281"/>
      <c r="U100" s="281"/>
      <c r="V100" s="281"/>
      <c r="W100" s="281"/>
      <c r="X100" s="281"/>
      <c r="Y100" s="281"/>
      <c r="Z100" s="281"/>
      <c r="AA100" s="281"/>
      <c r="AB100" s="281"/>
      <c r="AC100" s="281"/>
      <c r="AD100" s="281"/>
      <c r="AE100" s="281"/>
      <c r="AF100" s="281"/>
      <c r="AG100" s="281"/>
      <c r="AH100" s="20"/>
    </row>
    <row r="101" spans="1:34" s="4" customFormat="1" ht="13.8" x14ac:dyDescent="0.25">
      <c r="A101" s="3"/>
      <c r="D101" s="281"/>
      <c r="E101" s="281"/>
      <c r="F101" s="281"/>
      <c r="G101" s="281"/>
      <c r="H101" s="281"/>
      <c r="I101" s="281"/>
      <c r="J101" s="281"/>
      <c r="K101" s="281"/>
      <c r="L101" s="281"/>
      <c r="M101" s="281"/>
      <c r="N101" s="281"/>
      <c r="O101" s="281"/>
      <c r="P101" s="281"/>
      <c r="Q101" s="281"/>
      <c r="R101" s="281"/>
      <c r="S101" s="281"/>
      <c r="T101" s="281"/>
      <c r="U101" s="281"/>
      <c r="V101" s="281"/>
      <c r="W101" s="281"/>
      <c r="X101" s="281"/>
      <c r="Y101" s="281"/>
      <c r="Z101" s="281"/>
      <c r="AA101" s="281"/>
      <c r="AB101" s="281"/>
      <c r="AC101" s="281"/>
      <c r="AD101" s="281"/>
      <c r="AE101" s="281"/>
      <c r="AF101" s="281"/>
      <c r="AG101" s="281"/>
      <c r="AH101" s="20"/>
    </row>
    <row r="102" spans="1:34" s="4" customFormat="1" ht="13.8" x14ac:dyDescent="0.25">
      <c r="A102" s="3"/>
      <c r="D102" s="281"/>
      <c r="E102" s="281"/>
      <c r="F102" s="281"/>
      <c r="G102" s="281"/>
      <c r="H102" s="281"/>
      <c r="I102" s="281"/>
      <c r="J102" s="281"/>
      <c r="K102" s="281"/>
      <c r="L102" s="281"/>
      <c r="M102" s="281"/>
      <c r="N102" s="281"/>
      <c r="O102" s="281"/>
      <c r="P102" s="281"/>
      <c r="Q102" s="281"/>
      <c r="R102" s="281"/>
      <c r="S102" s="281"/>
      <c r="T102" s="281"/>
      <c r="U102" s="281"/>
      <c r="V102" s="281"/>
      <c r="W102" s="281"/>
      <c r="X102" s="281"/>
      <c r="Y102" s="281"/>
      <c r="Z102" s="281"/>
      <c r="AA102" s="281"/>
      <c r="AB102" s="281"/>
      <c r="AC102" s="281"/>
      <c r="AD102" s="281"/>
      <c r="AE102" s="281"/>
      <c r="AF102" s="281"/>
      <c r="AG102" s="281"/>
      <c r="AH102" s="20"/>
    </row>
    <row r="103" spans="1:34" s="4" customFormat="1" ht="13.8" x14ac:dyDescent="0.25">
      <c r="A103" s="3"/>
      <c r="D103" s="281"/>
      <c r="E103" s="281"/>
      <c r="F103" s="281"/>
      <c r="G103" s="281"/>
      <c r="H103" s="281"/>
      <c r="I103" s="281"/>
      <c r="J103" s="281"/>
      <c r="K103" s="281"/>
      <c r="L103" s="281"/>
      <c r="M103" s="281"/>
      <c r="N103" s="281"/>
      <c r="O103" s="281"/>
      <c r="P103" s="281"/>
      <c r="Q103" s="281"/>
      <c r="R103" s="281"/>
      <c r="S103" s="281"/>
      <c r="T103" s="281"/>
      <c r="U103" s="281"/>
      <c r="V103" s="281"/>
      <c r="W103" s="281"/>
      <c r="X103" s="281"/>
      <c r="Y103" s="281"/>
      <c r="Z103" s="281"/>
      <c r="AA103" s="281"/>
      <c r="AB103" s="281"/>
      <c r="AC103" s="281"/>
      <c r="AD103" s="281"/>
      <c r="AE103" s="281"/>
      <c r="AF103" s="281"/>
      <c r="AG103" s="281"/>
      <c r="AH103" s="20"/>
    </row>
    <row r="104" spans="1:34" s="4" customFormat="1" ht="13.8" x14ac:dyDescent="0.25">
      <c r="A104" s="3"/>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row>
    <row r="105" spans="1:34" s="4" customFormat="1" ht="13.8" x14ac:dyDescent="0.25">
      <c r="A105" s="3"/>
      <c r="D105" s="58" t="s">
        <v>35</v>
      </c>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row>
    <row r="106" spans="1:34" s="4" customFormat="1" ht="13.8" x14ac:dyDescent="0.25">
      <c r="A106" s="3"/>
      <c r="D106" s="208" t="s">
        <v>1680</v>
      </c>
      <c r="E106" s="281"/>
      <c r="F106" s="281"/>
      <c r="G106" s="281"/>
      <c r="H106" s="281"/>
      <c r="I106" s="281"/>
      <c r="J106" s="281"/>
      <c r="K106" s="281"/>
      <c r="L106" s="281"/>
      <c r="M106" s="281"/>
      <c r="N106" s="281"/>
      <c r="O106" s="281"/>
      <c r="P106" s="281"/>
      <c r="Q106" s="281"/>
      <c r="R106" s="281"/>
      <c r="S106" s="281"/>
      <c r="T106" s="281"/>
      <c r="U106" s="281"/>
      <c r="V106" s="281"/>
      <c r="W106" s="281"/>
      <c r="X106" s="281"/>
      <c r="Y106" s="281"/>
      <c r="Z106" s="281"/>
      <c r="AA106" s="281"/>
      <c r="AB106" s="281"/>
      <c r="AC106" s="281"/>
      <c r="AD106" s="281"/>
      <c r="AE106" s="281"/>
      <c r="AF106" s="281"/>
      <c r="AG106" s="281"/>
      <c r="AH106" s="20"/>
    </row>
    <row r="107" spans="1:34" s="4" customFormat="1" ht="13.8" x14ac:dyDescent="0.25">
      <c r="A107" s="3"/>
      <c r="D107" s="281"/>
      <c r="E107" s="281"/>
      <c r="F107" s="281"/>
      <c r="G107" s="281"/>
      <c r="H107" s="281"/>
      <c r="I107" s="281"/>
      <c r="J107" s="281"/>
      <c r="K107" s="281"/>
      <c r="L107" s="281"/>
      <c r="M107" s="281"/>
      <c r="N107" s="281"/>
      <c r="O107" s="281"/>
      <c r="P107" s="281"/>
      <c r="Q107" s="281"/>
      <c r="R107" s="281"/>
      <c r="S107" s="281"/>
      <c r="T107" s="281"/>
      <c r="U107" s="281"/>
      <c r="V107" s="281"/>
      <c r="W107" s="281"/>
      <c r="X107" s="281"/>
      <c r="Y107" s="281"/>
      <c r="Z107" s="281"/>
      <c r="AA107" s="281"/>
      <c r="AB107" s="281"/>
      <c r="AC107" s="281"/>
      <c r="AD107" s="281"/>
      <c r="AE107" s="281"/>
      <c r="AF107" s="281"/>
      <c r="AG107" s="281"/>
      <c r="AH107" s="20"/>
    </row>
    <row r="108" spans="1:34" s="4" customFormat="1" ht="39" customHeight="1" x14ac:dyDescent="0.25">
      <c r="A108" s="3"/>
      <c r="D108" s="281"/>
      <c r="E108" s="281"/>
      <c r="F108" s="281"/>
      <c r="G108" s="281"/>
      <c r="H108" s="281"/>
      <c r="I108" s="281"/>
      <c r="J108" s="281"/>
      <c r="K108" s="281"/>
      <c r="L108" s="281"/>
      <c r="M108" s="281"/>
      <c r="N108" s="281"/>
      <c r="O108" s="281"/>
      <c r="P108" s="281"/>
      <c r="Q108" s="281"/>
      <c r="R108" s="281"/>
      <c r="S108" s="281"/>
      <c r="T108" s="281"/>
      <c r="U108" s="281"/>
      <c r="V108" s="281"/>
      <c r="W108" s="281"/>
      <c r="X108" s="281"/>
      <c r="Y108" s="281"/>
      <c r="Z108" s="281"/>
      <c r="AA108" s="281"/>
      <c r="AB108" s="281"/>
      <c r="AC108" s="281"/>
      <c r="AD108" s="281"/>
      <c r="AE108" s="281"/>
      <c r="AF108" s="281"/>
      <c r="AG108" s="281"/>
      <c r="AH108" s="20"/>
    </row>
    <row r="109" spans="1:34" s="4" customFormat="1" ht="13.8" x14ac:dyDescent="0.25">
      <c r="A109" s="3"/>
      <c r="D109" s="61"/>
      <c r="E109" s="61"/>
      <c r="F109" s="61"/>
      <c r="G109" s="61"/>
      <c r="H109" s="61"/>
      <c r="I109" s="61"/>
      <c r="J109" s="61"/>
      <c r="K109" s="61"/>
      <c r="L109" s="61"/>
      <c r="M109" s="61"/>
      <c r="N109" s="61"/>
      <c r="O109" s="61"/>
      <c r="P109" s="61"/>
      <c r="Q109" s="61"/>
      <c r="R109" s="61"/>
      <c r="S109" s="61"/>
      <c r="T109" s="61"/>
      <c r="U109" s="61"/>
      <c r="V109" s="61"/>
      <c r="W109" s="61"/>
      <c r="X109" s="61"/>
      <c r="Y109" s="61"/>
      <c r="Z109" s="61"/>
      <c r="AA109" s="61"/>
      <c r="AB109" s="61"/>
      <c r="AC109" s="61"/>
      <c r="AD109" s="61"/>
      <c r="AE109" s="61"/>
      <c r="AF109" s="61"/>
      <c r="AG109" s="61"/>
      <c r="AH109" s="20"/>
    </row>
    <row r="110" spans="1:34" s="4" customFormat="1" ht="29.25" customHeight="1" thickBot="1" x14ac:dyDescent="0.3">
      <c r="A110" s="3"/>
      <c r="D110" s="59"/>
      <c r="E110" s="59"/>
      <c r="F110" s="59"/>
      <c r="G110" s="59"/>
      <c r="H110" s="59"/>
      <c r="I110" s="59"/>
      <c r="J110" s="59"/>
      <c r="K110" s="59"/>
      <c r="L110" s="59"/>
      <c r="M110" s="59"/>
      <c r="N110" s="59"/>
      <c r="O110" s="296" t="s">
        <v>36</v>
      </c>
      <c r="P110" s="296"/>
      <c r="Q110" s="296"/>
      <c r="R110" s="296"/>
      <c r="S110" s="296"/>
      <c r="T110" s="296" t="s">
        <v>46</v>
      </c>
      <c r="U110" s="296"/>
      <c r="V110" s="296"/>
      <c r="W110" s="296"/>
      <c r="X110" s="296"/>
      <c r="Y110" s="296" t="s">
        <v>38</v>
      </c>
      <c r="Z110" s="296"/>
      <c r="AA110" s="296"/>
      <c r="AB110" s="296"/>
      <c r="AC110" s="296"/>
      <c r="AD110" s="20"/>
      <c r="AE110" s="20"/>
      <c r="AF110" s="20"/>
      <c r="AG110" s="20"/>
      <c r="AH110" s="20"/>
    </row>
    <row r="111" spans="1:34" s="4" customFormat="1" ht="13.8" x14ac:dyDescent="0.25">
      <c r="A111" s="3"/>
      <c r="D111" s="321" t="s">
        <v>376</v>
      </c>
      <c r="E111" s="321"/>
      <c r="F111" s="321"/>
      <c r="G111" s="321"/>
      <c r="H111" s="321"/>
      <c r="I111" s="321"/>
      <c r="J111" s="321"/>
      <c r="K111" s="321"/>
      <c r="L111" s="321"/>
      <c r="M111" s="321"/>
      <c r="N111" s="321"/>
      <c r="O111" s="277">
        <v>50</v>
      </c>
      <c r="P111" s="277"/>
      <c r="Q111" s="277"/>
      <c r="R111" s="277"/>
      <c r="S111" s="277"/>
      <c r="T111" s="277">
        <v>2</v>
      </c>
      <c r="U111" s="277"/>
      <c r="V111" s="277"/>
      <c r="W111" s="277"/>
      <c r="X111" s="277"/>
      <c r="Y111" s="277" t="s">
        <v>40</v>
      </c>
      <c r="Z111" s="277"/>
      <c r="AA111" s="277"/>
      <c r="AB111" s="277"/>
      <c r="AC111" s="277"/>
      <c r="AD111" s="20"/>
      <c r="AE111" s="20"/>
      <c r="AF111" s="20"/>
      <c r="AG111" s="20"/>
      <c r="AH111" s="20"/>
    </row>
    <row r="112" spans="1:34" s="4" customFormat="1" ht="13.8" x14ac:dyDescent="0.25">
      <c r="A112" s="3"/>
      <c r="D112" s="321" t="s">
        <v>48</v>
      </c>
      <c r="E112" s="321"/>
      <c r="F112" s="321"/>
      <c r="G112" s="321"/>
      <c r="H112" s="321"/>
      <c r="I112" s="321"/>
      <c r="J112" s="321"/>
      <c r="K112" s="321"/>
      <c r="L112" s="321"/>
      <c r="M112" s="321"/>
      <c r="N112" s="321"/>
      <c r="O112" s="277" t="s">
        <v>49</v>
      </c>
      <c r="P112" s="277"/>
      <c r="Q112" s="277"/>
      <c r="R112" s="277"/>
      <c r="S112" s="277"/>
      <c r="T112" s="277" t="s">
        <v>50</v>
      </c>
      <c r="U112" s="277"/>
      <c r="V112" s="277"/>
      <c r="W112" s="277"/>
      <c r="X112" s="277"/>
      <c r="Y112" s="277" t="s">
        <v>40</v>
      </c>
      <c r="Z112" s="277"/>
      <c r="AA112" s="277"/>
      <c r="AB112" s="277"/>
      <c r="AC112" s="277"/>
      <c r="AD112" s="20"/>
      <c r="AE112" s="20"/>
      <c r="AF112" s="20"/>
      <c r="AG112" s="20"/>
      <c r="AH112" s="20"/>
    </row>
    <row r="113" spans="1:34" s="4" customFormat="1" ht="13.8" x14ac:dyDescent="0.25">
      <c r="A113" s="3"/>
      <c r="D113" s="321" t="s">
        <v>51</v>
      </c>
      <c r="E113" s="321"/>
      <c r="F113" s="321"/>
      <c r="G113" s="321"/>
      <c r="H113" s="321"/>
      <c r="I113" s="321"/>
      <c r="J113" s="321"/>
      <c r="K113" s="321"/>
      <c r="L113" s="321"/>
      <c r="M113" s="321"/>
      <c r="N113" s="321"/>
      <c r="O113" s="277">
        <v>4</v>
      </c>
      <c r="P113" s="277"/>
      <c r="Q113" s="277"/>
      <c r="R113" s="277"/>
      <c r="S113" s="277"/>
      <c r="T113" s="277">
        <v>25</v>
      </c>
      <c r="U113" s="277"/>
      <c r="V113" s="277"/>
      <c r="W113" s="277"/>
      <c r="X113" s="277"/>
      <c r="Y113" s="277" t="s">
        <v>40</v>
      </c>
      <c r="Z113" s="277"/>
      <c r="AA113" s="277"/>
      <c r="AB113" s="277"/>
      <c r="AC113" s="277"/>
      <c r="AD113" s="20"/>
      <c r="AE113" s="20"/>
      <c r="AF113" s="20"/>
      <c r="AG113" s="20"/>
      <c r="AH113" s="20"/>
    </row>
    <row r="114" spans="1:34" s="4" customFormat="1" ht="13.8" x14ac:dyDescent="0.25">
      <c r="A114" s="3"/>
      <c r="D114" s="321" t="s">
        <v>52</v>
      </c>
      <c r="E114" s="321"/>
      <c r="F114" s="321"/>
      <c r="G114" s="321"/>
      <c r="H114" s="321"/>
      <c r="I114" s="321"/>
      <c r="J114" s="321"/>
      <c r="K114" s="321"/>
      <c r="L114" s="321"/>
      <c r="M114" s="321"/>
      <c r="N114" s="321"/>
      <c r="O114" s="277" t="s">
        <v>49</v>
      </c>
      <c r="P114" s="277"/>
      <c r="Q114" s="277"/>
      <c r="R114" s="277"/>
      <c r="S114" s="277"/>
      <c r="T114" s="277" t="s">
        <v>50</v>
      </c>
      <c r="U114" s="277"/>
      <c r="V114" s="277"/>
      <c r="W114" s="277"/>
      <c r="X114" s="277"/>
      <c r="Y114" s="277" t="s">
        <v>40</v>
      </c>
      <c r="Z114" s="277"/>
      <c r="AA114" s="277"/>
      <c r="AB114" s="277"/>
      <c r="AC114" s="277"/>
      <c r="AD114" s="20"/>
      <c r="AE114" s="20"/>
      <c r="AF114" s="20"/>
      <c r="AG114" s="20"/>
      <c r="AH114" s="20"/>
    </row>
    <row r="115" spans="1:34" s="4" customFormat="1" ht="13.8" x14ac:dyDescent="0.25">
      <c r="A115" s="3"/>
      <c r="D115" s="325" t="s">
        <v>53</v>
      </c>
      <c r="E115" s="325"/>
      <c r="F115" s="325"/>
      <c r="G115" s="325"/>
      <c r="H115" s="325"/>
      <c r="I115" s="325"/>
      <c r="J115" s="325"/>
      <c r="K115" s="325"/>
      <c r="L115" s="325"/>
      <c r="M115" s="325"/>
      <c r="N115" s="325"/>
      <c r="O115" s="313" t="s">
        <v>54</v>
      </c>
      <c r="P115" s="313"/>
      <c r="Q115" s="313"/>
      <c r="R115" s="313"/>
      <c r="S115" s="313"/>
      <c r="T115" s="313" t="s">
        <v>55</v>
      </c>
      <c r="U115" s="313"/>
      <c r="V115" s="313"/>
      <c r="W115" s="313"/>
      <c r="X115" s="313"/>
      <c r="Y115" s="313" t="s">
        <v>40</v>
      </c>
      <c r="Z115" s="313"/>
      <c r="AA115" s="313"/>
      <c r="AB115" s="313"/>
      <c r="AC115" s="313"/>
      <c r="AD115" s="20"/>
      <c r="AE115" s="20"/>
      <c r="AF115" s="20"/>
      <c r="AG115" s="20"/>
      <c r="AH115" s="20"/>
    </row>
    <row r="116" spans="1:34" s="4" customFormat="1" ht="13.8" x14ac:dyDescent="0.25">
      <c r="A116" s="3"/>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row>
    <row r="117" spans="1:34" s="4" customFormat="1" ht="13.8" x14ac:dyDescent="0.25">
      <c r="A117" s="3"/>
      <c r="D117" s="281" t="s">
        <v>56</v>
      </c>
      <c r="E117" s="281"/>
      <c r="F117" s="281"/>
      <c r="G117" s="281"/>
      <c r="H117" s="281"/>
      <c r="I117" s="281"/>
      <c r="J117" s="281"/>
      <c r="K117" s="281"/>
      <c r="L117" s="281"/>
      <c r="M117" s="281"/>
      <c r="N117" s="281"/>
      <c r="O117" s="281"/>
      <c r="P117" s="281"/>
      <c r="Q117" s="281"/>
      <c r="R117" s="281"/>
      <c r="S117" s="281"/>
      <c r="T117" s="281"/>
      <c r="U117" s="281"/>
      <c r="V117" s="281"/>
      <c r="W117" s="281"/>
      <c r="X117" s="281"/>
      <c r="Y117" s="281"/>
      <c r="Z117" s="281"/>
      <c r="AA117" s="281"/>
      <c r="AB117" s="281"/>
      <c r="AC117" s="281"/>
      <c r="AD117" s="281"/>
      <c r="AE117" s="281"/>
      <c r="AF117" s="281"/>
      <c r="AG117" s="281"/>
      <c r="AH117" s="20"/>
    </row>
    <row r="118" spans="1:34" s="4" customFormat="1" ht="13.8" x14ac:dyDescent="0.25">
      <c r="A118" s="3"/>
      <c r="D118" s="281"/>
      <c r="E118" s="281"/>
      <c r="F118" s="281"/>
      <c r="G118" s="281"/>
      <c r="H118" s="281"/>
      <c r="I118" s="281"/>
      <c r="J118" s="281"/>
      <c r="K118" s="281"/>
      <c r="L118" s="281"/>
      <c r="M118" s="281"/>
      <c r="N118" s="281"/>
      <c r="O118" s="281"/>
      <c r="P118" s="281"/>
      <c r="Q118" s="281"/>
      <c r="R118" s="281"/>
      <c r="S118" s="281"/>
      <c r="T118" s="281"/>
      <c r="U118" s="281"/>
      <c r="V118" s="281"/>
      <c r="W118" s="281"/>
      <c r="X118" s="281"/>
      <c r="Y118" s="281"/>
      <c r="Z118" s="281"/>
      <c r="AA118" s="281"/>
      <c r="AB118" s="281"/>
      <c r="AC118" s="281"/>
      <c r="AD118" s="281"/>
      <c r="AE118" s="281"/>
      <c r="AF118" s="281"/>
      <c r="AG118" s="281"/>
      <c r="AH118" s="20"/>
    </row>
    <row r="119" spans="1:34" s="4" customFormat="1" ht="13.8" x14ac:dyDescent="0.25">
      <c r="A119" s="3"/>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row>
    <row r="120" spans="1:34" s="4" customFormat="1" ht="13.8" x14ac:dyDescent="0.25">
      <c r="A120" s="3"/>
      <c r="D120" s="41" t="s">
        <v>398</v>
      </c>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row>
    <row r="121" spans="1:34" s="4" customFormat="1" ht="13.8" x14ac:dyDescent="0.25">
      <c r="A121" s="3"/>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row>
    <row r="122" spans="1:34" s="4" customFormat="1" ht="13.8" x14ac:dyDescent="0.25">
      <c r="A122" s="3"/>
      <c r="D122" s="281" t="s">
        <v>57</v>
      </c>
      <c r="E122" s="281"/>
      <c r="F122" s="281"/>
      <c r="G122" s="281"/>
      <c r="H122" s="281"/>
      <c r="I122" s="281"/>
      <c r="J122" s="281"/>
      <c r="K122" s="281"/>
      <c r="L122" s="281"/>
      <c r="M122" s="281"/>
      <c r="N122" s="281"/>
      <c r="O122" s="281"/>
      <c r="P122" s="281"/>
      <c r="Q122" s="281"/>
      <c r="R122" s="281"/>
      <c r="S122" s="281"/>
      <c r="T122" s="281"/>
      <c r="U122" s="281"/>
      <c r="V122" s="281"/>
      <c r="W122" s="281"/>
      <c r="X122" s="281"/>
      <c r="Y122" s="281"/>
      <c r="Z122" s="281"/>
      <c r="AA122" s="281"/>
      <c r="AB122" s="281"/>
      <c r="AC122" s="281"/>
      <c r="AD122" s="281"/>
      <c r="AE122" s="281"/>
      <c r="AF122" s="281"/>
      <c r="AG122" s="281"/>
      <c r="AH122" s="20"/>
    </row>
    <row r="123" spans="1:34" s="4" customFormat="1" ht="13.8" x14ac:dyDescent="0.25">
      <c r="A123" s="3"/>
      <c r="D123" s="281"/>
      <c r="E123" s="281"/>
      <c r="F123" s="281"/>
      <c r="G123" s="281"/>
      <c r="H123" s="281"/>
      <c r="I123" s="281"/>
      <c r="J123" s="281"/>
      <c r="K123" s="281"/>
      <c r="L123" s="281"/>
      <c r="M123" s="281"/>
      <c r="N123" s="281"/>
      <c r="O123" s="281"/>
      <c r="P123" s="281"/>
      <c r="Q123" s="281"/>
      <c r="R123" s="281"/>
      <c r="S123" s="281"/>
      <c r="T123" s="281"/>
      <c r="U123" s="281"/>
      <c r="V123" s="281"/>
      <c r="W123" s="281"/>
      <c r="X123" s="281"/>
      <c r="Y123" s="281"/>
      <c r="Z123" s="281"/>
      <c r="AA123" s="281"/>
      <c r="AB123" s="281"/>
      <c r="AC123" s="281"/>
      <c r="AD123" s="281"/>
      <c r="AE123" s="281"/>
      <c r="AF123" s="281"/>
      <c r="AG123" s="281"/>
      <c r="AH123" s="20"/>
    </row>
    <row r="124" spans="1:34" s="4" customFormat="1" ht="13.8" x14ac:dyDescent="0.25">
      <c r="A124" s="3"/>
      <c r="D124" s="281"/>
      <c r="E124" s="281"/>
      <c r="F124" s="281"/>
      <c r="G124" s="281"/>
      <c r="H124" s="281"/>
      <c r="I124" s="281"/>
      <c r="J124" s="281"/>
      <c r="K124" s="281"/>
      <c r="L124" s="281"/>
      <c r="M124" s="281"/>
      <c r="N124" s="281"/>
      <c r="O124" s="281"/>
      <c r="P124" s="281"/>
      <c r="Q124" s="281"/>
      <c r="R124" s="281"/>
      <c r="S124" s="281"/>
      <c r="T124" s="281"/>
      <c r="U124" s="281"/>
      <c r="V124" s="281"/>
      <c r="W124" s="281"/>
      <c r="X124" s="281"/>
      <c r="Y124" s="281"/>
      <c r="Z124" s="281"/>
      <c r="AA124" s="281"/>
      <c r="AB124" s="281"/>
      <c r="AC124" s="281"/>
      <c r="AD124" s="281"/>
      <c r="AE124" s="281"/>
      <c r="AF124" s="281"/>
      <c r="AG124" s="281"/>
      <c r="AH124" s="20"/>
    </row>
    <row r="125" spans="1:34" s="4" customFormat="1" ht="13.8" x14ac:dyDescent="0.25">
      <c r="A125" s="3"/>
      <c r="D125" s="281"/>
      <c r="E125" s="281"/>
      <c r="F125" s="281"/>
      <c r="G125" s="281"/>
      <c r="H125" s="281"/>
      <c r="I125" s="281"/>
      <c r="J125" s="281"/>
      <c r="K125" s="281"/>
      <c r="L125" s="281"/>
      <c r="M125" s="281"/>
      <c r="N125" s="281"/>
      <c r="O125" s="281"/>
      <c r="P125" s="281"/>
      <c r="Q125" s="281"/>
      <c r="R125" s="281"/>
      <c r="S125" s="281"/>
      <c r="T125" s="281"/>
      <c r="U125" s="281"/>
      <c r="V125" s="281"/>
      <c r="W125" s="281"/>
      <c r="X125" s="281"/>
      <c r="Y125" s="281"/>
      <c r="Z125" s="281"/>
      <c r="AA125" s="281"/>
      <c r="AB125" s="281"/>
      <c r="AC125" s="281"/>
      <c r="AD125" s="281"/>
      <c r="AE125" s="281"/>
      <c r="AF125" s="281"/>
      <c r="AG125" s="281"/>
      <c r="AH125" s="20"/>
    </row>
    <row r="126" spans="1:34" s="4" customFormat="1" ht="13.8" x14ac:dyDescent="0.25">
      <c r="A126" s="3"/>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row>
    <row r="127" spans="1:34" s="4" customFormat="1" ht="13.8" x14ac:dyDescent="0.25">
      <c r="A127" s="3"/>
      <c r="D127" s="323" t="s">
        <v>675</v>
      </c>
      <c r="E127" s="324"/>
      <c r="F127" s="324"/>
      <c r="G127" s="324"/>
      <c r="H127" s="324"/>
      <c r="I127" s="324"/>
      <c r="J127" s="324"/>
      <c r="K127" s="324"/>
      <c r="L127" s="324"/>
      <c r="M127" s="324"/>
      <c r="N127" s="324"/>
      <c r="O127" s="324"/>
      <c r="P127" s="324"/>
      <c r="Q127" s="324"/>
      <c r="R127" s="324"/>
      <c r="S127" s="324"/>
      <c r="T127" s="324"/>
      <c r="U127" s="324"/>
      <c r="V127" s="324"/>
      <c r="W127" s="324"/>
      <c r="X127" s="324"/>
      <c r="Y127" s="324"/>
      <c r="Z127" s="324"/>
      <c r="AA127" s="324"/>
      <c r="AB127" s="324"/>
      <c r="AC127" s="324"/>
      <c r="AD127" s="324"/>
      <c r="AE127" s="324"/>
      <c r="AF127" s="324"/>
      <c r="AG127" s="324"/>
      <c r="AH127" s="20"/>
    </row>
    <row r="128" spans="1:34" s="4" customFormat="1" ht="13.8" x14ac:dyDescent="0.25">
      <c r="A128" s="3"/>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row>
    <row r="129" spans="1:34" s="4" customFormat="1" ht="13.8" x14ac:dyDescent="0.25">
      <c r="A129" s="3"/>
      <c r="D129" s="41" t="s">
        <v>399</v>
      </c>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row>
    <row r="130" spans="1:34" s="4" customFormat="1" ht="13.8" x14ac:dyDescent="0.25">
      <c r="A130" s="3"/>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row>
    <row r="131" spans="1:34" s="4" customFormat="1" ht="13.8" x14ac:dyDescent="0.25">
      <c r="A131" s="3"/>
      <c r="D131" s="281" t="s">
        <v>58</v>
      </c>
      <c r="E131" s="281"/>
      <c r="F131" s="281"/>
      <c r="G131" s="281"/>
      <c r="H131" s="281"/>
      <c r="I131" s="281"/>
      <c r="J131" s="281"/>
      <c r="K131" s="281"/>
      <c r="L131" s="281"/>
      <c r="M131" s="281"/>
      <c r="N131" s="281"/>
      <c r="O131" s="281"/>
      <c r="P131" s="281"/>
      <c r="Q131" s="281"/>
      <c r="R131" s="281"/>
      <c r="S131" s="281"/>
      <c r="T131" s="281"/>
      <c r="U131" s="281"/>
      <c r="V131" s="281"/>
      <c r="W131" s="281"/>
      <c r="X131" s="281"/>
      <c r="Y131" s="281"/>
      <c r="Z131" s="281"/>
      <c r="AA131" s="281"/>
      <c r="AB131" s="281"/>
      <c r="AC131" s="281"/>
      <c r="AD131" s="281"/>
      <c r="AE131" s="281"/>
      <c r="AF131" s="281"/>
      <c r="AG131" s="281"/>
      <c r="AH131" s="20"/>
    </row>
    <row r="132" spans="1:34" s="4" customFormat="1" ht="13.8" x14ac:dyDescent="0.25">
      <c r="A132" s="3"/>
      <c r="D132" s="281"/>
      <c r="E132" s="281"/>
      <c r="F132" s="281"/>
      <c r="G132" s="281"/>
      <c r="H132" s="281"/>
      <c r="I132" s="281"/>
      <c r="J132" s="281"/>
      <c r="K132" s="281"/>
      <c r="L132" s="281"/>
      <c r="M132" s="281"/>
      <c r="N132" s="281"/>
      <c r="O132" s="281"/>
      <c r="P132" s="281"/>
      <c r="Q132" s="281"/>
      <c r="R132" s="281"/>
      <c r="S132" s="281"/>
      <c r="T132" s="281"/>
      <c r="U132" s="281"/>
      <c r="V132" s="281"/>
      <c r="W132" s="281"/>
      <c r="X132" s="281"/>
      <c r="Y132" s="281"/>
      <c r="Z132" s="281"/>
      <c r="AA132" s="281"/>
      <c r="AB132" s="281"/>
      <c r="AC132" s="281"/>
      <c r="AD132" s="281"/>
      <c r="AE132" s="281"/>
      <c r="AF132" s="281"/>
      <c r="AG132" s="281"/>
      <c r="AH132" s="20"/>
    </row>
    <row r="133" spans="1:34" s="4" customFormat="1" ht="13.8" x14ac:dyDescent="0.25">
      <c r="A133" s="3"/>
      <c r="D133" s="281"/>
      <c r="E133" s="281"/>
      <c r="F133" s="281"/>
      <c r="G133" s="281"/>
      <c r="H133" s="281"/>
      <c r="I133" s="281"/>
      <c r="J133" s="281"/>
      <c r="K133" s="281"/>
      <c r="L133" s="281"/>
      <c r="M133" s="281"/>
      <c r="N133" s="281"/>
      <c r="O133" s="281"/>
      <c r="P133" s="281"/>
      <c r="Q133" s="281"/>
      <c r="R133" s="281"/>
      <c r="S133" s="281"/>
      <c r="T133" s="281"/>
      <c r="U133" s="281"/>
      <c r="V133" s="281"/>
      <c r="W133" s="281"/>
      <c r="X133" s="281"/>
      <c r="Y133" s="281"/>
      <c r="Z133" s="281"/>
      <c r="AA133" s="281"/>
      <c r="AB133" s="281"/>
      <c r="AC133" s="281"/>
      <c r="AD133" s="281"/>
      <c r="AE133" s="281"/>
      <c r="AF133" s="281"/>
      <c r="AG133" s="281"/>
      <c r="AH133" s="20"/>
    </row>
    <row r="134" spans="1:34" s="4" customFormat="1" ht="13.8" x14ac:dyDescent="0.25">
      <c r="A134" s="3"/>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row>
    <row r="135" spans="1:34" s="4" customFormat="1" ht="13.8" x14ac:dyDescent="0.25">
      <c r="A135" s="3"/>
      <c r="D135" s="281" t="s">
        <v>377</v>
      </c>
      <c r="E135" s="281"/>
      <c r="F135" s="281"/>
      <c r="G135" s="281"/>
      <c r="H135" s="281"/>
      <c r="I135" s="281"/>
      <c r="J135" s="281"/>
      <c r="K135" s="281"/>
      <c r="L135" s="281"/>
      <c r="M135" s="281"/>
      <c r="N135" s="281"/>
      <c r="O135" s="281"/>
      <c r="P135" s="281"/>
      <c r="Q135" s="281"/>
      <c r="R135" s="281"/>
      <c r="S135" s="281"/>
      <c r="T135" s="281"/>
      <c r="U135" s="281"/>
      <c r="V135" s="281"/>
      <c r="W135" s="281"/>
      <c r="X135" s="281"/>
      <c r="Y135" s="281"/>
      <c r="Z135" s="281"/>
      <c r="AA135" s="281"/>
      <c r="AB135" s="281"/>
      <c r="AC135" s="281"/>
      <c r="AD135" s="281"/>
      <c r="AE135" s="281"/>
      <c r="AF135" s="281"/>
      <c r="AG135" s="281"/>
      <c r="AH135" s="20"/>
    </row>
    <row r="136" spans="1:34" s="4" customFormat="1" ht="13.8" x14ac:dyDescent="0.25">
      <c r="A136" s="3"/>
      <c r="D136" s="281"/>
      <c r="E136" s="281"/>
      <c r="F136" s="281"/>
      <c r="G136" s="281"/>
      <c r="H136" s="281"/>
      <c r="I136" s="281"/>
      <c r="J136" s="281"/>
      <c r="K136" s="281"/>
      <c r="L136" s="281"/>
      <c r="M136" s="281"/>
      <c r="N136" s="281"/>
      <c r="O136" s="281"/>
      <c r="P136" s="281"/>
      <c r="Q136" s="281"/>
      <c r="R136" s="281"/>
      <c r="S136" s="281"/>
      <c r="T136" s="281"/>
      <c r="U136" s="281"/>
      <c r="V136" s="281"/>
      <c r="W136" s="281"/>
      <c r="X136" s="281"/>
      <c r="Y136" s="281"/>
      <c r="Z136" s="281"/>
      <c r="AA136" s="281"/>
      <c r="AB136" s="281"/>
      <c r="AC136" s="281"/>
      <c r="AD136" s="281"/>
      <c r="AE136" s="281"/>
      <c r="AF136" s="281"/>
      <c r="AG136" s="281"/>
      <c r="AH136" s="20"/>
    </row>
    <row r="137" spans="1:34" s="4" customFormat="1" ht="13.8" x14ac:dyDescent="0.25">
      <c r="A137" s="3"/>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row>
    <row r="138" spans="1:34" s="4" customFormat="1" ht="13.8" x14ac:dyDescent="0.25">
      <c r="A138" s="3"/>
      <c r="D138" s="41" t="s">
        <v>400</v>
      </c>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row>
    <row r="139" spans="1:34" s="4" customFormat="1" ht="13.8" x14ac:dyDescent="0.25">
      <c r="A139" s="3"/>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row>
    <row r="140" spans="1:34" s="4" customFormat="1" ht="13.8" x14ac:dyDescent="0.25">
      <c r="A140" s="3"/>
      <c r="D140" s="281" t="s">
        <v>59</v>
      </c>
      <c r="E140" s="281"/>
      <c r="F140" s="281"/>
      <c r="G140" s="281"/>
      <c r="H140" s="281"/>
      <c r="I140" s="281"/>
      <c r="J140" s="281"/>
      <c r="K140" s="281"/>
      <c r="L140" s="281"/>
      <c r="M140" s="281"/>
      <c r="N140" s="281"/>
      <c r="O140" s="281"/>
      <c r="P140" s="281"/>
      <c r="Q140" s="281"/>
      <c r="R140" s="281"/>
      <c r="S140" s="281"/>
      <c r="T140" s="281"/>
      <c r="U140" s="281"/>
      <c r="V140" s="281"/>
      <c r="W140" s="281"/>
      <c r="X140" s="281"/>
      <c r="Y140" s="281"/>
      <c r="Z140" s="281"/>
      <c r="AA140" s="281"/>
      <c r="AB140" s="281"/>
      <c r="AC140" s="281"/>
      <c r="AD140" s="281"/>
      <c r="AE140" s="281"/>
      <c r="AF140" s="281"/>
      <c r="AG140" s="281"/>
      <c r="AH140" s="20"/>
    </row>
    <row r="141" spans="1:34" s="4" customFormat="1" ht="13.8" x14ac:dyDescent="0.25">
      <c r="A141" s="3"/>
      <c r="D141" s="281"/>
      <c r="E141" s="281"/>
      <c r="F141" s="281"/>
      <c r="G141" s="281"/>
      <c r="H141" s="281"/>
      <c r="I141" s="281"/>
      <c r="J141" s="281"/>
      <c r="K141" s="281"/>
      <c r="L141" s="281"/>
      <c r="M141" s="281"/>
      <c r="N141" s="281"/>
      <c r="O141" s="281"/>
      <c r="P141" s="281"/>
      <c r="Q141" s="281"/>
      <c r="R141" s="281"/>
      <c r="S141" s="281"/>
      <c r="T141" s="281"/>
      <c r="U141" s="281"/>
      <c r="V141" s="281"/>
      <c r="W141" s="281"/>
      <c r="X141" s="281"/>
      <c r="Y141" s="281"/>
      <c r="Z141" s="281"/>
      <c r="AA141" s="281"/>
      <c r="AB141" s="281"/>
      <c r="AC141" s="281"/>
      <c r="AD141" s="281"/>
      <c r="AE141" s="281"/>
      <c r="AF141" s="281"/>
      <c r="AG141" s="281"/>
      <c r="AH141" s="20"/>
    </row>
    <row r="142" spans="1:34" s="4" customFormat="1" ht="13.8" x14ac:dyDescent="0.25">
      <c r="A142" s="3"/>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row>
    <row r="143" spans="1:34" s="4" customFormat="1" ht="13.8" x14ac:dyDescent="0.25">
      <c r="A143" s="3"/>
      <c r="D143" s="41" t="s">
        <v>401</v>
      </c>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row>
    <row r="144" spans="1:34" s="4" customFormat="1" ht="13.8" x14ac:dyDescent="0.25">
      <c r="A144" s="3"/>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row>
    <row r="145" spans="1:34" s="4" customFormat="1" ht="13.8" x14ac:dyDescent="0.25">
      <c r="A145" s="3"/>
      <c r="D145" s="281" t="s">
        <v>378</v>
      </c>
      <c r="E145" s="281"/>
      <c r="F145" s="281"/>
      <c r="G145" s="281"/>
      <c r="H145" s="281"/>
      <c r="I145" s="281"/>
      <c r="J145" s="281"/>
      <c r="K145" s="281"/>
      <c r="L145" s="281"/>
      <c r="M145" s="281"/>
      <c r="N145" s="281"/>
      <c r="O145" s="281"/>
      <c r="P145" s="281"/>
      <c r="Q145" s="281"/>
      <c r="R145" s="281"/>
      <c r="S145" s="281"/>
      <c r="T145" s="281"/>
      <c r="U145" s="281"/>
      <c r="V145" s="281"/>
      <c r="W145" s="281"/>
      <c r="X145" s="281"/>
      <c r="Y145" s="281"/>
      <c r="Z145" s="281"/>
      <c r="AA145" s="281"/>
      <c r="AB145" s="281"/>
      <c r="AC145" s="281"/>
      <c r="AD145" s="281"/>
      <c r="AE145" s="281"/>
      <c r="AF145" s="281"/>
      <c r="AG145" s="281"/>
      <c r="AH145" s="20"/>
    </row>
    <row r="146" spans="1:34" s="4" customFormat="1" ht="13.8" x14ac:dyDescent="0.25">
      <c r="A146" s="3"/>
      <c r="D146" s="281" t="s">
        <v>60</v>
      </c>
      <c r="E146" s="281"/>
      <c r="F146" s="281"/>
      <c r="G146" s="281"/>
      <c r="H146" s="281"/>
      <c r="I146" s="281"/>
      <c r="J146" s="281"/>
      <c r="K146" s="281"/>
      <c r="L146" s="281"/>
      <c r="M146" s="281"/>
      <c r="N146" s="281"/>
      <c r="O146" s="281"/>
      <c r="P146" s="281"/>
      <c r="Q146" s="281"/>
      <c r="R146" s="281"/>
      <c r="S146" s="281"/>
      <c r="T146" s="281"/>
      <c r="U146" s="281"/>
      <c r="V146" s="281"/>
      <c r="W146" s="281"/>
      <c r="X146" s="281"/>
      <c r="Y146" s="281"/>
      <c r="Z146" s="281"/>
      <c r="AA146" s="281"/>
      <c r="AB146" s="281"/>
      <c r="AC146" s="281"/>
      <c r="AD146" s="281"/>
      <c r="AE146" s="281"/>
      <c r="AF146" s="281"/>
      <c r="AG146" s="281"/>
      <c r="AH146" s="20"/>
    </row>
    <row r="147" spans="1:34" s="4" customFormat="1" ht="13.8" x14ac:dyDescent="0.25">
      <c r="A147" s="3"/>
      <c r="D147" s="281"/>
      <c r="E147" s="281"/>
      <c r="F147" s="281"/>
      <c r="G147" s="281"/>
      <c r="H147" s="281"/>
      <c r="I147" s="281"/>
      <c r="J147" s="281"/>
      <c r="K147" s="281"/>
      <c r="L147" s="281"/>
      <c r="M147" s="281"/>
      <c r="N147" s="281"/>
      <c r="O147" s="281"/>
      <c r="P147" s="281"/>
      <c r="Q147" s="281"/>
      <c r="R147" s="281"/>
      <c r="S147" s="281"/>
      <c r="T147" s="281"/>
      <c r="U147" s="281"/>
      <c r="V147" s="281"/>
      <c r="W147" s="281"/>
      <c r="X147" s="281"/>
      <c r="Y147" s="281"/>
      <c r="Z147" s="281"/>
      <c r="AA147" s="281"/>
      <c r="AB147" s="281"/>
      <c r="AC147" s="281"/>
      <c r="AD147" s="281"/>
      <c r="AE147" s="281"/>
      <c r="AF147" s="281"/>
      <c r="AG147" s="281"/>
      <c r="AH147" s="20"/>
    </row>
    <row r="148" spans="1:34" s="4" customFormat="1" ht="13.8" x14ac:dyDescent="0.25">
      <c r="A148" s="3"/>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row>
    <row r="149" spans="1:34" s="4" customFormat="1" ht="13.8" x14ac:dyDescent="0.25">
      <c r="A149" s="3"/>
      <c r="D149" s="41" t="s">
        <v>402</v>
      </c>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row>
    <row r="150" spans="1:34" s="4" customFormat="1" ht="13.8" x14ac:dyDescent="0.25">
      <c r="A150" s="3"/>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row>
    <row r="151" spans="1:34" s="4" customFormat="1" ht="13.8" x14ac:dyDescent="0.25">
      <c r="A151" s="3"/>
      <c r="D151" s="281" t="s">
        <v>61</v>
      </c>
      <c r="E151" s="281"/>
      <c r="F151" s="281"/>
      <c r="G151" s="281"/>
      <c r="H151" s="281"/>
      <c r="I151" s="281"/>
      <c r="J151" s="281"/>
      <c r="K151" s="281"/>
      <c r="L151" s="281"/>
      <c r="M151" s="281"/>
      <c r="N151" s="281"/>
      <c r="O151" s="281"/>
      <c r="P151" s="281"/>
      <c r="Q151" s="281"/>
      <c r="R151" s="281"/>
      <c r="S151" s="281"/>
      <c r="T151" s="281"/>
      <c r="U151" s="281"/>
      <c r="V151" s="281"/>
      <c r="W151" s="281"/>
      <c r="X151" s="281"/>
      <c r="Y151" s="281"/>
      <c r="Z151" s="281"/>
      <c r="AA151" s="281"/>
      <c r="AB151" s="281"/>
      <c r="AC151" s="281"/>
      <c r="AD151" s="281"/>
      <c r="AE151" s="281"/>
      <c r="AF151" s="281"/>
      <c r="AG151" s="281"/>
      <c r="AH151" s="20"/>
    </row>
    <row r="152" spans="1:34" s="4" customFormat="1" ht="13.8" x14ac:dyDescent="0.25">
      <c r="A152" s="3"/>
      <c r="D152" s="281"/>
      <c r="E152" s="281"/>
      <c r="F152" s="281"/>
      <c r="G152" s="281"/>
      <c r="H152" s="281"/>
      <c r="I152" s="281"/>
      <c r="J152" s="281"/>
      <c r="K152" s="281"/>
      <c r="L152" s="281"/>
      <c r="M152" s="281"/>
      <c r="N152" s="281"/>
      <c r="O152" s="281"/>
      <c r="P152" s="281"/>
      <c r="Q152" s="281"/>
      <c r="R152" s="281"/>
      <c r="S152" s="281"/>
      <c r="T152" s="281"/>
      <c r="U152" s="281"/>
      <c r="V152" s="281"/>
      <c r="W152" s="281"/>
      <c r="X152" s="281"/>
      <c r="Y152" s="281"/>
      <c r="Z152" s="281"/>
      <c r="AA152" s="281"/>
      <c r="AB152" s="281"/>
      <c r="AC152" s="281"/>
      <c r="AD152" s="281"/>
      <c r="AE152" s="281"/>
      <c r="AF152" s="281"/>
      <c r="AG152" s="281"/>
      <c r="AH152" s="20"/>
    </row>
    <row r="153" spans="1:34" s="4" customFormat="1" ht="13.8" x14ac:dyDescent="0.25">
      <c r="A153" s="3"/>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row>
    <row r="154" spans="1:34" s="4" customFormat="1" ht="13.8" x14ac:dyDescent="0.25">
      <c r="A154" s="3"/>
      <c r="D154" s="281" t="s">
        <v>62</v>
      </c>
      <c r="E154" s="281"/>
      <c r="F154" s="281"/>
      <c r="G154" s="281"/>
      <c r="H154" s="281"/>
      <c r="I154" s="281"/>
      <c r="J154" s="281"/>
      <c r="K154" s="281"/>
      <c r="L154" s="281"/>
      <c r="M154" s="281"/>
      <c r="N154" s="281"/>
      <c r="O154" s="281"/>
      <c r="P154" s="281"/>
      <c r="Q154" s="281"/>
      <c r="R154" s="281"/>
      <c r="S154" s="281"/>
      <c r="T154" s="281"/>
      <c r="U154" s="281"/>
      <c r="V154" s="281"/>
      <c r="W154" s="281"/>
      <c r="X154" s="281"/>
      <c r="Y154" s="281"/>
      <c r="Z154" s="281"/>
      <c r="AA154" s="281"/>
      <c r="AB154" s="281"/>
      <c r="AC154" s="281"/>
      <c r="AD154" s="281"/>
      <c r="AE154" s="281"/>
      <c r="AF154" s="281"/>
      <c r="AG154" s="281"/>
      <c r="AH154" s="20"/>
    </row>
    <row r="155" spans="1:34" s="4" customFormat="1" ht="13.8" x14ac:dyDescent="0.25">
      <c r="A155" s="3"/>
      <c r="D155" s="281"/>
      <c r="E155" s="281"/>
      <c r="F155" s="281"/>
      <c r="G155" s="281"/>
      <c r="H155" s="281"/>
      <c r="I155" s="281"/>
      <c r="J155" s="281"/>
      <c r="K155" s="281"/>
      <c r="L155" s="281"/>
      <c r="M155" s="281"/>
      <c r="N155" s="281"/>
      <c r="O155" s="281"/>
      <c r="P155" s="281"/>
      <c r="Q155" s="281"/>
      <c r="R155" s="281"/>
      <c r="S155" s="281"/>
      <c r="T155" s="281"/>
      <c r="U155" s="281"/>
      <c r="V155" s="281"/>
      <c r="W155" s="281"/>
      <c r="X155" s="281"/>
      <c r="Y155" s="281"/>
      <c r="Z155" s="281"/>
      <c r="AA155" s="281"/>
      <c r="AB155" s="281"/>
      <c r="AC155" s="281"/>
      <c r="AD155" s="281"/>
      <c r="AE155" s="281"/>
      <c r="AF155" s="281"/>
      <c r="AG155" s="281"/>
      <c r="AH155" s="20"/>
    </row>
    <row r="156" spans="1:34" s="4" customFormat="1" ht="13.8" x14ac:dyDescent="0.25">
      <c r="A156" s="3"/>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row>
    <row r="157" spans="1:34" s="4" customFormat="1" ht="13.8" x14ac:dyDescent="0.25">
      <c r="A157" s="3"/>
      <c r="D157" s="41" t="s">
        <v>403</v>
      </c>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row>
    <row r="158" spans="1:34" s="4" customFormat="1" ht="13.8" x14ac:dyDescent="0.25">
      <c r="A158" s="3"/>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row>
    <row r="159" spans="1:34" s="4" customFormat="1" ht="13.8" x14ac:dyDescent="0.25">
      <c r="A159" s="3"/>
      <c r="D159" s="281" t="s">
        <v>63</v>
      </c>
      <c r="E159" s="281"/>
      <c r="F159" s="281"/>
      <c r="G159" s="281"/>
      <c r="H159" s="281"/>
      <c r="I159" s="281"/>
      <c r="J159" s="281"/>
      <c r="K159" s="281"/>
      <c r="L159" s="281"/>
      <c r="M159" s="281"/>
      <c r="N159" s="281"/>
      <c r="O159" s="281"/>
      <c r="P159" s="281"/>
      <c r="Q159" s="281"/>
      <c r="R159" s="281"/>
      <c r="S159" s="281"/>
      <c r="T159" s="281"/>
      <c r="U159" s="281"/>
      <c r="V159" s="281"/>
      <c r="W159" s="281"/>
      <c r="X159" s="281"/>
      <c r="Y159" s="281"/>
      <c r="Z159" s="281"/>
      <c r="AA159" s="281"/>
      <c r="AB159" s="281"/>
      <c r="AC159" s="281"/>
      <c r="AD159" s="281"/>
      <c r="AE159" s="281"/>
      <c r="AF159" s="281"/>
      <c r="AG159" s="281"/>
      <c r="AH159" s="20"/>
    </row>
    <row r="160" spans="1:34" s="4" customFormat="1" ht="13.8" x14ac:dyDescent="0.25">
      <c r="A160" s="3"/>
      <c r="D160" s="281"/>
      <c r="E160" s="281"/>
      <c r="F160" s="281"/>
      <c r="G160" s="281"/>
      <c r="H160" s="281"/>
      <c r="I160" s="281"/>
      <c r="J160" s="281"/>
      <c r="K160" s="281"/>
      <c r="L160" s="281"/>
      <c r="M160" s="281"/>
      <c r="N160" s="281"/>
      <c r="O160" s="281"/>
      <c r="P160" s="281"/>
      <c r="Q160" s="281"/>
      <c r="R160" s="281"/>
      <c r="S160" s="281"/>
      <c r="T160" s="281"/>
      <c r="U160" s="281"/>
      <c r="V160" s="281"/>
      <c r="W160" s="281"/>
      <c r="X160" s="281"/>
      <c r="Y160" s="281"/>
      <c r="Z160" s="281"/>
      <c r="AA160" s="281"/>
      <c r="AB160" s="281"/>
      <c r="AC160" s="281"/>
      <c r="AD160" s="281"/>
      <c r="AE160" s="281"/>
      <c r="AF160" s="281"/>
      <c r="AG160" s="281"/>
      <c r="AH160" s="20"/>
    </row>
    <row r="161" spans="1:34" s="4" customFormat="1" ht="13.8" x14ac:dyDescent="0.25">
      <c r="A161" s="3"/>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row>
    <row r="162" spans="1:34" s="4" customFormat="1" ht="13.8" x14ac:dyDescent="0.25">
      <c r="A162" s="3"/>
      <c r="D162" s="41" t="s">
        <v>404</v>
      </c>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row>
    <row r="163" spans="1:34" s="4" customFormat="1" ht="13.8" x14ac:dyDescent="0.25">
      <c r="A163" s="3"/>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row>
    <row r="164" spans="1:34" s="4" customFormat="1" ht="13.8" x14ac:dyDescent="0.25">
      <c r="A164" s="3"/>
      <c r="D164" s="281" t="s">
        <v>379</v>
      </c>
      <c r="E164" s="281"/>
      <c r="F164" s="281"/>
      <c r="G164" s="281"/>
      <c r="H164" s="281"/>
      <c r="I164" s="281"/>
      <c r="J164" s="281"/>
      <c r="K164" s="281"/>
      <c r="L164" s="281"/>
      <c r="M164" s="281"/>
      <c r="N164" s="281"/>
      <c r="O164" s="281"/>
      <c r="P164" s="281"/>
      <c r="Q164" s="281"/>
      <c r="R164" s="281"/>
      <c r="S164" s="281"/>
      <c r="T164" s="281"/>
      <c r="U164" s="281"/>
      <c r="V164" s="281"/>
      <c r="W164" s="281"/>
      <c r="X164" s="281"/>
      <c r="Y164" s="281"/>
      <c r="Z164" s="281"/>
      <c r="AA164" s="281"/>
      <c r="AB164" s="281"/>
      <c r="AC164" s="281"/>
      <c r="AD164" s="281"/>
      <c r="AE164" s="281"/>
      <c r="AF164" s="281"/>
      <c r="AG164" s="281"/>
      <c r="AH164" s="20"/>
    </row>
    <row r="165" spans="1:34" s="4" customFormat="1" ht="13.8" x14ac:dyDescent="0.25">
      <c r="A165" s="3"/>
      <c r="D165" s="281"/>
      <c r="E165" s="281"/>
      <c r="F165" s="281"/>
      <c r="G165" s="281"/>
      <c r="H165" s="281"/>
      <c r="I165" s="281"/>
      <c r="J165" s="281"/>
      <c r="K165" s="281"/>
      <c r="L165" s="281"/>
      <c r="M165" s="281"/>
      <c r="N165" s="281"/>
      <c r="O165" s="281"/>
      <c r="P165" s="281"/>
      <c r="Q165" s="281"/>
      <c r="R165" s="281"/>
      <c r="S165" s="281"/>
      <c r="T165" s="281"/>
      <c r="U165" s="281"/>
      <c r="V165" s="281"/>
      <c r="W165" s="281"/>
      <c r="X165" s="281"/>
      <c r="Y165" s="281"/>
      <c r="Z165" s="281"/>
      <c r="AA165" s="281"/>
      <c r="AB165" s="281"/>
      <c r="AC165" s="281"/>
      <c r="AD165" s="281"/>
      <c r="AE165" s="281"/>
      <c r="AF165" s="281"/>
      <c r="AG165" s="281"/>
      <c r="AH165" s="20"/>
    </row>
    <row r="166" spans="1:34" s="4" customFormat="1" ht="13.8" x14ac:dyDescent="0.25">
      <c r="A166" s="3"/>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row>
    <row r="167" spans="1:34" s="4" customFormat="1" ht="13.8" x14ac:dyDescent="0.25">
      <c r="A167" s="3"/>
      <c r="D167" s="208" t="s">
        <v>667</v>
      </c>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C167" s="281"/>
      <c r="AD167" s="281"/>
      <c r="AE167" s="281"/>
      <c r="AF167" s="281"/>
      <c r="AG167" s="281"/>
      <c r="AH167" s="20"/>
    </row>
    <row r="168" spans="1:34" s="4" customFormat="1" ht="13.8" x14ac:dyDescent="0.25">
      <c r="A168" s="3"/>
      <c r="D168" s="281"/>
      <c r="E168" s="281"/>
      <c r="F168" s="281"/>
      <c r="G168" s="281"/>
      <c r="H168" s="281"/>
      <c r="I168" s="281"/>
      <c r="J168" s="281"/>
      <c r="K168" s="281"/>
      <c r="L168" s="281"/>
      <c r="M168" s="281"/>
      <c r="N168" s="281"/>
      <c r="O168" s="281"/>
      <c r="P168" s="281"/>
      <c r="Q168" s="281"/>
      <c r="R168" s="281"/>
      <c r="S168" s="281"/>
      <c r="T168" s="281"/>
      <c r="U168" s="281"/>
      <c r="V168" s="281"/>
      <c r="W168" s="281"/>
      <c r="X168" s="281"/>
      <c r="Y168" s="281"/>
      <c r="Z168" s="281"/>
      <c r="AA168" s="281"/>
      <c r="AB168" s="281"/>
      <c r="AC168" s="281"/>
      <c r="AD168" s="281"/>
      <c r="AE168" s="281"/>
      <c r="AF168" s="281"/>
      <c r="AG168" s="281"/>
      <c r="AH168" s="20"/>
    </row>
    <row r="169" spans="1:34" s="4" customFormat="1" ht="13.8" x14ac:dyDescent="0.25">
      <c r="A169" s="3"/>
      <c r="D169" s="281"/>
      <c r="E169" s="281"/>
      <c r="F169" s="281"/>
      <c r="G169" s="281"/>
      <c r="H169" s="281"/>
      <c r="I169" s="281"/>
      <c r="J169" s="281"/>
      <c r="K169" s="281"/>
      <c r="L169" s="281"/>
      <c r="M169" s="281"/>
      <c r="N169" s="281"/>
      <c r="O169" s="281"/>
      <c r="P169" s="281"/>
      <c r="Q169" s="281"/>
      <c r="R169" s="281"/>
      <c r="S169" s="281"/>
      <c r="T169" s="281"/>
      <c r="U169" s="281"/>
      <c r="V169" s="281"/>
      <c r="W169" s="281"/>
      <c r="X169" s="281"/>
      <c r="Y169" s="281"/>
      <c r="Z169" s="281"/>
      <c r="AA169" s="281"/>
      <c r="AB169" s="281"/>
      <c r="AC169" s="281"/>
      <c r="AD169" s="281"/>
      <c r="AE169" s="281"/>
      <c r="AF169" s="281"/>
      <c r="AG169" s="281"/>
      <c r="AH169" s="20"/>
    </row>
    <row r="170" spans="1:34" s="4" customFormat="1" ht="13.8" x14ac:dyDescent="0.25">
      <c r="A170" s="3"/>
      <c r="D170" s="281"/>
      <c r="E170" s="281"/>
      <c r="F170" s="281"/>
      <c r="G170" s="281"/>
      <c r="H170" s="281"/>
      <c r="I170" s="281"/>
      <c r="J170" s="281"/>
      <c r="K170" s="281"/>
      <c r="L170" s="281"/>
      <c r="M170" s="281"/>
      <c r="N170" s="281"/>
      <c r="O170" s="281"/>
      <c r="P170" s="281"/>
      <c r="Q170" s="281"/>
      <c r="R170" s="281"/>
      <c r="S170" s="281"/>
      <c r="T170" s="281"/>
      <c r="U170" s="281"/>
      <c r="V170" s="281"/>
      <c r="W170" s="281"/>
      <c r="X170" s="281"/>
      <c r="Y170" s="281"/>
      <c r="Z170" s="281"/>
      <c r="AA170" s="281"/>
      <c r="AB170" s="281"/>
      <c r="AC170" s="281"/>
      <c r="AD170" s="281"/>
      <c r="AE170" s="281"/>
      <c r="AF170" s="281"/>
      <c r="AG170" s="281"/>
      <c r="AH170" s="20"/>
    </row>
    <row r="171" spans="1:34" s="4" customFormat="1" ht="28.5" customHeight="1" x14ac:dyDescent="0.25">
      <c r="A171" s="3"/>
      <c r="D171" s="324" t="s">
        <v>380</v>
      </c>
      <c r="E171" s="324"/>
      <c r="F171" s="324"/>
      <c r="G171" s="324"/>
      <c r="H171" s="324"/>
      <c r="I171" s="324"/>
      <c r="J171" s="324"/>
      <c r="K171" s="324"/>
      <c r="L171" s="324"/>
      <c r="M171" s="324"/>
      <c r="N171" s="324"/>
      <c r="O171" s="324"/>
      <c r="P171" s="324"/>
      <c r="Q171" s="324"/>
      <c r="R171" s="324"/>
      <c r="S171" s="324"/>
      <c r="T171" s="324"/>
      <c r="U171" s="324"/>
      <c r="V171" s="324"/>
      <c r="W171" s="324"/>
      <c r="X171" s="324"/>
      <c r="Y171" s="324"/>
      <c r="Z171" s="324"/>
      <c r="AA171" s="324"/>
      <c r="AB171" s="324"/>
      <c r="AC171" s="324"/>
      <c r="AD171" s="324"/>
      <c r="AE171" s="324"/>
      <c r="AF171" s="324"/>
      <c r="AG171" s="324"/>
      <c r="AH171" s="20"/>
    </row>
    <row r="172" spans="1:34" s="4" customFormat="1" ht="13.8" x14ac:dyDescent="0.25">
      <c r="A172" s="3"/>
      <c r="D172" s="20"/>
      <c r="E172" s="20"/>
      <c r="F172" s="20"/>
      <c r="G172" s="20"/>
      <c r="H172" s="20"/>
      <c r="I172" s="20"/>
      <c r="J172" s="20"/>
      <c r="K172" s="62"/>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row>
    <row r="173" spans="1:34" s="4" customFormat="1" ht="13.8" x14ac:dyDescent="0.25">
      <c r="A173" s="3"/>
      <c r="D173" s="41" t="s">
        <v>405</v>
      </c>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row>
    <row r="174" spans="1:34" s="4" customFormat="1" ht="13.8" x14ac:dyDescent="0.25">
      <c r="A174" s="3"/>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row>
    <row r="175" spans="1:34" s="4" customFormat="1" ht="13.8" x14ac:dyDescent="0.25">
      <c r="A175" s="3"/>
      <c r="D175" s="281" t="s">
        <v>64</v>
      </c>
      <c r="E175" s="281"/>
      <c r="F175" s="281"/>
      <c r="G175" s="281"/>
      <c r="H175" s="281"/>
      <c r="I175" s="281"/>
      <c r="J175" s="281"/>
      <c r="K175" s="281"/>
      <c r="L175" s="281"/>
      <c r="M175" s="281"/>
      <c r="N175" s="281"/>
      <c r="O175" s="281"/>
      <c r="P175" s="281"/>
      <c r="Q175" s="281"/>
      <c r="R175" s="281"/>
      <c r="S175" s="281"/>
      <c r="T175" s="281"/>
      <c r="U175" s="281"/>
      <c r="V175" s="281"/>
      <c r="W175" s="281"/>
      <c r="X175" s="281"/>
      <c r="Y175" s="281"/>
      <c r="Z175" s="281"/>
      <c r="AA175" s="281"/>
      <c r="AB175" s="281"/>
      <c r="AC175" s="281"/>
      <c r="AD175" s="281"/>
      <c r="AE175" s="281"/>
      <c r="AF175" s="281"/>
      <c r="AG175" s="281"/>
      <c r="AH175" s="20"/>
    </row>
    <row r="176" spans="1:34" s="4" customFormat="1" ht="13.8" x14ac:dyDescent="0.25">
      <c r="A176" s="3"/>
      <c r="D176" s="281"/>
      <c r="E176" s="281"/>
      <c r="F176" s="281"/>
      <c r="G176" s="281"/>
      <c r="H176" s="281"/>
      <c r="I176" s="281"/>
      <c r="J176" s="281"/>
      <c r="K176" s="281"/>
      <c r="L176" s="281"/>
      <c r="M176" s="281"/>
      <c r="N176" s="281"/>
      <c r="O176" s="281"/>
      <c r="P176" s="281"/>
      <c r="Q176" s="281"/>
      <c r="R176" s="281"/>
      <c r="S176" s="281"/>
      <c r="T176" s="281"/>
      <c r="U176" s="281"/>
      <c r="V176" s="281"/>
      <c r="W176" s="281"/>
      <c r="X176" s="281"/>
      <c r="Y176" s="281"/>
      <c r="Z176" s="281"/>
      <c r="AA176" s="281"/>
      <c r="AB176" s="281"/>
      <c r="AC176" s="281"/>
      <c r="AD176" s="281"/>
      <c r="AE176" s="281"/>
      <c r="AF176" s="281"/>
      <c r="AG176" s="281"/>
      <c r="AH176" s="20"/>
    </row>
    <row r="177" spans="1:34" s="4" customFormat="1" ht="13.8" x14ac:dyDescent="0.25">
      <c r="A177" s="3"/>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row>
    <row r="178" spans="1:34" s="4" customFormat="1" ht="13.8" x14ac:dyDescent="0.25">
      <c r="A178" s="3"/>
      <c r="D178" s="281" t="s">
        <v>65</v>
      </c>
      <c r="E178" s="281"/>
      <c r="F178" s="281"/>
      <c r="G178" s="281"/>
      <c r="H178" s="281"/>
      <c r="I178" s="281"/>
      <c r="J178" s="281"/>
      <c r="K178" s="281"/>
      <c r="L178" s="281"/>
      <c r="M178" s="281"/>
      <c r="N178" s="281"/>
      <c r="O178" s="281"/>
      <c r="P178" s="281"/>
      <c r="Q178" s="281"/>
      <c r="R178" s="281"/>
      <c r="S178" s="281"/>
      <c r="T178" s="281"/>
      <c r="U178" s="281"/>
      <c r="V178" s="281"/>
      <c r="W178" s="281"/>
      <c r="X178" s="281"/>
      <c r="Y178" s="281"/>
      <c r="Z178" s="281"/>
      <c r="AA178" s="281"/>
      <c r="AB178" s="281"/>
      <c r="AC178" s="281"/>
      <c r="AD178" s="281"/>
      <c r="AE178" s="281"/>
      <c r="AF178" s="281"/>
      <c r="AG178" s="281"/>
      <c r="AH178" s="20"/>
    </row>
    <row r="179" spans="1:34" s="4" customFormat="1" ht="13.8" x14ac:dyDescent="0.25">
      <c r="A179" s="3"/>
      <c r="D179" s="281"/>
      <c r="E179" s="281"/>
      <c r="F179" s="281"/>
      <c r="G179" s="281"/>
      <c r="H179" s="281"/>
      <c r="I179" s="281"/>
      <c r="J179" s="281"/>
      <c r="K179" s="281"/>
      <c r="L179" s="281"/>
      <c r="M179" s="281"/>
      <c r="N179" s="281"/>
      <c r="O179" s="281"/>
      <c r="P179" s="281"/>
      <c r="Q179" s="281"/>
      <c r="R179" s="281"/>
      <c r="S179" s="281"/>
      <c r="T179" s="281"/>
      <c r="U179" s="281"/>
      <c r="V179" s="281"/>
      <c r="W179" s="281"/>
      <c r="X179" s="281"/>
      <c r="Y179" s="281"/>
      <c r="Z179" s="281"/>
      <c r="AA179" s="281"/>
      <c r="AB179" s="281"/>
      <c r="AC179" s="281"/>
      <c r="AD179" s="281"/>
      <c r="AE179" s="281"/>
      <c r="AF179" s="281"/>
      <c r="AG179" s="281"/>
      <c r="AH179" s="20"/>
    </row>
    <row r="180" spans="1:34" s="4" customFormat="1" ht="13.8" x14ac:dyDescent="0.25">
      <c r="A180" s="3"/>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row>
    <row r="181" spans="1:34" s="4" customFormat="1" ht="13.8" x14ac:dyDescent="0.25">
      <c r="A181" s="3"/>
      <c r="D181" s="281" t="s">
        <v>66</v>
      </c>
      <c r="E181" s="281"/>
      <c r="F181" s="281"/>
      <c r="G181" s="281"/>
      <c r="H181" s="281"/>
      <c r="I181" s="281"/>
      <c r="J181" s="281"/>
      <c r="K181" s="281"/>
      <c r="L181" s="281"/>
      <c r="M181" s="281"/>
      <c r="N181" s="281"/>
      <c r="O181" s="281"/>
      <c r="P181" s="281"/>
      <c r="Q181" s="281"/>
      <c r="R181" s="281"/>
      <c r="S181" s="281"/>
      <c r="T181" s="281"/>
      <c r="U181" s="281"/>
      <c r="V181" s="281"/>
      <c r="W181" s="281"/>
      <c r="X181" s="281"/>
      <c r="Y181" s="281"/>
      <c r="Z181" s="281"/>
      <c r="AA181" s="281"/>
      <c r="AB181" s="281"/>
      <c r="AC181" s="281"/>
      <c r="AD181" s="281"/>
      <c r="AE181" s="281"/>
      <c r="AF181" s="281"/>
      <c r="AG181" s="281"/>
      <c r="AH181" s="20"/>
    </row>
    <row r="182" spans="1:34" s="68" customFormat="1" ht="13.8" x14ac:dyDescent="0.25">
      <c r="A182" s="67"/>
      <c r="D182" s="70"/>
      <c r="E182" s="70"/>
      <c r="F182" s="70"/>
      <c r="G182" s="70"/>
      <c r="H182" s="70"/>
      <c r="I182" s="70"/>
      <c r="J182" s="70"/>
      <c r="K182" s="70"/>
      <c r="L182" s="70"/>
      <c r="M182" s="70"/>
      <c r="N182" s="70"/>
      <c r="O182" s="70"/>
      <c r="P182" s="70"/>
      <c r="Q182" s="70"/>
      <c r="R182" s="70"/>
      <c r="S182" s="70"/>
      <c r="T182" s="70"/>
      <c r="U182" s="70"/>
      <c r="V182" s="70"/>
      <c r="W182" s="70"/>
      <c r="X182" s="70"/>
      <c r="Y182" s="70"/>
      <c r="Z182" s="70"/>
      <c r="AA182" s="70"/>
      <c r="AB182" s="70"/>
      <c r="AC182" s="70"/>
      <c r="AD182" s="70"/>
      <c r="AE182" s="70"/>
      <c r="AF182" s="70"/>
      <c r="AG182" s="70"/>
      <c r="AH182" s="70"/>
    </row>
    <row r="183" spans="1:34" s="4" customFormat="1" ht="13.8" x14ac:dyDescent="0.25">
      <c r="A183" s="3"/>
      <c r="D183" s="41" t="s">
        <v>406</v>
      </c>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row>
    <row r="184" spans="1:34" s="4" customFormat="1" ht="13.8" x14ac:dyDescent="0.25">
      <c r="A184" s="3"/>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row>
    <row r="185" spans="1:34" s="4" customFormat="1" ht="13.8" x14ac:dyDescent="0.25">
      <c r="A185" s="3"/>
      <c r="D185" s="281" t="s">
        <v>67</v>
      </c>
      <c r="E185" s="281"/>
      <c r="F185" s="281"/>
      <c r="G185" s="281"/>
      <c r="H185" s="281"/>
      <c r="I185" s="281"/>
      <c r="J185" s="281"/>
      <c r="K185" s="281"/>
      <c r="L185" s="281"/>
      <c r="M185" s="281"/>
      <c r="N185" s="281"/>
      <c r="O185" s="281"/>
      <c r="P185" s="281"/>
      <c r="Q185" s="281"/>
      <c r="R185" s="281"/>
      <c r="S185" s="281"/>
      <c r="T185" s="281"/>
      <c r="U185" s="281"/>
      <c r="V185" s="281"/>
      <c r="W185" s="281"/>
      <c r="X185" s="281"/>
      <c r="Y185" s="281"/>
      <c r="Z185" s="281"/>
      <c r="AA185" s="281"/>
      <c r="AB185" s="281"/>
      <c r="AC185" s="281"/>
      <c r="AD185" s="281"/>
      <c r="AE185" s="281"/>
      <c r="AF185" s="281"/>
      <c r="AG185" s="281"/>
      <c r="AH185" s="20"/>
    </row>
    <row r="186" spans="1:34" s="4" customFormat="1" ht="13.8" x14ac:dyDescent="0.25">
      <c r="A186" s="3"/>
      <c r="D186" s="281"/>
      <c r="E186" s="281"/>
      <c r="F186" s="281"/>
      <c r="G186" s="281"/>
      <c r="H186" s="281"/>
      <c r="I186" s="281"/>
      <c r="J186" s="281"/>
      <c r="K186" s="281"/>
      <c r="L186" s="281"/>
      <c r="M186" s="281"/>
      <c r="N186" s="281"/>
      <c r="O186" s="281"/>
      <c r="P186" s="281"/>
      <c r="Q186" s="281"/>
      <c r="R186" s="281"/>
      <c r="S186" s="281"/>
      <c r="T186" s="281"/>
      <c r="U186" s="281"/>
      <c r="V186" s="281"/>
      <c r="W186" s="281"/>
      <c r="X186" s="281"/>
      <c r="Y186" s="281"/>
      <c r="Z186" s="281"/>
      <c r="AA186" s="281"/>
      <c r="AB186" s="281"/>
      <c r="AC186" s="281"/>
      <c r="AD186" s="281"/>
      <c r="AE186" s="281"/>
      <c r="AF186" s="281"/>
      <c r="AG186" s="281"/>
      <c r="AH186" s="20"/>
    </row>
    <row r="187" spans="1:34" s="4" customFormat="1" ht="13.8" x14ac:dyDescent="0.25">
      <c r="A187" s="3"/>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row>
    <row r="188" spans="1:34" s="4" customFormat="1" ht="13.8" x14ac:dyDescent="0.25">
      <c r="A188" s="3"/>
      <c r="D188" s="41" t="s">
        <v>407</v>
      </c>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row>
    <row r="189" spans="1:34" s="4" customFormat="1" ht="13.8" x14ac:dyDescent="0.25">
      <c r="A189" s="3"/>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row>
    <row r="190" spans="1:34" s="4" customFormat="1" ht="13.8" x14ac:dyDescent="0.25">
      <c r="A190" s="3"/>
      <c r="D190" s="281" t="s">
        <v>69</v>
      </c>
      <c r="E190" s="281"/>
      <c r="F190" s="281"/>
      <c r="G190" s="281"/>
      <c r="H190" s="281"/>
      <c r="I190" s="281"/>
      <c r="J190" s="281"/>
      <c r="K190" s="281"/>
      <c r="L190" s="281"/>
      <c r="M190" s="281"/>
      <c r="N190" s="281"/>
      <c r="O190" s="281"/>
      <c r="P190" s="281"/>
      <c r="Q190" s="281"/>
      <c r="R190" s="281"/>
      <c r="S190" s="281"/>
      <c r="T190" s="281"/>
      <c r="U190" s="281"/>
      <c r="V190" s="281"/>
      <c r="W190" s="281"/>
      <c r="X190" s="281"/>
      <c r="Y190" s="281"/>
      <c r="Z190" s="281"/>
      <c r="AA190" s="281"/>
      <c r="AB190" s="281"/>
      <c r="AC190" s="281"/>
      <c r="AD190" s="281"/>
      <c r="AE190" s="281"/>
      <c r="AF190" s="281"/>
      <c r="AG190" s="281"/>
      <c r="AH190" s="20"/>
    </row>
    <row r="191" spans="1:34" s="4" customFormat="1" ht="13.8" x14ac:dyDescent="0.25">
      <c r="A191" s="3"/>
      <c r="D191" s="281"/>
      <c r="E191" s="281"/>
      <c r="F191" s="281"/>
      <c r="G191" s="281"/>
      <c r="H191" s="281"/>
      <c r="I191" s="281"/>
      <c r="J191" s="281"/>
      <c r="K191" s="281"/>
      <c r="L191" s="281"/>
      <c r="M191" s="281"/>
      <c r="N191" s="281"/>
      <c r="O191" s="281"/>
      <c r="P191" s="281"/>
      <c r="Q191" s="281"/>
      <c r="R191" s="281"/>
      <c r="S191" s="281"/>
      <c r="T191" s="281"/>
      <c r="U191" s="281"/>
      <c r="V191" s="281"/>
      <c r="W191" s="281"/>
      <c r="X191" s="281"/>
      <c r="Y191" s="281"/>
      <c r="Z191" s="281"/>
      <c r="AA191" s="281"/>
      <c r="AB191" s="281"/>
      <c r="AC191" s="281"/>
      <c r="AD191" s="281"/>
      <c r="AE191" s="281"/>
      <c r="AF191" s="281"/>
      <c r="AG191" s="281"/>
      <c r="AH191" s="20"/>
    </row>
    <row r="192" spans="1:34" s="4" customFormat="1" ht="13.8" x14ac:dyDescent="0.25">
      <c r="A192" s="3"/>
      <c r="D192" s="281"/>
      <c r="E192" s="281"/>
      <c r="F192" s="281"/>
      <c r="G192" s="281"/>
      <c r="H192" s="281"/>
      <c r="I192" s="281"/>
      <c r="J192" s="281"/>
      <c r="K192" s="281"/>
      <c r="L192" s="281"/>
      <c r="M192" s="281"/>
      <c r="N192" s="281"/>
      <c r="O192" s="281"/>
      <c r="P192" s="281"/>
      <c r="Q192" s="281"/>
      <c r="R192" s="281"/>
      <c r="S192" s="281"/>
      <c r="T192" s="281"/>
      <c r="U192" s="281"/>
      <c r="V192" s="281"/>
      <c r="W192" s="281"/>
      <c r="X192" s="281"/>
      <c r="Y192" s="281"/>
      <c r="Z192" s="281"/>
      <c r="AA192" s="281"/>
      <c r="AB192" s="281"/>
      <c r="AC192" s="281"/>
      <c r="AD192" s="281"/>
      <c r="AE192" s="281"/>
      <c r="AF192" s="281"/>
      <c r="AG192" s="281"/>
      <c r="AH192" s="20"/>
    </row>
    <row r="193" spans="1:34" s="4" customFormat="1" ht="13.8" x14ac:dyDescent="0.25">
      <c r="A193" s="3"/>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row>
    <row r="194" spans="1:34" s="4" customFormat="1" ht="13.8" x14ac:dyDescent="0.25">
      <c r="A194" s="3"/>
      <c r="D194" s="20" t="s">
        <v>68</v>
      </c>
      <c r="E194" s="281" t="s">
        <v>70</v>
      </c>
      <c r="F194" s="281"/>
      <c r="G194" s="281"/>
      <c r="H194" s="281"/>
      <c r="I194" s="281"/>
      <c r="J194" s="281"/>
      <c r="K194" s="281"/>
      <c r="L194" s="281"/>
      <c r="M194" s="281"/>
      <c r="N194" s="281"/>
      <c r="O194" s="281"/>
      <c r="P194" s="281"/>
      <c r="Q194" s="281"/>
      <c r="R194" s="281"/>
      <c r="S194" s="281"/>
      <c r="T194" s="281"/>
      <c r="U194" s="281"/>
      <c r="V194" s="281"/>
      <c r="W194" s="281"/>
      <c r="X194" s="281"/>
      <c r="Y194" s="281"/>
      <c r="Z194" s="281"/>
      <c r="AA194" s="281"/>
      <c r="AB194" s="281"/>
      <c r="AC194" s="281"/>
      <c r="AD194" s="281"/>
      <c r="AE194" s="281"/>
      <c r="AF194" s="281"/>
      <c r="AG194" s="281"/>
      <c r="AH194" s="20"/>
    </row>
    <row r="195" spans="1:34" s="4" customFormat="1" ht="13.8" x14ac:dyDescent="0.25">
      <c r="A195" s="3"/>
      <c r="D195" s="20"/>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C195" s="281"/>
      <c r="AD195" s="281"/>
      <c r="AE195" s="281"/>
      <c r="AF195" s="281"/>
      <c r="AG195" s="281"/>
      <c r="AH195" s="20"/>
    </row>
    <row r="196" spans="1:34" s="4" customFormat="1" ht="13.8" x14ac:dyDescent="0.25">
      <c r="A196" s="3"/>
      <c r="D196" s="20" t="s">
        <v>68</v>
      </c>
      <c r="E196" s="281" t="s">
        <v>71</v>
      </c>
      <c r="F196" s="281"/>
      <c r="G196" s="281"/>
      <c r="H196" s="281"/>
      <c r="I196" s="281"/>
      <c r="J196" s="281"/>
      <c r="K196" s="281"/>
      <c r="L196" s="281"/>
      <c r="M196" s="281"/>
      <c r="N196" s="281"/>
      <c r="O196" s="281"/>
      <c r="P196" s="281"/>
      <c r="Q196" s="281"/>
      <c r="R196" s="281"/>
      <c r="S196" s="281"/>
      <c r="T196" s="281"/>
      <c r="U196" s="281"/>
      <c r="V196" s="281"/>
      <c r="W196" s="281"/>
      <c r="X196" s="281"/>
      <c r="Y196" s="281"/>
      <c r="Z196" s="281"/>
      <c r="AA196" s="281"/>
      <c r="AB196" s="281"/>
      <c r="AC196" s="281"/>
      <c r="AD196" s="281"/>
      <c r="AE196" s="281"/>
      <c r="AF196" s="281"/>
      <c r="AG196" s="281"/>
      <c r="AH196" s="20"/>
    </row>
    <row r="197" spans="1:34" s="4" customFormat="1" ht="13.8" x14ac:dyDescent="0.25">
      <c r="A197" s="3"/>
      <c r="D197" s="20"/>
      <c r="E197" s="281"/>
      <c r="F197" s="281"/>
      <c r="G197" s="281"/>
      <c r="H197" s="281"/>
      <c r="I197" s="281"/>
      <c r="J197" s="281"/>
      <c r="K197" s="281"/>
      <c r="L197" s="281"/>
      <c r="M197" s="281"/>
      <c r="N197" s="281"/>
      <c r="O197" s="281"/>
      <c r="P197" s="281"/>
      <c r="Q197" s="281"/>
      <c r="R197" s="281"/>
      <c r="S197" s="281"/>
      <c r="T197" s="281"/>
      <c r="U197" s="281"/>
      <c r="V197" s="281"/>
      <c r="W197" s="281"/>
      <c r="X197" s="281"/>
      <c r="Y197" s="281"/>
      <c r="Z197" s="281"/>
      <c r="AA197" s="281"/>
      <c r="AB197" s="281"/>
      <c r="AC197" s="281"/>
      <c r="AD197" s="281"/>
      <c r="AE197" s="281"/>
      <c r="AF197" s="281"/>
      <c r="AG197" s="281"/>
      <c r="AH197" s="20"/>
    </row>
    <row r="198" spans="1:34" s="4" customFormat="1" ht="13.8" x14ac:dyDescent="0.25">
      <c r="A198" s="3"/>
      <c r="D198" s="20" t="s">
        <v>68</v>
      </c>
      <c r="E198" s="281" t="s">
        <v>72</v>
      </c>
      <c r="F198" s="281"/>
      <c r="G198" s="281"/>
      <c r="H198" s="281"/>
      <c r="I198" s="281"/>
      <c r="J198" s="281"/>
      <c r="K198" s="281"/>
      <c r="L198" s="281"/>
      <c r="M198" s="281"/>
      <c r="N198" s="281"/>
      <c r="O198" s="281"/>
      <c r="P198" s="281"/>
      <c r="Q198" s="281"/>
      <c r="R198" s="281"/>
      <c r="S198" s="281"/>
      <c r="T198" s="281"/>
      <c r="U198" s="281"/>
      <c r="V198" s="281"/>
      <c r="W198" s="281"/>
      <c r="X198" s="281"/>
      <c r="Y198" s="281"/>
      <c r="Z198" s="281"/>
      <c r="AA198" s="281"/>
      <c r="AB198" s="281"/>
      <c r="AC198" s="281"/>
      <c r="AD198" s="281"/>
      <c r="AE198" s="281"/>
      <c r="AF198" s="281"/>
      <c r="AG198" s="281"/>
      <c r="AH198" s="20"/>
    </row>
    <row r="199" spans="1:34" s="4" customFormat="1" ht="13.8" x14ac:dyDescent="0.25">
      <c r="A199" s="3"/>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row>
    <row r="200" spans="1:34" s="4" customFormat="1" ht="13.8" x14ac:dyDescent="0.25">
      <c r="A200" s="3"/>
      <c r="D200" s="281" t="s">
        <v>73</v>
      </c>
      <c r="E200" s="281"/>
      <c r="F200" s="281"/>
      <c r="G200" s="281"/>
      <c r="H200" s="281"/>
      <c r="I200" s="281"/>
      <c r="J200" s="281"/>
      <c r="K200" s="281"/>
      <c r="L200" s="281"/>
      <c r="M200" s="281"/>
      <c r="N200" s="281"/>
      <c r="O200" s="281"/>
      <c r="P200" s="281"/>
      <c r="Q200" s="281"/>
      <c r="R200" s="281"/>
      <c r="S200" s="281"/>
      <c r="T200" s="281"/>
      <c r="U200" s="281"/>
      <c r="V200" s="281"/>
      <c r="W200" s="281"/>
      <c r="X200" s="281"/>
      <c r="Y200" s="281"/>
      <c r="Z200" s="281"/>
      <c r="AA200" s="281"/>
      <c r="AB200" s="281"/>
      <c r="AC200" s="281"/>
      <c r="AD200" s="281"/>
      <c r="AE200" s="281"/>
      <c r="AF200" s="281"/>
      <c r="AG200" s="281"/>
      <c r="AH200" s="20"/>
    </row>
    <row r="201" spans="1:34" s="4" customFormat="1" ht="13.8" x14ac:dyDescent="0.25">
      <c r="A201" s="3"/>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row>
    <row r="202" spans="1:34" s="4" customFormat="1" ht="13.8" x14ac:dyDescent="0.25">
      <c r="A202" s="3"/>
      <c r="D202" s="41" t="s">
        <v>408</v>
      </c>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20"/>
    </row>
    <row r="203" spans="1:34" s="4" customFormat="1" ht="14.25" customHeight="1" x14ac:dyDescent="0.25">
      <c r="A203" s="3"/>
      <c r="D203" s="57" t="s">
        <v>74</v>
      </c>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20"/>
    </row>
    <row r="204" spans="1:34" s="4" customFormat="1" ht="13.8" x14ac:dyDescent="0.25">
      <c r="A204" s="3"/>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row>
    <row r="205" spans="1:34" s="4" customFormat="1" ht="13.8" x14ac:dyDescent="0.25">
      <c r="A205" s="3"/>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row>
    <row r="206" spans="1:34" s="4" customFormat="1" ht="13.8" x14ac:dyDescent="0.25">
      <c r="A206" s="3"/>
      <c r="D206" s="41" t="s">
        <v>75</v>
      </c>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row>
    <row r="207" spans="1:34" s="4" customFormat="1" ht="13.8" x14ac:dyDescent="0.25">
      <c r="A207" s="3"/>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row>
    <row r="208" spans="1:34" s="4" customFormat="1" ht="13.8" x14ac:dyDescent="0.25">
      <c r="A208" s="3"/>
      <c r="D208" s="41" t="s">
        <v>76</v>
      </c>
      <c r="E208" s="57"/>
      <c r="F208" s="57"/>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row>
    <row r="209" spans="1:42" s="4" customFormat="1" ht="13.8" x14ac:dyDescent="0.25">
      <c r="A209" s="3"/>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row>
    <row r="210" spans="1:42" s="4" customFormat="1" ht="13.8" x14ac:dyDescent="0.25">
      <c r="A210" s="3"/>
      <c r="D210" s="57" t="s">
        <v>77</v>
      </c>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row>
    <row r="211" spans="1:42" s="4" customFormat="1" ht="14.4" thickBot="1" x14ac:dyDescent="0.3">
      <c r="A211" s="3"/>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row>
    <row r="212" spans="1:42" s="4" customFormat="1" ht="15" customHeight="1" thickBot="1" x14ac:dyDescent="0.3">
      <c r="A212" s="3" t="s">
        <v>78</v>
      </c>
      <c r="D212" s="283" t="s">
        <v>79</v>
      </c>
      <c r="E212" s="284"/>
      <c r="F212" s="284"/>
      <c r="G212" s="284"/>
      <c r="H212" s="284"/>
      <c r="I212" s="287"/>
      <c r="J212" s="322" t="s">
        <v>16</v>
      </c>
      <c r="K212" s="322"/>
      <c r="L212" s="322"/>
      <c r="M212" s="322"/>
      <c r="N212" s="322"/>
      <c r="O212" s="322"/>
      <c r="P212" s="322"/>
      <c r="Q212" s="322"/>
      <c r="R212" s="322"/>
      <c r="S212" s="322"/>
      <c r="T212" s="322"/>
      <c r="U212" s="322"/>
      <c r="V212" s="322"/>
      <c r="W212" s="322"/>
      <c r="X212" s="322"/>
      <c r="Y212" s="322"/>
      <c r="Z212" s="322"/>
      <c r="AA212" s="322"/>
      <c r="AB212" s="322"/>
      <c r="AC212" s="322"/>
      <c r="AD212" s="322"/>
      <c r="AE212" s="322"/>
      <c r="AF212" s="322"/>
      <c r="AG212" s="322"/>
      <c r="AH212" s="20"/>
    </row>
    <row r="213" spans="1:42" s="4" customFormat="1" ht="41.25" customHeight="1" thickBot="1" x14ac:dyDescent="0.3">
      <c r="A213" s="3"/>
      <c r="D213" s="285"/>
      <c r="E213" s="286"/>
      <c r="F213" s="286"/>
      <c r="G213" s="286"/>
      <c r="H213" s="286"/>
      <c r="I213" s="288"/>
      <c r="J213" s="278" t="s">
        <v>80</v>
      </c>
      <c r="K213" s="278"/>
      <c r="L213" s="278"/>
      <c r="M213" s="278" t="s">
        <v>39</v>
      </c>
      <c r="N213" s="278"/>
      <c r="O213" s="278"/>
      <c r="P213" s="278" t="s">
        <v>81</v>
      </c>
      <c r="Q213" s="278"/>
      <c r="R213" s="278"/>
      <c r="S213" s="278" t="s">
        <v>82</v>
      </c>
      <c r="T213" s="278"/>
      <c r="U213" s="278"/>
      <c r="V213" s="278" t="s">
        <v>83</v>
      </c>
      <c r="W213" s="278"/>
      <c r="X213" s="278"/>
      <c r="Y213" s="278" t="s">
        <v>84</v>
      </c>
      <c r="Z213" s="278"/>
      <c r="AA213" s="278"/>
      <c r="AB213" s="278" t="s">
        <v>85</v>
      </c>
      <c r="AC213" s="278"/>
      <c r="AD213" s="278"/>
      <c r="AE213" s="278" t="s">
        <v>27</v>
      </c>
      <c r="AF213" s="278"/>
      <c r="AG213" s="278"/>
      <c r="AH213" s="20"/>
    </row>
    <row r="214" spans="1:42" s="4" customFormat="1" ht="14.4" thickBot="1" x14ac:dyDescent="0.3">
      <c r="A214" s="3"/>
      <c r="D214" s="267" t="s">
        <v>86</v>
      </c>
      <c r="E214" s="267"/>
      <c r="F214" s="267"/>
      <c r="G214" s="267"/>
      <c r="H214" s="267"/>
      <c r="I214" s="267"/>
      <c r="J214" s="267"/>
      <c r="K214" s="267"/>
      <c r="L214" s="267"/>
      <c r="M214" s="267"/>
      <c r="N214" s="267"/>
      <c r="O214" s="267"/>
      <c r="P214" s="267"/>
      <c r="Q214" s="267"/>
      <c r="R214" s="267"/>
      <c r="S214" s="267"/>
      <c r="T214" s="267"/>
      <c r="U214" s="267"/>
      <c r="V214" s="267"/>
      <c r="W214" s="267"/>
      <c r="X214" s="267"/>
      <c r="Y214" s="267"/>
      <c r="Z214" s="267"/>
      <c r="AA214" s="267"/>
      <c r="AB214" s="267"/>
      <c r="AC214" s="267"/>
      <c r="AD214" s="267"/>
      <c r="AE214" s="267"/>
      <c r="AF214" s="267"/>
      <c r="AG214" s="267"/>
      <c r="AH214" s="44"/>
    </row>
    <row r="215" spans="1:42" s="4" customFormat="1" ht="21.75" customHeight="1" x14ac:dyDescent="0.25">
      <c r="A215" s="3"/>
      <c r="D215" s="279" t="s">
        <v>87</v>
      </c>
      <c r="E215" s="279"/>
      <c r="F215" s="279"/>
      <c r="G215" s="279"/>
      <c r="H215" s="279"/>
      <c r="I215" s="279"/>
      <c r="J215" s="280"/>
      <c r="K215" s="280"/>
      <c r="L215" s="280"/>
      <c r="M215" s="280">
        <f>M249</f>
        <v>81044</v>
      </c>
      <c r="N215" s="280"/>
      <c r="O215" s="280"/>
      <c r="P215" s="280">
        <f t="shared" ref="P215" si="0">P249</f>
        <v>0</v>
      </c>
      <c r="Q215" s="280"/>
      <c r="R215" s="280"/>
      <c r="S215" s="280">
        <f t="shared" ref="S215" si="1">S249</f>
        <v>0</v>
      </c>
      <c r="T215" s="280"/>
      <c r="U215" s="280"/>
      <c r="V215" s="280">
        <f t="shared" ref="V215" si="2">V249</f>
        <v>0</v>
      </c>
      <c r="W215" s="280"/>
      <c r="X215" s="280"/>
      <c r="Y215" s="280">
        <f t="shared" ref="Y215" si="3">Y249</f>
        <v>7000</v>
      </c>
      <c r="Z215" s="280"/>
      <c r="AA215" s="280"/>
      <c r="AB215" s="280">
        <f t="shared" ref="AB215" si="4">AB249</f>
        <v>0</v>
      </c>
      <c r="AC215" s="280"/>
      <c r="AD215" s="280"/>
      <c r="AE215" s="280">
        <f>SUM(J215:AD215)</f>
        <v>88044</v>
      </c>
      <c r="AF215" s="280"/>
      <c r="AG215" s="280"/>
      <c r="AH215" s="20"/>
    </row>
    <row r="216" spans="1:42" s="4" customFormat="1" ht="13.8" x14ac:dyDescent="0.25">
      <c r="A216" s="3"/>
      <c r="D216" s="262" t="s">
        <v>88</v>
      </c>
      <c r="E216" s="262"/>
      <c r="F216" s="262"/>
      <c r="G216" s="262"/>
      <c r="H216" s="262"/>
      <c r="I216" s="262"/>
      <c r="J216" s="263"/>
      <c r="K216" s="263"/>
      <c r="L216" s="263"/>
      <c r="M216" s="263">
        <f>VLOOKUP(13100,'Účtovná osnova'!$A$1:$I$1068,8,FALSE)</f>
        <v>0</v>
      </c>
      <c r="N216" s="263"/>
      <c r="O216" s="263"/>
      <c r="P216" s="263"/>
      <c r="Q216" s="263"/>
      <c r="R216" s="263"/>
      <c r="S216" s="263"/>
      <c r="T216" s="263"/>
      <c r="U216" s="263"/>
      <c r="V216" s="263"/>
      <c r="W216" s="263"/>
      <c r="X216" s="263"/>
      <c r="Y216" s="263">
        <f>VLOOKUP(41999,'Účtovná osnova'!$A$1:$I$1068,8,FALSE)</f>
        <v>19986.099999999999</v>
      </c>
      <c r="Z216" s="263"/>
      <c r="AA216" s="263"/>
      <c r="AB216" s="263"/>
      <c r="AC216" s="263"/>
      <c r="AD216" s="263"/>
      <c r="AE216" s="263">
        <f>SUM(J216:AD216)</f>
        <v>19986.099999999999</v>
      </c>
      <c r="AF216" s="263"/>
      <c r="AG216" s="263"/>
      <c r="AH216" s="20"/>
    </row>
    <row r="217" spans="1:42" s="4" customFormat="1" ht="13.8" x14ac:dyDescent="0.25">
      <c r="A217" s="3"/>
      <c r="D217" s="262" t="s">
        <v>89</v>
      </c>
      <c r="E217" s="262"/>
      <c r="F217" s="262"/>
      <c r="G217" s="262"/>
      <c r="H217" s="262"/>
      <c r="I217" s="262"/>
      <c r="J217" s="263"/>
      <c r="K217" s="263"/>
      <c r="L217" s="263"/>
      <c r="M217" s="263">
        <f>VLOOKUP(13100,'Účtovná osnova'!$A$1:$I$1068,9,FALSE)</f>
        <v>0</v>
      </c>
      <c r="N217" s="263"/>
      <c r="O217" s="263"/>
      <c r="P217" s="263"/>
      <c r="Q217" s="263"/>
      <c r="R217" s="263"/>
      <c r="S217" s="263"/>
      <c r="T217" s="263"/>
      <c r="U217" s="263"/>
      <c r="V217" s="263"/>
      <c r="W217" s="263"/>
      <c r="X217" s="263"/>
      <c r="Y217" s="263">
        <f>VLOOKUP(41999,'Účtovná osnova'!$A$1:$I$1068,9,FALSE)</f>
        <v>0</v>
      </c>
      <c r="Z217" s="263"/>
      <c r="AA217" s="263"/>
      <c r="AB217" s="263"/>
      <c r="AC217" s="263"/>
      <c r="AD217" s="263"/>
      <c r="AE217" s="263">
        <f>SUM(J217:AD217)</f>
        <v>0</v>
      </c>
      <c r="AF217" s="263"/>
      <c r="AG217" s="263"/>
      <c r="AH217" s="20"/>
    </row>
    <row r="218" spans="1:42" s="4" customFormat="1" ht="13.8" x14ac:dyDescent="0.25">
      <c r="A218" s="3"/>
      <c r="D218" s="262" t="s">
        <v>90</v>
      </c>
      <c r="E218" s="262"/>
      <c r="F218" s="262"/>
      <c r="G218" s="262"/>
      <c r="H218" s="262"/>
      <c r="I218" s="262"/>
      <c r="J218" s="263"/>
      <c r="K218" s="263"/>
      <c r="L218" s="263"/>
      <c r="M218" s="263"/>
      <c r="N218" s="263"/>
      <c r="O218" s="263"/>
      <c r="P218" s="263"/>
      <c r="Q218" s="263"/>
      <c r="R218" s="263"/>
      <c r="S218" s="263"/>
      <c r="T218" s="263"/>
      <c r="U218" s="263"/>
      <c r="V218" s="263"/>
      <c r="W218" s="263"/>
      <c r="X218" s="263"/>
      <c r="Y218" s="263"/>
      <c r="Z218" s="263"/>
      <c r="AA218" s="263"/>
      <c r="AB218" s="263"/>
      <c r="AC218" s="263"/>
      <c r="AD218" s="263"/>
      <c r="AE218" s="263">
        <f>SUM(J218:AD218)</f>
        <v>0</v>
      </c>
      <c r="AF218" s="263"/>
      <c r="AG218" s="263"/>
      <c r="AH218" s="20"/>
    </row>
    <row r="219" spans="1:42" s="4" customFormat="1" ht="21.75" customHeight="1" thickBot="1" x14ac:dyDescent="0.3">
      <c r="A219" s="3"/>
      <c r="D219" s="282" t="s">
        <v>91</v>
      </c>
      <c r="E219" s="282"/>
      <c r="F219" s="282"/>
      <c r="G219" s="282"/>
      <c r="H219" s="282"/>
      <c r="I219" s="282"/>
      <c r="J219" s="261">
        <f>J215+J216-J217+J218</f>
        <v>0</v>
      </c>
      <c r="K219" s="261"/>
      <c r="L219" s="261"/>
      <c r="M219" s="261">
        <f>M215+M216-M217+M218</f>
        <v>81044</v>
      </c>
      <c r="N219" s="261"/>
      <c r="O219" s="261"/>
      <c r="P219" s="261">
        <f>P215+P216-P217+P218</f>
        <v>0</v>
      </c>
      <c r="Q219" s="261"/>
      <c r="R219" s="261"/>
      <c r="S219" s="261">
        <f>S215+S216-S217+S218</f>
        <v>0</v>
      </c>
      <c r="T219" s="261"/>
      <c r="U219" s="261"/>
      <c r="V219" s="261">
        <f>V215+V216-V217+V218</f>
        <v>0</v>
      </c>
      <c r="W219" s="261"/>
      <c r="X219" s="261"/>
      <c r="Y219" s="261">
        <f>Y215+Y216-Y217+Y218</f>
        <v>26986.1</v>
      </c>
      <c r="Z219" s="261"/>
      <c r="AA219" s="261"/>
      <c r="AB219" s="261">
        <f>AB215+AB216-AB217+AB218</f>
        <v>0</v>
      </c>
      <c r="AC219" s="261"/>
      <c r="AD219" s="261"/>
      <c r="AE219" s="261">
        <f>AE215+AE216-AE217+AE218</f>
        <v>108030.1</v>
      </c>
      <c r="AF219" s="261"/>
      <c r="AG219" s="261"/>
      <c r="AH219" s="20"/>
    </row>
    <row r="220" spans="1:42" s="4" customFormat="1" ht="14.4" thickBot="1" x14ac:dyDescent="0.3">
      <c r="A220" s="3"/>
      <c r="D220" s="267" t="s">
        <v>92</v>
      </c>
      <c r="E220" s="267"/>
      <c r="F220" s="267"/>
      <c r="G220" s="267"/>
      <c r="H220" s="267"/>
      <c r="I220" s="267"/>
      <c r="J220" s="267"/>
      <c r="K220" s="267"/>
      <c r="L220" s="267"/>
      <c r="M220" s="267"/>
      <c r="N220" s="267"/>
      <c r="O220" s="267"/>
      <c r="P220" s="267"/>
      <c r="Q220" s="267"/>
      <c r="R220" s="267"/>
      <c r="S220" s="267"/>
      <c r="T220" s="267"/>
      <c r="U220" s="267"/>
      <c r="V220" s="267"/>
      <c r="W220" s="267"/>
      <c r="X220" s="267"/>
      <c r="Y220" s="267"/>
      <c r="Z220" s="267"/>
      <c r="AA220" s="267"/>
      <c r="AB220" s="267"/>
      <c r="AC220" s="267"/>
      <c r="AD220" s="267"/>
      <c r="AE220" s="267"/>
      <c r="AF220" s="267"/>
      <c r="AG220" s="267"/>
      <c r="AH220" s="44"/>
    </row>
    <row r="221" spans="1:42" s="4" customFormat="1" ht="21.75" customHeight="1" x14ac:dyDescent="0.25">
      <c r="A221" s="3"/>
      <c r="D221" s="268" t="s">
        <v>93</v>
      </c>
      <c r="E221" s="269"/>
      <c r="F221" s="269"/>
      <c r="G221" s="269"/>
      <c r="H221" s="269"/>
      <c r="I221" s="270"/>
      <c r="J221" s="271">
        <v>0</v>
      </c>
      <c r="K221" s="272"/>
      <c r="L221" s="273"/>
      <c r="M221" s="271">
        <f>M255</f>
        <v>77529</v>
      </c>
      <c r="N221" s="272"/>
      <c r="O221" s="273"/>
      <c r="P221" s="271">
        <v>0</v>
      </c>
      <c r="Q221" s="272"/>
      <c r="R221" s="273"/>
      <c r="S221" s="271">
        <v>0</v>
      </c>
      <c r="T221" s="272"/>
      <c r="U221" s="273"/>
      <c r="V221" s="271">
        <v>0</v>
      </c>
      <c r="W221" s="272"/>
      <c r="X221" s="273"/>
      <c r="Y221" s="271">
        <v>0</v>
      </c>
      <c r="Z221" s="272"/>
      <c r="AA221" s="273"/>
      <c r="AB221" s="271">
        <v>0</v>
      </c>
      <c r="AC221" s="272"/>
      <c r="AD221" s="273"/>
      <c r="AE221" s="271">
        <f>SUM(J221:AD221)</f>
        <v>77529</v>
      </c>
      <c r="AF221" s="272"/>
      <c r="AG221" s="273"/>
      <c r="AH221" s="20"/>
    </row>
    <row r="222" spans="1:42" s="4" customFormat="1" ht="13.8" x14ac:dyDescent="0.25">
      <c r="A222" s="3"/>
      <c r="D222" s="264" t="s">
        <v>88</v>
      </c>
      <c r="E222" s="265"/>
      <c r="F222" s="265"/>
      <c r="G222" s="265"/>
      <c r="H222" s="265"/>
      <c r="I222" s="266"/>
      <c r="J222" s="211"/>
      <c r="K222" s="212"/>
      <c r="L222" s="213"/>
      <c r="M222" s="211">
        <f>VLOOKUP(73999,'Účtovná osnova'!$A$1:$I$1068,9,FALSE)</f>
        <v>971.42</v>
      </c>
      <c r="N222" s="212"/>
      <c r="O222" s="213"/>
      <c r="P222" s="211"/>
      <c r="Q222" s="212"/>
      <c r="R222" s="213"/>
      <c r="S222" s="211"/>
      <c r="T222" s="212"/>
      <c r="U222" s="213"/>
      <c r="V222" s="211"/>
      <c r="W222" s="212"/>
      <c r="X222" s="213"/>
      <c r="Y222" s="211"/>
      <c r="Z222" s="212"/>
      <c r="AA222" s="213"/>
      <c r="AB222" s="211"/>
      <c r="AC222" s="212"/>
      <c r="AD222" s="213"/>
      <c r="AE222" s="211">
        <f>SUM(J222:AD222)</f>
        <v>971.42</v>
      </c>
      <c r="AF222" s="212"/>
      <c r="AG222" s="213"/>
      <c r="AH222" s="20"/>
    </row>
    <row r="223" spans="1:42" s="4" customFormat="1" ht="13.8" x14ac:dyDescent="0.25">
      <c r="A223" s="3"/>
      <c r="D223" s="264" t="s">
        <v>89</v>
      </c>
      <c r="E223" s="265"/>
      <c r="F223" s="265"/>
      <c r="G223" s="265"/>
      <c r="H223" s="265"/>
      <c r="I223" s="266"/>
      <c r="J223" s="211"/>
      <c r="K223" s="212"/>
      <c r="L223" s="213"/>
      <c r="M223" s="211"/>
      <c r="N223" s="212"/>
      <c r="O223" s="213"/>
      <c r="P223" s="211"/>
      <c r="Q223" s="212"/>
      <c r="R223" s="213"/>
      <c r="S223" s="211"/>
      <c r="T223" s="212"/>
      <c r="U223" s="213"/>
      <c r="V223" s="211"/>
      <c r="W223" s="212"/>
      <c r="X223" s="213"/>
      <c r="Y223" s="211"/>
      <c r="Z223" s="212"/>
      <c r="AA223" s="213"/>
      <c r="AB223" s="211"/>
      <c r="AC223" s="212"/>
      <c r="AD223" s="213"/>
      <c r="AE223" s="211">
        <f>SUM(J223:AD223)</f>
        <v>0</v>
      </c>
      <c r="AF223" s="212"/>
      <c r="AG223" s="213"/>
      <c r="AH223" s="20"/>
    </row>
    <row r="224" spans="1:42" s="4" customFormat="1" ht="13.8" x14ac:dyDescent="0.25">
      <c r="A224" s="3"/>
      <c r="D224" s="262" t="s">
        <v>90</v>
      </c>
      <c r="E224" s="262"/>
      <c r="F224" s="262"/>
      <c r="G224" s="262"/>
      <c r="H224" s="262"/>
      <c r="I224" s="262"/>
      <c r="J224" s="263"/>
      <c r="K224" s="263"/>
      <c r="L224" s="263"/>
      <c r="M224" s="263"/>
      <c r="N224" s="263"/>
      <c r="O224" s="263"/>
      <c r="P224" s="263"/>
      <c r="Q224" s="263"/>
      <c r="R224" s="263"/>
      <c r="S224" s="263"/>
      <c r="T224" s="263"/>
      <c r="U224" s="263"/>
      <c r="V224" s="263"/>
      <c r="W224" s="263"/>
      <c r="X224" s="263"/>
      <c r="Y224" s="263"/>
      <c r="Z224" s="263"/>
      <c r="AA224" s="263"/>
      <c r="AB224" s="263"/>
      <c r="AC224" s="263"/>
      <c r="AD224" s="263"/>
      <c r="AE224" s="263">
        <f>SUM(J224:AD224)</f>
        <v>0</v>
      </c>
      <c r="AF224" s="263"/>
      <c r="AG224" s="263"/>
      <c r="AH224" s="20"/>
      <c r="AN224" s="211"/>
      <c r="AO224" s="212"/>
      <c r="AP224" s="213"/>
    </row>
    <row r="225" spans="1:34" s="4" customFormat="1" ht="21.75" customHeight="1" thickBot="1" x14ac:dyDescent="0.3">
      <c r="A225" s="3"/>
      <c r="D225" s="293" t="s">
        <v>91</v>
      </c>
      <c r="E225" s="294"/>
      <c r="F225" s="294"/>
      <c r="G225" s="294"/>
      <c r="H225" s="294"/>
      <c r="I225" s="295"/>
      <c r="J225" s="261">
        <f>J221+J222-J223+J224</f>
        <v>0</v>
      </c>
      <c r="K225" s="261"/>
      <c r="L225" s="261"/>
      <c r="M225" s="261">
        <f>M221+M222-M223+M224</f>
        <v>78500.42</v>
      </c>
      <c r="N225" s="261"/>
      <c r="O225" s="261"/>
      <c r="P225" s="261">
        <f>P221+P222-P223+P224</f>
        <v>0</v>
      </c>
      <c r="Q225" s="261"/>
      <c r="R225" s="261"/>
      <c r="S225" s="261">
        <f>S221+S222-S223+S224</f>
        <v>0</v>
      </c>
      <c r="T225" s="261"/>
      <c r="U225" s="261"/>
      <c r="V225" s="261">
        <f>V221+V222-V223+V224</f>
        <v>0</v>
      </c>
      <c r="W225" s="261"/>
      <c r="X225" s="261"/>
      <c r="Y225" s="261">
        <f>Y221+Y222-Y223+Y224</f>
        <v>0</v>
      </c>
      <c r="Z225" s="261"/>
      <c r="AA225" s="261"/>
      <c r="AB225" s="261">
        <f>AB221+AB222-AB223+AB224</f>
        <v>0</v>
      </c>
      <c r="AC225" s="261"/>
      <c r="AD225" s="261"/>
      <c r="AE225" s="261">
        <f>AE221+AE222-AE223+AE224</f>
        <v>78500.42</v>
      </c>
      <c r="AF225" s="261"/>
      <c r="AG225" s="261"/>
      <c r="AH225" s="20"/>
    </row>
    <row r="226" spans="1:34" s="4" customFormat="1" ht="14.4" thickBot="1" x14ac:dyDescent="0.3">
      <c r="A226" s="3"/>
      <c r="D226" s="267" t="s">
        <v>94</v>
      </c>
      <c r="E226" s="267"/>
      <c r="F226" s="267"/>
      <c r="G226" s="267"/>
      <c r="H226" s="267"/>
      <c r="I226" s="267"/>
      <c r="J226" s="267"/>
      <c r="K226" s="267"/>
      <c r="L226" s="267"/>
      <c r="M226" s="267"/>
      <c r="N226" s="267"/>
      <c r="O226" s="267"/>
      <c r="P226" s="267"/>
      <c r="Q226" s="267"/>
      <c r="R226" s="267"/>
      <c r="S226" s="267"/>
      <c r="T226" s="267"/>
      <c r="U226" s="267"/>
      <c r="V226" s="267"/>
      <c r="W226" s="267"/>
      <c r="X226" s="267"/>
      <c r="Y226" s="267"/>
      <c r="Z226" s="267"/>
      <c r="AA226" s="267"/>
      <c r="AB226" s="267"/>
      <c r="AC226" s="267"/>
      <c r="AD226" s="267"/>
      <c r="AE226" s="267"/>
      <c r="AF226" s="267"/>
      <c r="AG226" s="267"/>
      <c r="AH226" s="44"/>
    </row>
    <row r="227" spans="1:34" s="4" customFormat="1" ht="21.75" customHeight="1" x14ac:dyDescent="0.25">
      <c r="A227" s="3"/>
      <c r="D227" s="268" t="s">
        <v>93</v>
      </c>
      <c r="E227" s="269"/>
      <c r="F227" s="269"/>
      <c r="G227" s="269"/>
      <c r="H227" s="269"/>
      <c r="I227" s="270"/>
      <c r="J227" s="271"/>
      <c r="K227" s="272"/>
      <c r="L227" s="273"/>
      <c r="M227" s="271"/>
      <c r="N227" s="272"/>
      <c r="O227" s="273"/>
      <c r="P227" s="271"/>
      <c r="Q227" s="272"/>
      <c r="R227" s="273"/>
      <c r="S227" s="271"/>
      <c r="T227" s="272"/>
      <c r="U227" s="273"/>
      <c r="V227" s="271"/>
      <c r="W227" s="272"/>
      <c r="X227" s="273"/>
      <c r="Y227" s="271"/>
      <c r="Z227" s="272"/>
      <c r="AA227" s="273"/>
      <c r="AB227" s="271"/>
      <c r="AC227" s="272"/>
      <c r="AD227" s="273"/>
      <c r="AE227" s="271">
        <f>SUM(J227:AD227)</f>
        <v>0</v>
      </c>
      <c r="AF227" s="272"/>
      <c r="AG227" s="273"/>
      <c r="AH227" s="20"/>
    </row>
    <row r="228" spans="1:34" s="4" customFormat="1" ht="13.8" x14ac:dyDescent="0.25">
      <c r="A228" s="3"/>
      <c r="D228" s="264" t="s">
        <v>88</v>
      </c>
      <c r="E228" s="265"/>
      <c r="F228" s="265"/>
      <c r="G228" s="265"/>
      <c r="H228" s="265"/>
      <c r="I228" s="266"/>
      <c r="J228" s="211"/>
      <c r="K228" s="212"/>
      <c r="L228" s="213"/>
      <c r="M228" s="211"/>
      <c r="N228" s="212"/>
      <c r="O228" s="213"/>
      <c r="P228" s="211"/>
      <c r="Q228" s="212"/>
      <c r="R228" s="213"/>
      <c r="S228" s="211"/>
      <c r="T228" s="212"/>
      <c r="U228" s="213"/>
      <c r="V228" s="211"/>
      <c r="W228" s="212"/>
      <c r="X228" s="213"/>
      <c r="Y228" s="211"/>
      <c r="Z228" s="212"/>
      <c r="AA228" s="213"/>
      <c r="AB228" s="211"/>
      <c r="AC228" s="212"/>
      <c r="AD228" s="213"/>
      <c r="AE228" s="211">
        <f>SUM(J228:AD228)</f>
        <v>0</v>
      </c>
      <c r="AF228" s="212"/>
      <c r="AG228" s="213"/>
      <c r="AH228" s="20"/>
    </row>
    <row r="229" spans="1:34" s="4" customFormat="1" ht="13.8" x14ac:dyDescent="0.25">
      <c r="A229" s="3"/>
      <c r="D229" s="264" t="s">
        <v>89</v>
      </c>
      <c r="E229" s="265"/>
      <c r="F229" s="265"/>
      <c r="G229" s="265"/>
      <c r="H229" s="265"/>
      <c r="I229" s="266"/>
      <c r="J229" s="211"/>
      <c r="K229" s="212"/>
      <c r="L229" s="213"/>
      <c r="M229" s="211"/>
      <c r="N229" s="212"/>
      <c r="O229" s="213"/>
      <c r="P229" s="211"/>
      <c r="Q229" s="212"/>
      <c r="R229" s="213"/>
      <c r="S229" s="211"/>
      <c r="T229" s="212"/>
      <c r="U229" s="213"/>
      <c r="V229" s="211"/>
      <c r="W229" s="212"/>
      <c r="X229" s="213"/>
      <c r="Y229" s="211"/>
      <c r="Z229" s="212"/>
      <c r="AA229" s="213"/>
      <c r="AB229" s="211"/>
      <c r="AC229" s="212"/>
      <c r="AD229" s="213"/>
      <c r="AE229" s="211">
        <f>SUM(J229:AD229)</f>
        <v>0</v>
      </c>
      <c r="AF229" s="212"/>
      <c r="AG229" s="213"/>
      <c r="AH229" s="20"/>
    </row>
    <row r="230" spans="1:34" s="4" customFormat="1" ht="13.8" x14ac:dyDescent="0.25">
      <c r="A230" s="3"/>
      <c r="D230" s="262" t="s">
        <v>90</v>
      </c>
      <c r="E230" s="262"/>
      <c r="F230" s="262"/>
      <c r="G230" s="262"/>
      <c r="H230" s="262"/>
      <c r="I230" s="262"/>
      <c r="J230" s="263"/>
      <c r="K230" s="263"/>
      <c r="L230" s="263"/>
      <c r="M230" s="263"/>
      <c r="N230" s="263"/>
      <c r="O230" s="263"/>
      <c r="P230" s="263"/>
      <c r="Q230" s="263"/>
      <c r="R230" s="263"/>
      <c r="S230" s="263"/>
      <c r="T230" s="263"/>
      <c r="U230" s="263"/>
      <c r="V230" s="263"/>
      <c r="W230" s="263"/>
      <c r="X230" s="263"/>
      <c r="Y230" s="263"/>
      <c r="Z230" s="263"/>
      <c r="AA230" s="263"/>
      <c r="AB230" s="263"/>
      <c r="AC230" s="263"/>
      <c r="AD230" s="263"/>
      <c r="AE230" s="263">
        <f>SUM(J230:AD230)</f>
        <v>0</v>
      </c>
      <c r="AF230" s="263"/>
      <c r="AG230" s="263"/>
      <c r="AH230" s="20"/>
    </row>
    <row r="231" spans="1:34" s="4" customFormat="1" ht="21.75" customHeight="1" thickBot="1" x14ac:dyDescent="0.3">
      <c r="A231" s="3"/>
      <c r="D231" s="293" t="s">
        <v>91</v>
      </c>
      <c r="E231" s="294"/>
      <c r="F231" s="294"/>
      <c r="G231" s="294"/>
      <c r="H231" s="294"/>
      <c r="I231" s="295"/>
      <c r="J231" s="261">
        <f>J227+J228-J229+J230</f>
        <v>0</v>
      </c>
      <c r="K231" s="261"/>
      <c r="L231" s="261"/>
      <c r="M231" s="261">
        <f>M227+M228-M229+M230</f>
        <v>0</v>
      </c>
      <c r="N231" s="261"/>
      <c r="O231" s="261"/>
      <c r="P231" s="261">
        <f>P227+P228-P229+P230</f>
        <v>0</v>
      </c>
      <c r="Q231" s="261"/>
      <c r="R231" s="261"/>
      <c r="S231" s="261">
        <f>S227+S228-S229+S230</f>
        <v>0</v>
      </c>
      <c r="T231" s="261"/>
      <c r="U231" s="261"/>
      <c r="V231" s="261">
        <f>V227+V228-V229+V230</f>
        <v>0</v>
      </c>
      <c r="W231" s="261"/>
      <c r="X231" s="261"/>
      <c r="Y231" s="261">
        <f>Y227+Y228-Y229+Y230</f>
        <v>0</v>
      </c>
      <c r="Z231" s="261"/>
      <c r="AA231" s="261"/>
      <c r="AB231" s="261">
        <f>AB227+AB228-AB229+AB230</f>
        <v>0</v>
      </c>
      <c r="AC231" s="261"/>
      <c r="AD231" s="261"/>
      <c r="AE231" s="261">
        <f>AE227+AE228-AE229+AE230</f>
        <v>0</v>
      </c>
      <c r="AF231" s="261"/>
      <c r="AG231" s="261"/>
      <c r="AH231" s="20"/>
    </row>
    <row r="232" spans="1:34" s="4" customFormat="1" ht="14.4" thickBot="1" x14ac:dyDescent="0.3">
      <c r="A232" s="3"/>
      <c r="D232" s="267" t="s">
        <v>95</v>
      </c>
      <c r="E232" s="267"/>
      <c r="F232" s="267"/>
      <c r="G232" s="267"/>
      <c r="H232" s="267"/>
      <c r="I232" s="267"/>
      <c r="J232" s="267"/>
      <c r="K232" s="267"/>
      <c r="L232" s="267"/>
      <c r="M232" s="267"/>
      <c r="N232" s="267"/>
      <c r="O232" s="267"/>
      <c r="P232" s="267"/>
      <c r="Q232" s="267"/>
      <c r="R232" s="267"/>
      <c r="S232" s="267"/>
      <c r="T232" s="267"/>
      <c r="U232" s="267"/>
      <c r="V232" s="267"/>
      <c r="W232" s="267"/>
      <c r="X232" s="267"/>
      <c r="Y232" s="267"/>
      <c r="Z232" s="267"/>
      <c r="AA232" s="267"/>
      <c r="AB232" s="267"/>
      <c r="AC232" s="267"/>
      <c r="AD232" s="267"/>
      <c r="AE232" s="267"/>
      <c r="AF232" s="267"/>
      <c r="AG232" s="267"/>
      <c r="AH232" s="44"/>
    </row>
    <row r="233" spans="1:34" s="4" customFormat="1" ht="21.75" customHeight="1" x14ac:dyDescent="0.25">
      <c r="A233" s="3"/>
      <c r="D233" s="291" t="s">
        <v>93</v>
      </c>
      <c r="E233" s="291"/>
      <c r="F233" s="291"/>
      <c r="G233" s="291"/>
      <c r="H233" s="291"/>
      <c r="I233" s="291"/>
      <c r="J233" s="292">
        <f>J215-J221-J227</f>
        <v>0</v>
      </c>
      <c r="K233" s="292"/>
      <c r="L233" s="292"/>
      <c r="M233" s="292">
        <f>M215-M221-M227</f>
        <v>3515</v>
      </c>
      <c r="N233" s="292"/>
      <c r="O233" s="292"/>
      <c r="P233" s="292">
        <f>P215-P221-P227</f>
        <v>0</v>
      </c>
      <c r="Q233" s="292"/>
      <c r="R233" s="292"/>
      <c r="S233" s="292">
        <f>S215-S221-S227</f>
        <v>0</v>
      </c>
      <c r="T233" s="292"/>
      <c r="U233" s="292"/>
      <c r="V233" s="292">
        <f>V215-V221-V227</f>
        <v>0</v>
      </c>
      <c r="W233" s="292"/>
      <c r="X233" s="292"/>
      <c r="Y233" s="292">
        <f>Y215-Y221-Y227</f>
        <v>7000</v>
      </c>
      <c r="Z233" s="292"/>
      <c r="AA233" s="292"/>
      <c r="AB233" s="292">
        <f>AB215-AB221-AB227</f>
        <v>0</v>
      </c>
      <c r="AC233" s="292"/>
      <c r="AD233" s="292"/>
      <c r="AE233" s="292">
        <f>AE215-AE221-AE227</f>
        <v>10515</v>
      </c>
      <c r="AF233" s="292"/>
      <c r="AG233" s="292"/>
      <c r="AH233" s="20"/>
    </row>
    <row r="234" spans="1:34" s="4" customFormat="1" ht="21.75" customHeight="1" thickBot="1" x14ac:dyDescent="0.3">
      <c r="A234" s="3"/>
      <c r="D234" s="282" t="s">
        <v>91</v>
      </c>
      <c r="E234" s="282"/>
      <c r="F234" s="282"/>
      <c r="G234" s="282"/>
      <c r="H234" s="282"/>
      <c r="I234" s="282"/>
      <c r="J234" s="261">
        <f>J219-J225-J231</f>
        <v>0</v>
      </c>
      <c r="K234" s="261"/>
      <c r="L234" s="261"/>
      <c r="M234" s="261">
        <f>M219-M225-M231</f>
        <v>2543.5800000000017</v>
      </c>
      <c r="N234" s="261"/>
      <c r="O234" s="261"/>
      <c r="P234" s="261">
        <f>P219-P225-P231</f>
        <v>0</v>
      </c>
      <c r="Q234" s="261"/>
      <c r="R234" s="261"/>
      <c r="S234" s="261">
        <f>S219-S225-S231</f>
        <v>0</v>
      </c>
      <c r="T234" s="261"/>
      <c r="U234" s="261"/>
      <c r="V234" s="261">
        <f>V219-V225-V231</f>
        <v>0</v>
      </c>
      <c r="W234" s="261"/>
      <c r="X234" s="261"/>
      <c r="Y234" s="261">
        <f>Y219-Y225-Y231</f>
        <v>26986.1</v>
      </c>
      <c r="Z234" s="261"/>
      <c r="AA234" s="261"/>
      <c r="AB234" s="261">
        <f>AB219-AB225-AB231</f>
        <v>0</v>
      </c>
      <c r="AC234" s="261"/>
      <c r="AD234" s="261"/>
      <c r="AE234" s="261">
        <f>AE219-AE225-AE231</f>
        <v>29529.680000000008</v>
      </c>
      <c r="AF234" s="261"/>
      <c r="AG234" s="261"/>
      <c r="AH234" s="20"/>
    </row>
    <row r="235" spans="1:34" s="20" customFormat="1" ht="13.8" x14ac:dyDescent="0.25">
      <c r="A235" s="60"/>
    </row>
    <row r="236" spans="1:34" s="20" customFormat="1" ht="13.8" x14ac:dyDescent="0.25">
      <c r="A236" s="60"/>
      <c r="D236" s="56" t="s">
        <v>672</v>
      </c>
      <c r="E236" s="57"/>
      <c r="F236" s="57"/>
      <c r="G236" s="57"/>
      <c r="H236" s="57"/>
      <c r="I236" s="57"/>
      <c r="J236" s="57"/>
      <c r="K236" s="57"/>
      <c r="L236" s="57"/>
      <c r="M236" s="57"/>
      <c r="N236" s="57"/>
      <c r="O236" s="57"/>
      <c r="P236" s="57"/>
      <c r="Q236" s="57"/>
      <c r="R236" s="57"/>
      <c r="S236" s="57"/>
      <c r="T236" s="57"/>
      <c r="U236" s="57"/>
      <c r="V236" s="57"/>
      <c r="W236" s="57"/>
      <c r="X236" s="57"/>
      <c r="Y236" s="57"/>
      <c r="Z236" s="57"/>
    </row>
    <row r="237" spans="1:34" s="20" customFormat="1" ht="13.8" x14ac:dyDescent="0.25">
      <c r="A237" s="60"/>
      <c r="D237" s="57"/>
      <c r="E237" s="57"/>
      <c r="F237" s="57"/>
      <c r="G237" s="57"/>
      <c r="H237" s="57"/>
      <c r="I237" s="57"/>
      <c r="J237" s="57"/>
      <c r="K237" s="57"/>
      <c r="L237" s="57"/>
      <c r="M237" s="57"/>
      <c r="N237" s="57"/>
      <c r="O237" s="57"/>
      <c r="P237" s="57"/>
      <c r="Q237" s="57"/>
      <c r="R237" s="57"/>
      <c r="S237" s="57"/>
      <c r="T237" s="57"/>
      <c r="U237" s="57"/>
      <c r="V237" s="57"/>
      <c r="W237" s="57"/>
      <c r="X237" s="57"/>
      <c r="Y237" s="57"/>
      <c r="Z237" s="57"/>
    </row>
    <row r="238" spans="1:34" s="20" customFormat="1" ht="13.8" x14ac:dyDescent="0.25">
      <c r="A238" s="60"/>
      <c r="D238" s="56" t="s">
        <v>96</v>
      </c>
      <c r="E238" s="57"/>
      <c r="F238" s="57"/>
      <c r="G238" s="57"/>
      <c r="H238" s="57"/>
      <c r="I238" s="57"/>
      <c r="J238" s="57"/>
      <c r="K238" s="57"/>
      <c r="L238" s="57"/>
      <c r="M238" s="57"/>
      <c r="N238" s="57"/>
      <c r="O238" s="57"/>
      <c r="P238" s="57"/>
      <c r="Q238" s="57"/>
      <c r="R238" s="57"/>
      <c r="S238" s="57"/>
      <c r="T238" s="57"/>
      <c r="U238" s="57"/>
      <c r="V238" s="57"/>
      <c r="W238" s="57"/>
      <c r="X238" s="57"/>
      <c r="Y238" s="57"/>
      <c r="Z238" s="57"/>
      <c r="AA238" s="57"/>
    </row>
    <row r="239" spans="1:34" s="20" customFormat="1" ht="13.8" x14ac:dyDescent="0.25">
      <c r="A239" s="60"/>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row>
    <row r="240" spans="1:34" s="70" customFormat="1" ht="13.8" x14ac:dyDescent="0.25">
      <c r="A240" s="92"/>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row>
    <row r="241" spans="1:34" s="70" customFormat="1" ht="14.4" thickBot="1" x14ac:dyDescent="0.3">
      <c r="A241" s="92"/>
      <c r="D241" s="57"/>
      <c r="E241" s="57"/>
      <c r="F241" s="57"/>
      <c r="G241" s="57"/>
      <c r="H241" s="57"/>
      <c r="I241" s="57"/>
      <c r="J241" s="57"/>
      <c r="K241" s="57"/>
      <c r="L241" s="57"/>
      <c r="M241" s="57"/>
      <c r="N241" s="57"/>
      <c r="O241" s="57"/>
      <c r="P241" s="57"/>
      <c r="Q241" s="57"/>
      <c r="R241" s="57"/>
      <c r="S241" s="57"/>
      <c r="T241" s="57"/>
      <c r="U241" s="57"/>
      <c r="V241" s="57"/>
      <c r="W241" s="57"/>
      <c r="X241" s="57"/>
      <c r="Y241" s="57"/>
      <c r="Z241" s="57"/>
      <c r="AA241" s="57"/>
    </row>
    <row r="242" spans="1:34" s="4" customFormat="1" ht="14.4" thickBot="1" x14ac:dyDescent="0.3">
      <c r="A242" s="3" t="s">
        <v>97</v>
      </c>
      <c r="D242" s="283" t="s">
        <v>79</v>
      </c>
      <c r="E242" s="284"/>
      <c r="F242" s="284"/>
      <c r="G242" s="284"/>
      <c r="H242" s="284"/>
      <c r="I242" s="287"/>
      <c r="J242" s="322" t="s">
        <v>17</v>
      </c>
      <c r="K242" s="322"/>
      <c r="L242" s="322"/>
      <c r="M242" s="322"/>
      <c r="N242" s="322"/>
      <c r="O242" s="322"/>
      <c r="P242" s="322"/>
      <c r="Q242" s="322"/>
      <c r="R242" s="322"/>
      <c r="S242" s="322"/>
      <c r="T242" s="322"/>
      <c r="U242" s="322"/>
      <c r="V242" s="322"/>
      <c r="W242" s="322"/>
      <c r="X242" s="322"/>
      <c r="Y242" s="322"/>
      <c r="Z242" s="322"/>
      <c r="AA242" s="322"/>
      <c r="AB242" s="322"/>
      <c r="AC242" s="322"/>
      <c r="AD242" s="322"/>
      <c r="AE242" s="322"/>
      <c r="AF242" s="322"/>
      <c r="AG242" s="322"/>
      <c r="AH242" s="20"/>
    </row>
    <row r="243" spans="1:34" s="4" customFormat="1" ht="33.75" customHeight="1" thickBot="1" x14ac:dyDescent="0.3">
      <c r="A243" s="3"/>
      <c r="D243" s="285"/>
      <c r="E243" s="286"/>
      <c r="F243" s="286"/>
      <c r="G243" s="286"/>
      <c r="H243" s="286"/>
      <c r="I243" s="288"/>
      <c r="J243" s="278" t="s">
        <v>80</v>
      </c>
      <c r="K243" s="278"/>
      <c r="L243" s="278"/>
      <c r="M243" s="278" t="s">
        <v>39</v>
      </c>
      <c r="N243" s="278"/>
      <c r="O243" s="278"/>
      <c r="P243" s="278" t="s">
        <v>81</v>
      </c>
      <c r="Q243" s="278"/>
      <c r="R243" s="278"/>
      <c r="S243" s="278" t="s">
        <v>82</v>
      </c>
      <c r="T243" s="278"/>
      <c r="U243" s="278"/>
      <c r="V243" s="278" t="s">
        <v>83</v>
      </c>
      <c r="W243" s="278"/>
      <c r="X243" s="278"/>
      <c r="Y243" s="278" t="s">
        <v>84</v>
      </c>
      <c r="Z243" s="278"/>
      <c r="AA243" s="278"/>
      <c r="AB243" s="278" t="s">
        <v>85</v>
      </c>
      <c r="AC243" s="278"/>
      <c r="AD243" s="278"/>
      <c r="AE243" s="278" t="s">
        <v>27</v>
      </c>
      <c r="AF243" s="278"/>
      <c r="AG243" s="278"/>
      <c r="AH243" s="20"/>
    </row>
    <row r="244" spans="1:34" s="4" customFormat="1" ht="14.4" thickBot="1" x14ac:dyDescent="0.3">
      <c r="A244" s="3"/>
      <c r="D244" s="267" t="s">
        <v>86</v>
      </c>
      <c r="E244" s="267"/>
      <c r="F244" s="267"/>
      <c r="G244" s="267"/>
      <c r="H244" s="267"/>
      <c r="I244" s="267"/>
      <c r="J244" s="267"/>
      <c r="K244" s="267"/>
      <c r="L244" s="267"/>
      <c r="M244" s="267"/>
      <c r="N244" s="267"/>
      <c r="O244" s="267"/>
      <c r="P244" s="267"/>
      <c r="Q244" s="267"/>
      <c r="R244" s="267"/>
      <c r="S244" s="267"/>
      <c r="T244" s="267"/>
      <c r="U244" s="267"/>
      <c r="V244" s="267"/>
      <c r="W244" s="267"/>
      <c r="X244" s="267"/>
      <c r="Y244" s="267"/>
      <c r="Z244" s="267"/>
      <c r="AA244" s="267"/>
      <c r="AB244" s="267"/>
      <c r="AC244" s="267"/>
      <c r="AD244" s="267"/>
      <c r="AE244" s="267"/>
      <c r="AF244" s="267"/>
      <c r="AG244" s="267"/>
      <c r="AH244" s="44"/>
    </row>
    <row r="245" spans="1:34" s="4" customFormat="1" ht="21.75" customHeight="1" x14ac:dyDescent="0.25">
      <c r="A245" s="3"/>
      <c r="D245" s="279" t="s">
        <v>87</v>
      </c>
      <c r="E245" s="279"/>
      <c r="F245" s="279"/>
      <c r="G245" s="279"/>
      <c r="H245" s="279"/>
      <c r="I245" s="279"/>
      <c r="J245" s="280">
        <v>0</v>
      </c>
      <c r="K245" s="280"/>
      <c r="L245" s="280"/>
      <c r="M245" s="327">
        <v>81044</v>
      </c>
      <c r="N245" s="327"/>
      <c r="O245" s="327"/>
      <c r="P245" s="280">
        <v>0</v>
      </c>
      <c r="Q245" s="280"/>
      <c r="R245" s="280"/>
      <c r="S245" s="280">
        <v>0</v>
      </c>
      <c r="T245" s="280"/>
      <c r="U245" s="280"/>
      <c r="V245" s="280">
        <v>0</v>
      </c>
      <c r="W245" s="280"/>
      <c r="X245" s="280"/>
      <c r="Y245" s="280">
        <v>0</v>
      </c>
      <c r="Z245" s="280"/>
      <c r="AA245" s="280"/>
      <c r="AB245" s="280">
        <v>0</v>
      </c>
      <c r="AC245" s="280"/>
      <c r="AD245" s="280"/>
      <c r="AE245" s="280">
        <f>SUM(J245:AD245)</f>
        <v>81044</v>
      </c>
      <c r="AF245" s="280"/>
      <c r="AG245" s="280"/>
      <c r="AH245" s="20"/>
    </row>
    <row r="246" spans="1:34" s="4" customFormat="1" ht="13.8" x14ac:dyDescent="0.25">
      <c r="A246" s="3"/>
      <c r="D246" s="262" t="s">
        <v>88</v>
      </c>
      <c r="E246" s="262"/>
      <c r="F246" s="262"/>
      <c r="G246" s="262"/>
      <c r="H246" s="262"/>
      <c r="I246" s="262"/>
      <c r="J246" s="263"/>
      <c r="K246" s="263"/>
      <c r="L246" s="263"/>
      <c r="M246" s="263"/>
      <c r="N246" s="263"/>
      <c r="O246" s="263"/>
      <c r="P246" s="263"/>
      <c r="Q246" s="263"/>
      <c r="R246" s="263"/>
      <c r="S246" s="263"/>
      <c r="T246" s="263"/>
      <c r="U246" s="263"/>
      <c r="V246" s="263"/>
      <c r="W246" s="263"/>
      <c r="X246" s="263"/>
      <c r="Y246" s="326">
        <v>7000</v>
      </c>
      <c r="Z246" s="326"/>
      <c r="AA246" s="326"/>
      <c r="AB246" s="263"/>
      <c r="AC246" s="263"/>
      <c r="AD246" s="263"/>
      <c r="AE246" s="263">
        <f>SUM(J246:AD246)</f>
        <v>7000</v>
      </c>
      <c r="AF246" s="263"/>
      <c r="AG246" s="263"/>
      <c r="AH246" s="20"/>
    </row>
    <row r="247" spans="1:34" s="4" customFormat="1" ht="13.8" x14ac:dyDescent="0.25">
      <c r="A247" s="3"/>
      <c r="D247" s="262" t="s">
        <v>89</v>
      </c>
      <c r="E247" s="262"/>
      <c r="F247" s="262"/>
      <c r="G247" s="262"/>
      <c r="H247" s="262"/>
      <c r="I247" s="262"/>
      <c r="J247" s="263"/>
      <c r="K247" s="263"/>
      <c r="L247" s="263"/>
      <c r="M247" s="263"/>
      <c r="N247" s="263"/>
      <c r="O247" s="263"/>
      <c r="P247" s="263"/>
      <c r="Q247" s="263"/>
      <c r="R247" s="263"/>
      <c r="S247" s="263"/>
      <c r="T247" s="263"/>
      <c r="U247" s="263"/>
      <c r="V247" s="263"/>
      <c r="W247" s="263"/>
      <c r="X247" s="263"/>
      <c r="Y247" s="263"/>
      <c r="Z247" s="263"/>
      <c r="AA247" s="263"/>
      <c r="AB247" s="263"/>
      <c r="AC247" s="263"/>
      <c r="AD247" s="263"/>
      <c r="AE247" s="263">
        <f>SUM(J247:AD247)</f>
        <v>0</v>
      </c>
      <c r="AF247" s="263"/>
      <c r="AG247" s="263"/>
      <c r="AH247" s="20"/>
    </row>
    <row r="248" spans="1:34" s="4" customFormat="1" ht="13.8" x14ac:dyDescent="0.25">
      <c r="A248" s="3"/>
      <c r="D248" s="262" t="s">
        <v>90</v>
      </c>
      <c r="E248" s="262"/>
      <c r="F248" s="262"/>
      <c r="G248" s="262"/>
      <c r="H248" s="262"/>
      <c r="I248" s="262"/>
      <c r="J248" s="263"/>
      <c r="K248" s="263"/>
      <c r="L248" s="263"/>
      <c r="M248" s="263"/>
      <c r="N248" s="263"/>
      <c r="O248" s="263"/>
      <c r="P248" s="263"/>
      <c r="Q248" s="263"/>
      <c r="R248" s="263"/>
      <c r="S248" s="263"/>
      <c r="T248" s="263"/>
      <c r="U248" s="263"/>
      <c r="V248" s="263"/>
      <c r="W248" s="263"/>
      <c r="X248" s="263"/>
      <c r="Y248" s="263"/>
      <c r="Z248" s="263"/>
      <c r="AA248" s="263"/>
      <c r="AB248" s="263"/>
      <c r="AC248" s="263"/>
      <c r="AD248" s="263"/>
      <c r="AE248" s="263">
        <f>SUM(J248:AD248)</f>
        <v>0</v>
      </c>
      <c r="AF248" s="263"/>
      <c r="AG248" s="263"/>
      <c r="AH248" s="20"/>
    </row>
    <row r="249" spans="1:34" s="4" customFormat="1" ht="21.75" customHeight="1" thickBot="1" x14ac:dyDescent="0.3">
      <c r="A249" s="3"/>
      <c r="D249" s="282" t="s">
        <v>91</v>
      </c>
      <c r="E249" s="282"/>
      <c r="F249" s="282"/>
      <c r="G249" s="282"/>
      <c r="H249" s="282"/>
      <c r="I249" s="282"/>
      <c r="J249" s="261">
        <f>J245+J246-J247+J248</f>
        <v>0</v>
      </c>
      <c r="K249" s="261"/>
      <c r="L249" s="261"/>
      <c r="M249" s="261">
        <f>M245+M246-M247+M248</f>
        <v>81044</v>
      </c>
      <c r="N249" s="261"/>
      <c r="O249" s="261"/>
      <c r="P249" s="261">
        <f>P245+P246-P247+P248</f>
        <v>0</v>
      </c>
      <c r="Q249" s="261"/>
      <c r="R249" s="261"/>
      <c r="S249" s="261">
        <f>S245+S246-S247+S248</f>
        <v>0</v>
      </c>
      <c r="T249" s="261"/>
      <c r="U249" s="261"/>
      <c r="V249" s="261">
        <f>V245+V246-V247+V248</f>
        <v>0</v>
      </c>
      <c r="W249" s="261"/>
      <c r="X249" s="261"/>
      <c r="Y249" s="261">
        <f>Y245+Y246-Y247+Y248</f>
        <v>7000</v>
      </c>
      <c r="Z249" s="261"/>
      <c r="AA249" s="261"/>
      <c r="AB249" s="261">
        <f>AB245+AB246-AB247+AB248</f>
        <v>0</v>
      </c>
      <c r="AC249" s="261"/>
      <c r="AD249" s="261"/>
      <c r="AE249" s="261">
        <f>AE245+AE246-AE247+AE248</f>
        <v>88044</v>
      </c>
      <c r="AF249" s="261"/>
      <c r="AG249" s="261"/>
      <c r="AH249" s="20"/>
    </row>
    <row r="250" spans="1:34" s="4" customFormat="1" ht="14.4" thickBot="1" x14ac:dyDescent="0.3">
      <c r="A250" s="3"/>
      <c r="D250" s="267" t="s">
        <v>92</v>
      </c>
      <c r="E250" s="267"/>
      <c r="F250" s="267"/>
      <c r="G250" s="267"/>
      <c r="H250" s="267"/>
      <c r="I250" s="267"/>
      <c r="J250" s="267"/>
      <c r="K250" s="267"/>
      <c r="L250" s="267"/>
      <c r="M250" s="267"/>
      <c r="N250" s="267"/>
      <c r="O250" s="267"/>
      <c r="P250" s="267"/>
      <c r="Q250" s="267"/>
      <c r="R250" s="267"/>
      <c r="S250" s="267"/>
      <c r="T250" s="267"/>
      <c r="U250" s="267"/>
      <c r="V250" s="267"/>
      <c r="W250" s="267"/>
      <c r="X250" s="267"/>
      <c r="Y250" s="267"/>
      <c r="Z250" s="267"/>
      <c r="AA250" s="267"/>
      <c r="AB250" s="267"/>
      <c r="AC250" s="267"/>
      <c r="AD250" s="267"/>
      <c r="AE250" s="267"/>
      <c r="AF250" s="267"/>
      <c r="AG250" s="267"/>
      <c r="AH250" s="44"/>
    </row>
    <row r="251" spans="1:34" s="4" customFormat="1" ht="21.75" customHeight="1" x14ac:dyDescent="0.25">
      <c r="A251" s="3"/>
      <c r="D251" s="268" t="s">
        <v>93</v>
      </c>
      <c r="E251" s="269"/>
      <c r="F251" s="269"/>
      <c r="G251" s="269"/>
      <c r="H251" s="269"/>
      <c r="I251" s="270"/>
      <c r="J251" s="271">
        <v>0</v>
      </c>
      <c r="K251" s="272"/>
      <c r="L251" s="273"/>
      <c r="M251" s="331">
        <v>76410</v>
      </c>
      <c r="N251" s="332"/>
      <c r="O251" s="333"/>
      <c r="P251" s="271">
        <v>0</v>
      </c>
      <c r="Q251" s="272"/>
      <c r="R251" s="273"/>
      <c r="S251" s="271">
        <v>0</v>
      </c>
      <c r="T251" s="272"/>
      <c r="U251" s="273"/>
      <c r="V251" s="271">
        <v>0</v>
      </c>
      <c r="W251" s="272"/>
      <c r="X251" s="273"/>
      <c r="Y251" s="271">
        <v>0</v>
      </c>
      <c r="Z251" s="272"/>
      <c r="AA251" s="273"/>
      <c r="AB251" s="271">
        <v>0</v>
      </c>
      <c r="AC251" s="272"/>
      <c r="AD251" s="273"/>
      <c r="AE251" s="271">
        <f>SUM(J251:AD251)</f>
        <v>76410</v>
      </c>
      <c r="AF251" s="272"/>
      <c r="AG251" s="273"/>
      <c r="AH251" s="20"/>
    </row>
    <row r="252" spans="1:34" s="4" customFormat="1" ht="13.8" x14ac:dyDescent="0.25">
      <c r="A252" s="3"/>
      <c r="D252" s="264" t="s">
        <v>88</v>
      </c>
      <c r="E252" s="265"/>
      <c r="F252" s="265"/>
      <c r="G252" s="265"/>
      <c r="H252" s="265"/>
      <c r="I252" s="266"/>
      <c r="J252" s="211"/>
      <c r="K252" s="212"/>
      <c r="L252" s="213"/>
      <c r="M252" s="328">
        <v>1119</v>
      </c>
      <c r="N252" s="329"/>
      <c r="O252" s="330"/>
      <c r="P252" s="211"/>
      <c r="Q252" s="212"/>
      <c r="R252" s="213"/>
      <c r="S252" s="211"/>
      <c r="T252" s="212"/>
      <c r="U252" s="213"/>
      <c r="V252" s="211"/>
      <c r="W252" s="212"/>
      <c r="X252" s="213"/>
      <c r="Y252" s="211"/>
      <c r="Z252" s="212"/>
      <c r="AA252" s="213"/>
      <c r="AB252" s="211"/>
      <c r="AC252" s="212"/>
      <c r="AD252" s="213"/>
      <c r="AE252" s="211">
        <f>SUM(J252:AD252)</f>
        <v>1119</v>
      </c>
      <c r="AF252" s="212"/>
      <c r="AG252" s="213"/>
      <c r="AH252" s="20"/>
    </row>
    <row r="253" spans="1:34" s="4" customFormat="1" ht="13.8" x14ac:dyDescent="0.25">
      <c r="A253" s="3"/>
      <c r="D253" s="264" t="s">
        <v>89</v>
      </c>
      <c r="E253" s="265"/>
      <c r="F253" s="265"/>
      <c r="G253" s="265"/>
      <c r="H253" s="265"/>
      <c r="I253" s="266"/>
      <c r="J253" s="211"/>
      <c r="K253" s="212"/>
      <c r="L253" s="213"/>
      <c r="M253" s="211"/>
      <c r="N253" s="212"/>
      <c r="O253" s="213"/>
      <c r="P253" s="211"/>
      <c r="Q253" s="212"/>
      <c r="R253" s="213"/>
      <c r="S253" s="211"/>
      <c r="T253" s="212"/>
      <c r="U253" s="213"/>
      <c r="V253" s="211"/>
      <c r="W253" s="212"/>
      <c r="X253" s="213"/>
      <c r="Y253" s="211"/>
      <c r="Z253" s="212"/>
      <c r="AA253" s="213"/>
      <c r="AB253" s="211"/>
      <c r="AC253" s="212"/>
      <c r="AD253" s="213"/>
      <c r="AE253" s="211">
        <f>SUM(J253:AD253)</f>
        <v>0</v>
      </c>
      <c r="AF253" s="212"/>
      <c r="AG253" s="213"/>
      <c r="AH253" s="20"/>
    </row>
    <row r="254" spans="1:34" s="4" customFormat="1" ht="13.8" x14ac:dyDescent="0.25">
      <c r="A254" s="3"/>
      <c r="D254" s="262" t="s">
        <v>90</v>
      </c>
      <c r="E254" s="262"/>
      <c r="F254" s="262"/>
      <c r="G254" s="262"/>
      <c r="H254" s="262"/>
      <c r="I254" s="262"/>
      <c r="J254" s="263"/>
      <c r="K254" s="263"/>
      <c r="L254" s="263"/>
      <c r="M254" s="263"/>
      <c r="N254" s="263"/>
      <c r="O254" s="263"/>
      <c r="P254" s="263"/>
      <c r="Q254" s="263"/>
      <c r="R254" s="263"/>
      <c r="S254" s="263"/>
      <c r="T254" s="263"/>
      <c r="U254" s="263"/>
      <c r="V254" s="263"/>
      <c r="W254" s="263"/>
      <c r="X254" s="263"/>
      <c r="Y254" s="263"/>
      <c r="Z254" s="263"/>
      <c r="AA254" s="263"/>
      <c r="AB254" s="263"/>
      <c r="AC254" s="263"/>
      <c r="AD254" s="263"/>
      <c r="AE254" s="263">
        <f>SUM(J254:AD254)</f>
        <v>0</v>
      </c>
      <c r="AF254" s="263"/>
      <c r="AG254" s="263"/>
      <c r="AH254" s="20"/>
    </row>
    <row r="255" spans="1:34" s="4" customFormat="1" ht="21.75" customHeight="1" thickBot="1" x14ac:dyDescent="0.3">
      <c r="A255" s="3"/>
      <c r="D255" s="293" t="s">
        <v>91</v>
      </c>
      <c r="E255" s="294"/>
      <c r="F255" s="294"/>
      <c r="G255" s="294"/>
      <c r="H255" s="294"/>
      <c r="I255" s="295"/>
      <c r="J255" s="261">
        <f>J251+J252-J253+J254</f>
        <v>0</v>
      </c>
      <c r="K255" s="261"/>
      <c r="L255" s="261"/>
      <c r="M255" s="261">
        <f>M251+M252-M253+M254</f>
        <v>77529</v>
      </c>
      <c r="N255" s="261"/>
      <c r="O255" s="261"/>
      <c r="P255" s="261">
        <f>P251+P252-P253+P254</f>
        <v>0</v>
      </c>
      <c r="Q255" s="261"/>
      <c r="R255" s="261"/>
      <c r="S255" s="261">
        <f>S251+S252-S253+S254</f>
        <v>0</v>
      </c>
      <c r="T255" s="261"/>
      <c r="U255" s="261"/>
      <c r="V255" s="261">
        <f>V251+V252-V253+V254</f>
        <v>0</v>
      </c>
      <c r="W255" s="261"/>
      <c r="X255" s="261"/>
      <c r="Y255" s="261">
        <f>Y251+Y252-Y253+Y254</f>
        <v>0</v>
      </c>
      <c r="Z255" s="261"/>
      <c r="AA255" s="261"/>
      <c r="AB255" s="261">
        <f>AB251+AB252-AB253+AB254</f>
        <v>0</v>
      </c>
      <c r="AC255" s="261"/>
      <c r="AD255" s="261"/>
      <c r="AE255" s="261">
        <f>AE251+AE252-AE253+AE254</f>
        <v>77529</v>
      </c>
      <c r="AF255" s="261"/>
      <c r="AG255" s="261"/>
      <c r="AH255" s="20"/>
    </row>
    <row r="256" spans="1:34" s="4" customFormat="1" ht="14.4" thickBot="1" x14ac:dyDescent="0.3">
      <c r="A256" s="3"/>
      <c r="D256" s="267" t="s">
        <v>94</v>
      </c>
      <c r="E256" s="267"/>
      <c r="F256" s="267"/>
      <c r="G256" s="267"/>
      <c r="H256" s="267"/>
      <c r="I256" s="267"/>
      <c r="J256" s="267"/>
      <c r="K256" s="267"/>
      <c r="L256" s="267"/>
      <c r="M256" s="267"/>
      <c r="N256" s="267"/>
      <c r="O256" s="267"/>
      <c r="P256" s="267"/>
      <c r="Q256" s="267"/>
      <c r="R256" s="267"/>
      <c r="S256" s="267"/>
      <c r="T256" s="267"/>
      <c r="U256" s="267"/>
      <c r="V256" s="267"/>
      <c r="W256" s="267"/>
      <c r="X256" s="267"/>
      <c r="Y256" s="267"/>
      <c r="Z256" s="267"/>
      <c r="AA256" s="267"/>
      <c r="AB256" s="267"/>
      <c r="AC256" s="267"/>
      <c r="AD256" s="267"/>
      <c r="AE256" s="267"/>
      <c r="AF256" s="267"/>
      <c r="AG256" s="267"/>
      <c r="AH256" s="44"/>
    </row>
    <row r="257" spans="1:34" s="4" customFormat="1" ht="21.75" customHeight="1" x14ac:dyDescent="0.25">
      <c r="A257" s="3"/>
      <c r="D257" s="268" t="s">
        <v>93</v>
      </c>
      <c r="E257" s="269"/>
      <c r="F257" s="269"/>
      <c r="G257" s="269"/>
      <c r="H257" s="269"/>
      <c r="I257" s="270"/>
      <c r="J257" s="271"/>
      <c r="K257" s="272"/>
      <c r="L257" s="273"/>
      <c r="M257" s="271"/>
      <c r="N257" s="272"/>
      <c r="O257" s="273"/>
      <c r="P257" s="271"/>
      <c r="Q257" s="272"/>
      <c r="R257" s="273"/>
      <c r="S257" s="271"/>
      <c r="T257" s="272"/>
      <c r="U257" s="273"/>
      <c r="V257" s="271"/>
      <c r="W257" s="272"/>
      <c r="X257" s="273"/>
      <c r="Y257" s="271"/>
      <c r="Z257" s="272"/>
      <c r="AA257" s="273"/>
      <c r="AB257" s="271"/>
      <c r="AC257" s="272"/>
      <c r="AD257" s="273"/>
      <c r="AE257" s="271">
        <f>SUM(J257:AD257)</f>
        <v>0</v>
      </c>
      <c r="AF257" s="272"/>
      <c r="AG257" s="273"/>
      <c r="AH257" s="20"/>
    </row>
    <row r="258" spans="1:34" s="4" customFormat="1" ht="13.8" x14ac:dyDescent="0.25">
      <c r="A258" s="3"/>
      <c r="D258" s="264" t="s">
        <v>88</v>
      </c>
      <c r="E258" s="265"/>
      <c r="F258" s="265"/>
      <c r="G258" s="265"/>
      <c r="H258" s="265"/>
      <c r="I258" s="266"/>
      <c r="J258" s="211"/>
      <c r="K258" s="212"/>
      <c r="L258" s="213"/>
      <c r="M258" s="211"/>
      <c r="N258" s="212"/>
      <c r="O258" s="213"/>
      <c r="P258" s="211"/>
      <c r="Q258" s="212"/>
      <c r="R258" s="213"/>
      <c r="S258" s="211"/>
      <c r="T258" s="212"/>
      <c r="U258" s="213"/>
      <c r="V258" s="211"/>
      <c r="W258" s="212"/>
      <c r="X258" s="213"/>
      <c r="Y258" s="211"/>
      <c r="Z258" s="212"/>
      <c r="AA258" s="213"/>
      <c r="AB258" s="211"/>
      <c r="AC258" s="212"/>
      <c r="AD258" s="213"/>
      <c r="AE258" s="211">
        <f>SUM(J258:AD258)</f>
        <v>0</v>
      </c>
      <c r="AF258" s="212"/>
      <c r="AG258" s="213"/>
      <c r="AH258" s="20"/>
    </row>
    <row r="259" spans="1:34" s="4" customFormat="1" ht="13.8" x14ac:dyDescent="0.25">
      <c r="A259" s="3"/>
      <c r="D259" s="264" t="s">
        <v>89</v>
      </c>
      <c r="E259" s="265"/>
      <c r="F259" s="265"/>
      <c r="G259" s="265"/>
      <c r="H259" s="265"/>
      <c r="I259" s="266"/>
      <c r="J259" s="211"/>
      <c r="K259" s="212"/>
      <c r="L259" s="213"/>
      <c r="M259" s="211"/>
      <c r="N259" s="212"/>
      <c r="O259" s="213"/>
      <c r="P259" s="211"/>
      <c r="Q259" s="212"/>
      <c r="R259" s="213"/>
      <c r="S259" s="211"/>
      <c r="T259" s="212"/>
      <c r="U259" s="213"/>
      <c r="V259" s="211"/>
      <c r="W259" s="212"/>
      <c r="X259" s="213"/>
      <c r="Y259" s="211"/>
      <c r="Z259" s="212"/>
      <c r="AA259" s="213"/>
      <c r="AB259" s="211"/>
      <c r="AC259" s="212"/>
      <c r="AD259" s="213"/>
      <c r="AE259" s="211">
        <f>SUM(J258:AD258)</f>
        <v>0</v>
      </c>
      <c r="AF259" s="212"/>
      <c r="AG259" s="213"/>
      <c r="AH259" s="20"/>
    </row>
    <row r="260" spans="1:34" s="4" customFormat="1" ht="13.8" x14ac:dyDescent="0.25">
      <c r="A260" s="3"/>
      <c r="D260" s="262" t="s">
        <v>90</v>
      </c>
      <c r="E260" s="262"/>
      <c r="F260" s="262"/>
      <c r="G260" s="262"/>
      <c r="H260" s="262"/>
      <c r="I260" s="262"/>
      <c r="J260" s="263"/>
      <c r="K260" s="263"/>
      <c r="L260" s="263"/>
      <c r="M260" s="263"/>
      <c r="N260" s="263"/>
      <c r="O260" s="263"/>
      <c r="P260" s="263"/>
      <c r="Q260" s="263"/>
      <c r="R260" s="263"/>
      <c r="S260" s="263"/>
      <c r="T260" s="263"/>
      <c r="U260" s="263"/>
      <c r="V260" s="263"/>
      <c r="W260" s="263"/>
      <c r="X260" s="263"/>
      <c r="Y260" s="263"/>
      <c r="Z260" s="263"/>
      <c r="AA260" s="263"/>
      <c r="AB260" s="263"/>
      <c r="AC260" s="263"/>
      <c r="AD260" s="263"/>
      <c r="AE260" s="263">
        <f>SUM(J260:AD260)</f>
        <v>0</v>
      </c>
      <c r="AF260" s="263"/>
      <c r="AG260" s="263"/>
      <c r="AH260" s="20"/>
    </row>
    <row r="261" spans="1:34" s="4" customFormat="1" ht="21.75" customHeight="1" thickBot="1" x14ac:dyDescent="0.3">
      <c r="A261" s="3"/>
      <c r="D261" s="293" t="s">
        <v>91</v>
      </c>
      <c r="E261" s="294"/>
      <c r="F261" s="294"/>
      <c r="G261" s="294"/>
      <c r="H261" s="294"/>
      <c r="I261" s="295"/>
      <c r="J261" s="261">
        <f>J257+J258-J259+J260</f>
        <v>0</v>
      </c>
      <c r="K261" s="261"/>
      <c r="L261" s="261"/>
      <c r="M261" s="261">
        <f>M257+M258-M259+M260</f>
        <v>0</v>
      </c>
      <c r="N261" s="261"/>
      <c r="O261" s="261"/>
      <c r="P261" s="261">
        <f>P257+P258-P259+P260</f>
        <v>0</v>
      </c>
      <c r="Q261" s="261"/>
      <c r="R261" s="261"/>
      <c r="S261" s="261">
        <f>S257+S258-S259+S260</f>
        <v>0</v>
      </c>
      <c r="T261" s="261"/>
      <c r="U261" s="261"/>
      <c r="V261" s="261">
        <f>V257+V258-V259+V260</f>
        <v>0</v>
      </c>
      <c r="W261" s="261"/>
      <c r="X261" s="261"/>
      <c r="Y261" s="261">
        <f>Y257+Y258-Y259+Y260</f>
        <v>0</v>
      </c>
      <c r="Z261" s="261"/>
      <c r="AA261" s="261"/>
      <c r="AB261" s="261">
        <f>AB257+AB258-AB259+AB260</f>
        <v>0</v>
      </c>
      <c r="AC261" s="261"/>
      <c r="AD261" s="261"/>
      <c r="AE261" s="261">
        <f>AE257+AE258-AE259+AE260</f>
        <v>0</v>
      </c>
      <c r="AF261" s="261"/>
      <c r="AG261" s="261"/>
      <c r="AH261" s="20"/>
    </row>
    <row r="262" spans="1:34" s="4" customFormat="1" ht="14.4" thickBot="1" x14ac:dyDescent="0.3">
      <c r="A262" s="3"/>
      <c r="D262" s="267" t="s">
        <v>95</v>
      </c>
      <c r="E262" s="267"/>
      <c r="F262" s="267"/>
      <c r="G262" s="267"/>
      <c r="H262" s="267"/>
      <c r="I262" s="267"/>
      <c r="J262" s="267"/>
      <c r="K262" s="267"/>
      <c r="L262" s="267"/>
      <c r="M262" s="267"/>
      <c r="N262" s="267"/>
      <c r="O262" s="267"/>
      <c r="P262" s="267"/>
      <c r="Q262" s="267"/>
      <c r="R262" s="267"/>
      <c r="S262" s="267"/>
      <c r="T262" s="267"/>
      <c r="U262" s="267"/>
      <c r="V262" s="267"/>
      <c r="W262" s="267"/>
      <c r="X262" s="267"/>
      <c r="Y262" s="267"/>
      <c r="Z262" s="267"/>
      <c r="AA262" s="267"/>
      <c r="AB262" s="267"/>
      <c r="AC262" s="267"/>
      <c r="AD262" s="267"/>
      <c r="AE262" s="267"/>
      <c r="AF262" s="267"/>
      <c r="AG262" s="267"/>
      <c r="AH262" s="44"/>
    </row>
    <row r="263" spans="1:34" s="4" customFormat="1" ht="21.75" customHeight="1" x14ac:dyDescent="0.25">
      <c r="A263" s="3"/>
      <c r="D263" s="291" t="s">
        <v>93</v>
      </c>
      <c r="E263" s="291"/>
      <c r="F263" s="291"/>
      <c r="G263" s="291"/>
      <c r="H263" s="291"/>
      <c r="I263" s="291"/>
      <c r="J263" s="292">
        <f>J245-J251-J257</f>
        <v>0</v>
      </c>
      <c r="K263" s="292"/>
      <c r="L263" s="292"/>
      <c r="M263" s="292">
        <f>M245-M251-M257</f>
        <v>4634</v>
      </c>
      <c r="N263" s="292"/>
      <c r="O263" s="292"/>
      <c r="P263" s="292">
        <f>P245-P251-P257</f>
        <v>0</v>
      </c>
      <c r="Q263" s="292"/>
      <c r="R263" s="292"/>
      <c r="S263" s="292">
        <f>S245-S251-S257</f>
        <v>0</v>
      </c>
      <c r="T263" s="292"/>
      <c r="U263" s="292"/>
      <c r="V263" s="292">
        <f>V245-V251-V257</f>
        <v>0</v>
      </c>
      <c r="W263" s="292"/>
      <c r="X263" s="292"/>
      <c r="Y263" s="292">
        <f>Y245-Y251-Y257</f>
        <v>0</v>
      </c>
      <c r="Z263" s="292"/>
      <c r="AA263" s="292"/>
      <c r="AB263" s="292">
        <f>AB245-AB251-AB257</f>
        <v>0</v>
      </c>
      <c r="AC263" s="292"/>
      <c r="AD263" s="292"/>
      <c r="AE263" s="292">
        <f>AE245-AE251-AE257</f>
        <v>4634</v>
      </c>
      <c r="AF263" s="292"/>
      <c r="AG263" s="292"/>
      <c r="AH263" s="20"/>
    </row>
    <row r="264" spans="1:34" s="4" customFormat="1" ht="21.75" customHeight="1" thickBot="1" x14ac:dyDescent="0.3">
      <c r="A264" s="3"/>
      <c r="D264" s="282" t="s">
        <v>91</v>
      </c>
      <c r="E264" s="282"/>
      <c r="F264" s="282"/>
      <c r="G264" s="282"/>
      <c r="H264" s="282"/>
      <c r="I264" s="282"/>
      <c r="J264" s="261">
        <f>J249-J255-J261</f>
        <v>0</v>
      </c>
      <c r="K264" s="261"/>
      <c r="L264" s="261"/>
      <c r="M264" s="261">
        <f>M249-M255-M261</f>
        <v>3515</v>
      </c>
      <c r="N264" s="261"/>
      <c r="O264" s="261"/>
      <c r="P264" s="261">
        <f>P249-P255-P261</f>
        <v>0</v>
      </c>
      <c r="Q264" s="261"/>
      <c r="R264" s="261"/>
      <c r="S264" s="261">
        <f>S249-S255-S261</f>
        <v>0</v>
      </c>
      <c r="T264" s="261"/>
      <c r="U264" s="261"/>
      <c r="V264" s="261">
        <f>V249-V255-V261</f>
        <v>0</v>
      </c>
      <c r="W264" s="261"/>
      <c r="X264" s="261"/>
      <c r="Y264" s="261">
        <f>Y249-Y255-Y261</f>
        <v>7000</v>
      </c>
      <c r="Z264" s="261"/>
      <c r="AA264" s="261"/>
      <c r="AB264" s="261">
        <f>AB249-AB255-AB261</f>
        <v>0</v>
      </c>
      <c r="AC264" s="261"/>
      <c r="AD264" s="261"/>
      <c r="AE264" s="261">
        <f>AE249-AE255-AE261</f>
        <v>10515</v>
      </c>
      <c r="AF264" s="261"/>
      <c r="AG264" s="261"/>
      <c r="AH264" s="20"/>
    </row>
    <row r="265" spans="1:34" s="4" customFormat="1" ht="13.8" x14ac:dyDescent="0.25">
      <c r="A265" s="3"/>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row>
    <row r="266" spans="1:34" s="4" customFormat="1" ht="13.8" x14ac:dyDescent="0.25">
      <c r="A266" s="3"/>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row>
    <row r="267" spans="1:34" s="4" customFormat="1" ht="13.8" x14ac:dyDescent="0.25">
      <c r="A267" s="3"/>
      <c r="D267" s="41" t="s">
        <v>98</v>
      </c>
      <c r="E267" s="47"/>
      <c r="F267" s="47"/>
      <c r="G267" s="47"/>
      <c r="H267" s="47"/>
      <c r="I267" s="47"/>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20"/>
    </row>
    <row r="268" spans="1:34" s="4" customFormat="1" ht="13.8" x14ac:dyDescent="0.25">
      <c r="A268" s="25"/>
      <c r="D268" s="41"/>
      <c r="E268" s="47"/>
      <c r="F268" s="47"/>
      <c r="G268" s="47"/>
      <c r="H268" s="47"/>
      <c r="I268" s="47"/>
      <c r="J268" s="47"/>
      <c r="K268" s="47"/>
      <c r="L268" s="47"/>
      <c r="M268" s="47"/>
      <c r="N268" s="47"/>
      <c r="O268" s="47"/>
      <c r="P268" s="47"/>
      <c r="Q268" s="47"/>
      <c r="R268" s="47"/>
      <c r="S268" s="47"/>
      <c r="T268" s="47"/>
      <c r="U268" s="47"/>
      <c r="V268" s="47"/>
      <c r="W268" s="47"/>
      <c r="X268" s="47"/>
      <c r="Y268" s="47"/>
      <c r="Z268" s="47"/>
      <c r="AA268" s="47"/>
      <c r="AB268" s="47"/>
      <c r="AC268" s="47"/>
      <c r="AD268" s="47"/>
      <c r="AE268" s="47"/>
      <c r="AF268" s="47"/>
      <c r="AG268" s="47"/>
      <c r="AH268" s="20"/>
    </row>
    <row r="269" spans="1:34" s="4" customFormat="1" ht="13.8" x14ac:dyDescent="0.25">
      <c r="A269" s="3"/>
      <c r="D269" s="57" t="s">
        <v>99</v>
      </c>
      <c r="E269" s="47"/>
      <c r="F269" s="47"/>
      <c r="G269" s="47"/>
      <c r="H269" s="47"/>
      <c r="I269" s="47"/>
      <c r="J269" s="47"/>
      <c r="K269" s="47"/>
      <c r="L269" s="47"/>
      <c r="M269" s="47"/>
      <c r="N269" s="47"/>
      <c r="O269" s="47"/>
      <c r="P269" s="47"/>
      <c r="Q269" s="47"/>
      <c r="R269" s="47"/>
      <c r="S269" s="47"/>
      <c r="T269" s="47"/>
      <c r="U269" s="47"/>
      <c r="V269" s="47"/>
      <c r="W269" s="47"/>
      <c r="X269" s="47"/>
      <c r="Y269" s="47"/>
      <c r="Z269" s="47"/>
      <c r="AA269" s="47"/>
      <c r="AB269" s="47"/>
      <c r="AC269" s="47"/>
      <c r="AD269" s="47"/>
      <c r="AE269" s="47"/>
      <c r="AF269" s="47"/>
      <c r="AG269" s="47"/>
      <c r="AH269" s="20"/>
    </row>
    <row r="270" spans="1:34" s="4" customFormat="1" ht="14.4" thickBot="1" x14ac:dyDescent="0.3">
      <c r="A270" s="25"/>
      <c r="D270" s="57"/>
      <c r="E270" s="47"/>
      <c r="F270" s="47"/>
      <c r="G270" s="47"/>
      <c r="H270" s="47"/>
      <c r="I270" s="47"/>
      <c r="J270" s="47"/>
      <c r="K270" s="47"/>
      <c r="L270" s="47"/>
      <c r="M270" s="47"/>
      <c r="N270" s="47"/>
      <c r="O270" s="47"/>
      <c r="P270" s="47"/>
      <c r="Q270" s="47"/>
      <c r="R270" s="47"/>
      <c r="S270" s="47"/>
      <c r="T270" s="47"/>
      <c r="U270" s="47"/>
      <c r="V270" s="47"/>
      <c r="W270" s="47"/>
      <c r="X270" s="47"/>
      <c r="Y270" s="47"/>
      <c r="Z270" s="47"/>
      <c r="AA270" s="47"/>
      <c r="AB270" s="47"/>
      <c r="AC270" s="47"/>
      <c r="AD270" s="47"/>
      <c r="AE270" s="47"/>
      <c r="AF270" s="47"/>
      <c r="AG270" s="47"/>
      <c r="AH270" s="20"/>
    </row>
    <row r="271" spans="1:34" s="4" customFormat="1" ht="15.75" customHeight="1" thickBot="1" x14ac:dyDescent="0.3">
      <c r="A271" s="3" t="s">
        <v>100</v>
      </c>
      <c r="D271" s="283" t="s">
        <v>101</v>
      </c>
      <c r="E271" s="284"/>
      <c r="F271" s="284"/>
      <c r="G271" s="287"/>
      <c r="H271" s="322" t="s">
        <v>16</v>
      </c>
      <c r="I271" s="322"/>
      <c r="J271" s="322"/>
      <c r="K271" s="322"/>
      <c r="L271" s="322"/>
      <c r="M271" s="322"/>
      <c r="N271" s="322"/>
      <c r="O271" s="322"/>
      <c r="P271" s="322"/>
      <c r="Q271" s="322"/>
      <c r="R271" s="322"/>
      <c r="S271" s="322"/>
      <c r="T271" s="322"/>
      <c r="U271" s="322"/>
      <c r="V271" s="322"/>
      <c r="W271" s="322"/>
      <c r="X271" s="322"/>
      <c r="Y271" s="322"/>
      <c r="Z271" s="322"/>
      <c r="AA271" s="322"/>
      <c r="AB271" s="322"/>
      <c r="AC271" s="322"/>
      <c r="AD271" s="322"/>
      <c r="AE271" s="322"/>
      <c r="AF271" s="322"/>
      <c r="AG271" s="322"/>
      <c r="AH271" s="322"/>
    </row>
    <row r="272" spans="1:34" s="4" customFormat="1" ht="62.7" customHeight="1" thickBot="1" x14ac:dyDescent="0.3">
      <c r="A272" s="3"/>
      <c r="D272" s="285"/>
      <c r="E272" s="286"/>
      <c r="F272" s="286"/>
      <c r="G272" s="288"/>
      <c r="H272" s="278" t="s">
        <v>102</v>
      </c>
      <c r="I272" s="278"/>
      <c r="J272" s="278"/>
      <c r="K272" s="278" t="s">
        <v>47</v>
      </c>
      <c r="L272" s="278"/>
      <c r="M272" s="278"/>
      <c r="N272" s="278" t="s">
        <v>103</v>
      </c>
      <c r="O272" s="278"/>
      <c r="P272" s="278"/>
      <c r="Q272" s="278" t="s">
        <v>104</v>
      </c>
      <c r="R272" s="278"/>
      <c r="S272" s="278"/>
      <c r="T272" s="278" t="s">
        <v>105</v>
      </c>
      <c r="U272" s="278"/>
      <c r="V272" s="278"/>
      <c r="W272" s="278" t="s">
        <v>106</v>
      </c>
      <c r="X272" s="278"/>
      <c r="Y272" s="278"/>
      <c r="Z272" s="278" t="s">
        <v>107</v>
      </c>
      <c r="AA272" s="278"/>
      <c r="AB272" s="278"/>
      <c r="AC272" s="278" t="s">
        <v>108</v>
      </c>
      <c r="AD272" s="278"/>
      <c r="AE272" s="278"/>
      <c r="AF272" s="278" t="s">
        <v>27</v>
      </c>
      <c r="AG272" s="278"/>
      <c r="AH272" s="278"/>
    </row>
    <row r="273" spans="1:38" s="4" customFormat="1" ht="15.75" customHeight="1" thickBot="1" x14ac:dyDescent="0.3">
      <c r="A273" s="3"/>
      <c r="D273" s="334" t="s">
        <v>86</v>
      </c>
      <c r="E273" s="335"/>
      <c r="F273" s="335"/>
      <c r="G273" s="335"/>
      <c r="H273" s="335"/>
      <c r="I273" s="335"/>
      <c r="J273" s="335"/>
      <c r="K273" s="335"/>
      <c r="L273" s="335"/>
      <c r="M273" s="335"/>
      <c r="N273" s="335"/>
      <c r="O273" s="335"/>
      <c r="P273" s="335"/>
      <c r="Q273" s="335"/>
      <c r="R273" s="335"/>
      <c r="S273" s="335"/>
      <c r="T273" s="335"/>
      <c r="U273" s="335"/>
      <c r="V273" s="335"/>
      <c r="W273" s="335"/>
      <c r="X273" s="335"/>
      <c r="Y273" s="335"/>
      <c r="Z273" s="335"/>
      <c r="AA273" s="335"/>
      <c r="AB273" s="335"/>
      <c r="AC273" s="335"/>
      <c r="AD273" s="335"/>
      <c r="AE273" s="335"/>
      <c r="AF273" s="335"/>
      <c r="AG273" s="335"/>
      <c r="AH273" s="336"/>
    </row>
    <row r="274" spans="1:38" s="4" customFormat="1" ht="30" customHeight="1" x14ac:dyDescent="0.25">
      <c r="A274" s="3"/>
      <c r="D274" s="279" t="s">
        <v>87</v>
      </c>
      <c r="E274" s="279"/>
      <c r="F274" s="279"/>
      <c r="G274" s="279"/>
      <c r="H274" s="337">
        <f t="shared" ref="H274" si="5">H303</f>
        <v>0</v>
      </c>
      <c r="I274" s="337"/>
      <c r="J274" s="337"/>
      <c r="K274" s="280">
        <f t="shared" ref="K274" si="6">K303</f>
        <v>15701</v>
      </c>
      <c r="L274" s="280"/>
      <c r="M274" s="280"/>
      <c r="N274" s="280">
        <f>N303</f>
        <v>4438348</v>
      </c>
      <c r="O274" s="280"/>
      <c r="P274" s="280"/>
      <c r="Q274" s="280">
        <f t="shared" ref="Q274" si="7">Q303</f>
        <v>0</v>
      </c>
      <c r="R274" s="280"/>
      <c r="S274" s="280"/>
      <c r="T274" s="280">
        <f t="shared" ref="T274" si="8">T303</f>
        <v>0</v>
      </c>
      <c r="U274" s="280"/>
      <c r="V274" s="280"/>
      <c r="W274" s="280">
        <f t="shared" ref="W274" si="9">W303</f>
        <v>0</v>
      </c>
      <c r="X274" s="280"/>
      <c r="Y274" s="280"/>
      <c r="Z274" s="280">
        <f t="shared" ref="Z274" si="10">Z303</f>
        <v>1203</v>
      </c>
      <c r="AA274" s="280"/>
      <c r="AB274" s="280"/>
      <c r="AC274" s="280">
        <f t="shared" ref="AC274" si="11">AC303</f>
        <v>0</v>
      </c>
      <c r="AD274" s="280"/>
      <c r="AE274" s="280"/>
      <c r="AF274" s="280">
        <f>SUM(H274:AE274)</f>
        <v>4455252</v>
      </c>
      <c r="AG274" s="280"/>
      <c r="AH274" s="280"/>
    </row>
    <row r="275" spans="1:38" s="4" customFormat="1" ht="13.8" x14ac:dyDescent="0.25">
      <c r="A275" s="3"/>
      <c r="D275" s="262" t="s">
        <v>88</v>
      </c>
      <c r="E275" s="262"/>
      <c r="F275" s="262"/>
      <c r="G275" s="262"/>
      <c r="H275" s="229"/>
      <c r="I275" s="229"/>
      <c r="J275" s="229"/>
      <c r="K275" s="263">
        <f>VLOOKUP(21999,'Účtovná osnova'!$A$1:$I$1068,8,FALSE)</f>
        <v>0</v>
      </c>
      <c r="L275" s="263"/>
      <c r="M275" s="263"/>
      <c r="N275" s="263">
        <f>VLOOKUP(22999,'Účtovná osnova'!$A$1:$I$1068,8,FALSE)+VLOOKUP(29998,'Účtovná osnova'!$A$1:$I$1068,8,FALSE)-N277</f>
        <v>7017694.2599999998</v>
      </c>
      <c r="O275" s="263"/>
      <c r="P275" s="263"/>
      <c r="Q275" s="263"/>
      <c r="R275" s="263"/>
      <c r="S275" s="263"/>
      <c r="T275" s="263"/>
      <c r="U275" s="263"/>
      <c r="V275" s="263"/>
      <c r="W275" s="263"/>
      <c r="X275" s="263"/>
      <c r="Y275" s="263"/>
      <c r="Z275" s="263"/>
      <c r="AA275" s="263"/>
      <c r="AB275" s="263"/>
      <c r="AC275" s="263"/>
      <c r="AD275" s="263"/>
      <c r="AE275" s="263"/>
      <c r="AF275" s="263">
        <f>SUM(H275:AE275)</f>
        <v>7017694.2599999998</v>
      </c>
      <c r="AG275" s="263"/>
      <c r="AH275" s="263"/>
      <c r="AL275" s="155"/>
    </row>
    <row r="276" spans="1:38" s="4" customFormat="1" ht="13.8" x14ac:dyDescent="0.25">
      <c r="A276" s="3"/>
      <c r="D276" s="262" t="s">
        <v>89</v>
      </c>
      <c r="E276" s="262"/>
      <c r="F276" s="262"/>
      <c r="G276" s="262"/>
      <c r="H276" s="229"/>
      <c r="I276" s="229"/>
      <c r="J276" s="229"/>
      <c r="K276" s="263">
        <f>VLOOKUP(21999,'Účtovná osnova'!$A$1:$I$1068,9,FALSE)</f>
        <v>0</v>
      </c>
      <c r="L276" s="263"/>
      <c r="M276" s="263"/>
      <c r="N276" s="263">
        <f>VLOOKUP(22999,'Účtovná osnova'!$A$1:$I$1068,9,FALSE)+VLOOKUP(29998,'Účtovná osnova'!$A$1:$I$1068,9,FALSE)</f>
        <v>6860520.1100000003</v>
      </c>
      <c r="O276" s="263"/>
      <c r="P276" s="263"/>
      <c r="Q276" s="263"/>
      <c r="R276" s="263"/>
      <c r="S276" s="263"/>
      <c r="T276" s="263"/>
      <c r="U276" s="263"/>
      <c r="V276" s="263"/>
      <c r="W276" s="263"/>
      <c r="X276" s="263"/>
      <c r="Y276" s="263"/>
      <c r="Z276" s="263"/>
      <c r="AA276" s="263"/>
      <c r="AB276" s="263"/>
      <c r="AC276" s="263"/>
      <c r="AD276" s="263"/>
      <c r="AE276" s="263"/>
      <c r="AF276" s="263">
        <f>SUM(H276:AE276)</f>
        <v>6860520.1100000003</v>
      </c>
      <c r="AG276" s="263"/>
      <c r="AH276" s="263"/>
    </row>
    <row r="277" spans="1:38" s="4" customFormat="1" ht="13.8" x14ac:dyDescent="0.25">
      <c r="A277" s="3"/>
      <c r="D277" s="262" t="s">
        <v>90</v>
      </c>
      <c r="E277" s="262"/>
      <c r="F277" s="262"/>
      <c r="G277" s="262"/>
      <c r="H277" s="229"/>
      <c r="I277" s="229"/>
      <c r="J277" s="229"/>
      <c r="K277" s="263"/>
      <c r="L277" s="263"/>
      <c r="M277" s="263"/>
      <c r="N277" s="263">
        <f>-Z277</f>
        <v>1053.4000000003725</v>
      </c>
      <c r="O277" s="263"/>
      <c r="P277" s="263"/>
      <c r="Q277" s="263"/>
      <c r="R277" s="263"/>
      <c r="S277" s="263"/>
      <c r="T277" s="263"/>
      <c r="U277" s="263"/>
      <c r="V277" s="263"/>
      <c r="W277" s="263"/>
      <c r="X277" s="263"/>
      <c r="Y277" s="263"/>
      <c r="Z277" s="263">
        <f>VLOOKUP(42999,'Účtovná osnova'!$A$1:$I$1068,8,FALSE)-VLOOKUP(42999,'Účtovná osnova'!$A$1:$I$1068,9,FALSE)</f>
        <v>-1053.4000000003725</v>
      </c>
      <c r="AA277" s="263"/>
      <c r="AB277" s="263"/>
      <c r="AC277" s="263"/>
      <c r="AD277" s="263"/>
      <c r="AE277" s="263"/>
      <c r="AF277" s="263">
        <f>SUM(H277:AE277)</f>
        <v>0</v>
      </c>
      <c r="AG277" s="263"/>
      <c r="AH277" s="263"/>
    </row>
    <row r="278" spans="1:38" s="4" customFormat="1" ht="30" customHeight="1" thickBot="1" x14ac:dyDescent="0.3">
      <c r="A278" s="3"/>
      <c r="D278" s="282" t="s">
        <v>91</v>
      </c>
      <c r="E278" s="282"/>
      <c r="F278" s="282"/>
      <c r="G278" s="282"/>
      <c r="H278" s="338">
        <f>H274+H275-H276+H277</f>
        <v>0</v>
      </c>
      <c r="I278" s="338"/>
      <c r="J278" s="338"/>
      <c r="K278" s="338">
        <f>K274+K275-K276+K277</f>
        <v>15701</v>
      </c>
      <c r="L278" s="338"/>
      <c r="M278" s="338"/>
      <c r="N278" s="338">
        <f>ROUNDUP(N274+N275-N276+N277,0)</f>
        <v>4596576</v>
      </c>
      <c r="O278" s="338"/>
      <c r="P278" s="338"/>
      <c r="Q278" s="338">
        <f>Q274+Q275-Q276+Q277</f>
        <v>0</v>
      </c>
      <c r="R278" s="338"/>
      <c r="S278" s="338"/>
      <c r="T278" s="338">
        <f>T274+T275-T276+T277</f>
        <v>0</v>
      </c>
      <c r="U278" s="338"/>
      <c r="V278" s="338"/>
      <c r="W278" s="338">
        <f>W274+W275-W276+W277</f>
        <v>0</v>
      </c>
      <c r="X278" s="338"/>
      <c r="Y278" s="338"/>
      <c r="Z278" s="338">
        <f>Z274+Z275-Z276+Z277</f>
        <v>149.59999999962747</v>
      </c>
      <c r="AA278" s="338"/>
      <c r="AB278" s="338"/>
      <c r="AC278" s="338">
        <f>AC274+AC275-AC276+AC277</f>
        <v>0</v>
      </c>
      <c r="AD278" s="338"/>
      <c r="AE278" s="338"/>
      <c r="AF278" s="338">
        <f>ROUNDUP(AF274+AF275-AF276+AF277,1)</f>
        <v>4612426.1999999993</v>
      </c>
      <c r="AG278" s="338"/>
      <c r="AH278" s="338"/>
    </row>
    <row r="279" spans="1:38" s="4" customFormat="1" ht="15.75" customHeight="1" thickBot="1" x14ac:dyDescent="0.3">
      <c r="A279" s="3"/>
      <c r="D279" s="334" t="s">
        <v>92</v>
      </c>
      <c r="E279" s="335"/>
      <c r="F279" s="335"/>
      <c r="G279" s="335"/>
      <c r="H279" s="335"/>
      <c r="I279" s="335"/>
      <c r="J279" s="335"/>
      <c r="K279" s="335"/>
      <c r="L279" s="335"/>
      <c r="M279" s="335"/>
      <c r="N279" s="335"/>
      <c r="O279" s="335"/>
      <c r="P279" s="335"/>
      <c r="Q279" s="335"/>
      <c r="R279" s="335"/>
      <c r="S279" s="335"/>
      <c r="T279" s="335"/>
      <c r="U279" s="335"/>
      <c r="V279" s="335"/>
      <c r="W279" s="335"/>
      <c r="X279" s="335"/>
      <c r="Y279" s="335"/>
      <c r="Z279" s="335"/>
      <c r="AA279" s="335"/>
      <c r="AB279" s="335"/>
      <c r="AC279" s="335"/>
      <c r="AD279" s="335"/>
      <c r="AE279" s="335"/>
      <c r="AF279" s="335"/>
      <c r="AG279" s="335"/>
      <c r="AH279" s="336"/>
    </row>
    <row r="280" spans="1:38" s="4" customFormat="1" ht="34.5" customHeight="1" x14ac:dyDescent="0.25">
      <c r="A280" s="3"/>
      <c r="D280" s="279" t="s">
        <v>93</v>
      </c>
      <c r="E280" s="279"/>
      <c r="F280" s="279"/>
      <c r="G280" s="279"/>
      <c r="H280" s="337">
        <v>0</v>
      </c>
      <c r="I280" s="337"/>
      <c r="J280" s="337"/>
      <c r="K280" s="280">
        <f>K309</f>
        <v>3776</v>
      </c>
      <c r="L280" s="280"/>
      <c r="M280" s="280"/>
      <c r="N280" s="280">
        <f>N309</f>
        <v>1427801</v>
      </c>
      <c r="O280" s="280"/>
      <c r="P280" s="280"/>
      <c r="Q280" s="280">
        <v>0</v>
      </c>
      <c r="R280" s="280"/>
      <c r="S280" s="280"/>
      <c r="T280" s="280">
        <v>0</v>
      </c>
      <c r="U280" s="280"/>
      <c r="V280" s="280"/>
      <c r="W280" s="280">
        <v>0</v>
      </c>
      <c r="X280" s="280"/>
      <c r="Y280" s="280"/>
      <c r="Z280" s="280">
        <v>0</v>
      </c>
      <c r="AA280" s="280"/>
      <c r="AB280" s="280"/>
      <c r="AC280" s="280">
        <v>0</v>
      </c>
      <c r="AD280" s="280"/>
      <c r="AE280" s="280"/>
      <c r="AF280" s="280">
        <f>SUM(H280:AE280)</f>
        <v>1431577</v>
      </c>
      <c r="AG280" s="280"/>
      <c r="AH280" s="280"/>
    </row>
    <row r="281" spans="1:38" s="4" customFormat="1" ht="13.8" x14ac:dyDescent="0.25">
      <c r="A281" s="3"/>
      <c r="D281" s="262" t="s">
        <v>88</v>
      </c>
      <c r="E281" s="262"/>
      <c r="F281" s="262"/>
      <c r="G281" s="262"/>
      <c r="H281" s="229"/>
      <c r="I281" s="229"/>
      <c r="J281" s="229"/>
      <c r="K281" s="263">
        <f>VLOOKUP(81999,'Účtovná osnova'!$A$1:$I$1068,9,FALSE)</f>
        <v>1051.8599999999999</v>
      </c>
      <c r="L281" s="263"/>
      <c r="M281" s="263"/>
      <c r="N281" s="263">
        <f>VLOOKUP(551999,'Účtovná osnova'!$A$1:$I$1068,6,FALSE)-VLOOKUP(551073,'Účtovná osnova'!$A$1:$I$1068,6,FALSE)-VLOOKUP(551081,'Účtovná osnova'!$A$1:$I$1068,6,FALSE)+1</f>
        <v>555022.21</v>
      </c>
      <c r="O281" s="263"/>
      <c r="P281" s="263"/>
      <c r="Q281" s="263"/>
      <c r="R281" s="263"/>
      <c r="S281" s="263"/>
      <c r="T281" s="263"/>
      <c r="U281" s="263"/>
      <c r="V281" s="263"/>
      <c r="W281" s="263"/>
      <c r="X281" s="263"/>
      <c r="Y281" s="263"/>
      <c r="Z281" s="263"/>
      <c r="AA281" s="263"/>
      <c r="AB281" s="263"/>
      <c r="AC281" s="263"/>
      <c r="AD281" s="263"/>
      <c r="AE281" s="263"/>
      <c r="AF281" s="263">
        <f>SUM(H281:AE281)</f>
        <v>556074.06999999995</v>
      </c>
      <c r="AG281" s="263"/>
      <c r="AH281" s="263"/>
    </row>
    <row r="282" spans="1:38" s="4" customFormat="1" ht="13.8" x14ac:dyDescent="0.25">
      <c r="A282" s="3"/>
      <c r="D282" s="262" t="s">
        <v>89</v>
      </c>
      <c r="E282" s="262"/>
      <c r="F282" s="262"/>
      <c r="G282" s="262"/>
      <c r="H282" s="229"/>
      <c r="I282" s="229"/>
      <c r="J282" s="229"/>
      <c r="K282" s="263">
        <f>VLOOKUP(81999,'Účtovná osnova'!$A$1:$I$1068,8,FALSE)</f>
        <v>0</v>
      </c>
      <c r="L282" s="263"/>
      <c r="M282" s="263"/>
      <c r="N282" s="263">
        <f>N281+(VLOOKUP(82999,'Účtovná osnova'!$A$1:$I$1068,5,FALSE)+VLOOKUP(89999,'Účtovná osnova'!$A$1:$I$1068,5,FALSE))-1</f>
        <v>404765.24</v>
      </c>
      <c r="O282" s="263"/>
      <c r="P282" s="263"/>
      <c r="Q282" s="263"/>
      <c r="R282" s="263"/>
      <c r="S282" s="263"/>
      <c r="T282" s="263"/>
      <c r="U282" s="263"/>
      <c r="V282" s="263"/>
      <c r="W282" s="263"/>
      <c r="X282" s="263"/>
      <c r="Y282" s="263"/>
      <c r="Z282" s="263"/>
      <c r="AA282" s="263"/>
      <c r="AB282" s="263"/>
      <c r="AC282" s="263"/>
      <c r="AD282" s="263"/>
      <c r="AE282" s="263"/>
      <c r="AF282" s="263">
        <f>SUM(H282:AE282)</f>
        <v>404765.24</v>
      </c>
      <c r="AG282" s="263"/>
      <c r="AH282" s="263"/>
      <c r="AI282" s="155"/>
    </row>
    <row r="283" spans="1:38" s="4" customFormat="1" ht="13.8" x14ac:dyDescent="0.25">
      <c r="A283" s="3"/>
      <c r="D283" s="262" t="s">
        <v>90</v>
      </c>
      <c r="E283" s="262"/>
      <c r="F283" s="262"/>
      <c r="G283" s="262"/>
      <c r="H283" s="229"/>
      <c r="I283" s="229"/>
      <c r="J283" s="229"/>
      <c r="K283" s="263"/>
      <c r="L283" s="263"/>
      <c r="M283" s="263"/>
      <c r="N283" s="263"/>
      <c r="O283" s="263"/>
      <c r="P283" s="263"/>
      <c r="Q283" s="263"/>
      <c r="R283" s="263"/>
      <c r="S283" s="263"/>
      <c r="T283" s="263"/>
      <c r="U283" s="263"/>
      <c r="V283" s="263"/>
      <c r="W283" s="263"/>
      <c r="X283" s="263"/>
      <c r="Y283" s="263"/>
      <c r="Z283" s="263"/>
      <c r="AA283" s="263"/>
      <c r="AB283" s="263"/>
      <c r="AC283" s="263"/>
      <c r="AD283" s="263"/>
      <c r="AE283" s="263"/>
      <c r="AF283" s="263">
        <f>SUM(H283:AE283)</f>
        <v>0</v>
      </c>
      <c r="AG283" s="263"/>
      <c r="AH283" s="263"/>
    </row>
    <row r="284" spans="1:38" s="4" customFormat="1" ht="35.1" customHeight="1" thickBot="1" x14ac:dyDescent="0.3">
      <c r="A284" s="3"/>
      <c r="D284" s="282" t="s">
        <v>91</v>
      </c>
      <c r="E284" s="282"/>
      <c r="F284" s="282"/>
      <c r="G284" s="282"/>
      <c r="H284" s="338">
        <f>H280+H281-H282+H283</f>
        <v>0</v>
      </c>
      <c r="I284" s="338"/>
      <c r="J284" s="338"/>
      <c r="K284" s="338">
        <f>K280+K281-K282+K283</f>
        <v>4827.8599999999997</v>
      </c>
      <c r="L284" s="338"/>
      <c r="M284" s="338"/>
      <c r="N284" s="338">
        <f>N280+N281-N282+N283</f>
        <v>1578057.97</v>
      </c>
      <c r="O284" s="338"/>
      <c r="P284" s="338"/>
      <c r="Q284" s="338">
        <f>Q280+Q281-Q282+Q283</f>
        <v>0</v>
      </c>
      <c r="R284" s="338"/>
      <c r="S284" s="338"/>
      <c r="T284" s="338">
        <f>T280+T281-T282+T283</f>
        <v>0</v>
      </c>
      <c r="U284" s="338"/>
      <c r="V284" s="338"/>
      <c r="W284" s="338">
        <f>W280+W281-W282+W283</f>
        <v>0</v>
      </c>
      <c r="X284" s="338"/>
      <c r="Y284" s="338"/>
      <c r="Z284" s="338">
        <f>Z280+Z281-Z282+Z283</f>
        <v>0</v>
      </c>
      <c r="AA284" s="338"/>
      <c r="AB284" s="338"/>
      <c r="AC284" s="338">
        <f>AC280+AC281-AC282+AC283</f>
        <v>0</v>
      </c>
      <c r="AD284" s="338"/>
      <c r="AE284" s="338"/>
      <c r="AF284" s="338">
        <f>AF280+AF281-AF282+AF283</f>
        <v>1582885.8299999998</v>
      </c>
      <c r="AG284" s="338"/>
      <c r="AH284" s="338"/>
    </row>
    <row r="285" spans="1:38" s="4" customFormat="1" ht="15.75" customHeight="1" thickBot="1" x14ac:dyDescent="0.3">
      <c r="A285" s="3"/>
      <c r="D285" s="334" t="s">
        <v>94</v>
      </c>
      <c r="E285" s="335"/>
      <c r="F285" s="335"/>
      <c r="G285" s="335"/>
      <c r="H285" s="335"/>
      <c r="I285" s="335"/>
      <c r="J285" s="335"/>
      <c r="K285" s="335"/>
      <c r="L285" s="335"/>
      <c r="M285" s="335"/>
      <c r="N285" s="335"/>
      <c r="O285" s="335"/>
      <c r="P285" s="335"/>
      <c r="Q285" s="335"/>
      <c r="R285" s="335"/>
      <c r="S285" s="335"/>
      <c r="T285" s="335"/>
      <c r="U285" s="335"/>
      <c r="V285" s="335"/>
      <c r="W285" s="335"/>
      <c r="X285" s="335"/>
      <c r="Y285" s="335"/>
      <c r="Z285" s="335"/>
      <c r="AA285" s="335"/>
      <c r="AB285" s="335"/>
      <c r="AC285" s="335"/>
      <c r="AD285" s="335"/>
      <c r="AE285" s="335"/>
      <c r="AF285" s="335"/>
      <c r="AG285" s="335"/>
      <c r="AH285" s="336"/>
    </row>
    <row r="286" spans="1:38" s="4" customFormat="1" ht="29.7" customHeight="1" x14ac:dyDescent="0.25">
      <c r="A286" s="3"/>
      <c r="D286" s="279" t="s">
        <v>93</v>
      </c>
      <c r="E286" s="279"/>
      <c r="F286" s="279"/>
      <c r="G286" s="279"/>
      <c r="H286" s="337">
        <v>0</v>
      </c>
      <c r="I286" s="337"/>
      <c r="J286" s="337"/>
      <c r="K286" s="280">
        <v>0</v>
      </c>
      <c r="L286" s="280"/>
      <c r="M286" s="280"/>
      <c r="N286" s="280">
        <v>0</v>
      </c>
      <c r="O286" s="280"/>
      <c r="P286" s="280"/>
      <c r="Q286" s="280">
        <v>0</v>
      </c>
      <c r="R286" s="280"/>
      <c r="S286" s="280"/>
      <c r="T286" s="280">
        <v>0</v>
      </c>
      <c r="U286" s="280"/>
      <c r="V286" s="280"/>
      <c r="W286" s="280">
        <v>0</v>
      </c>
      <c r="X286" s="280"/>
      <c r="Y286" s="280"/>
      <c r="Z286" s="280">
        <v>0</v>
      </c>
      <c r="AA286" s="280"/>
      <c r="AB286" s="280"/>
      <c r="AC286" s="280">
        <v>0</v>
      </c>
      <c r="AD286" s="280"/>
      <c r="AE286" s="280"/>
      <c r="AF286" s="280">
        <f>SUM(H286:AE286)</f>
        <v>0</v>
      </c>
      <c r="AG286" s="280"/>
      <c r="AH286" s="280"/>
    </row>
    <row r="287" spans="1:38" s="4" customFormat="1" ht="15" customHeight="1" x14ac:dyDescent="0.25">
      <c r="A287" s="3"/>
      <c r="D287" s="262" t="s">
        <v>88</v>
      </c>
      <c r="E287" s="262"/>
      <c r="F287" s="262"/>
      <c r="G287" s="262"/>
      <c r="H287" s="229"/>
      <c r="I287" s="229"/>
      <c r="J287" s="229"/>
      <c r="K287" s="263"/>
      <c r="L287" s="263"/>
      <c r="M287" s="263"/>
      <c r="N287" s="263"/>
      <c r="O287" s="263"/>
      <c r="P287" s="263"/>
      <c r="Q287" s="263"/>
      <c r="R287" s="263"/>
      <c r="S287" s="263"/>
      <c r="T287" s="263"/>
      <c r="U287" s="263"/>
      <c r="V287" s="263"/>
      <c r="W287" s="263"/>
      <c r="X287" s="263"/>
      <c r="Y287" s="263"/>
      <c r="Z287" s="263"/>
      <c r="AA287" s="263"/>
      <c r="AB287" s="263"/>
      <c r="AC287" s="263"/>
      <c r="AD287" s="263"/>
      <c r="AE287" s="263"/>
      <c r="AF287" s="263">
        <f>SUM(H287:AE287)</f>
        <v>0</v>
      </c>
      <c r="AG287" s="263"/>
      <c r="AH287" s="263"/>
    </row>
    <row r="288" spans="1:38" s="4" customFormat="1" ht="15" customHeight="1" x14ac:dyDescent="0.25">
      <c r="A288" s="3"/>
      <c r="D288" s="262" t="s">
        <v>89</v>
      </c>
      <c r="E288" s="262"/>
      <c r="F288" s="262"/>
      <c r="G288" s="262"/>
      <c r="H288" s="229"/>
      <c r="I288" s="229"/>
      <c r="J288" s="229"/>
      <c r="K288" s="263"/>
      <c r="L288" s="263"/>
      <c r="M288" s="263"/>
      <c r="N288" s="263"/>
      <c r="O288" s="263"/>
      <c r="P288" s="263"/>
      <c r="Q288" s="263"/>
      <c r="R288" s="263"/>
      <c r="S288" s="263"/>
      <c r="T288" s="263"/>
      <c r="U288" s="263"/>
      <c r="V288" s="263"/>
      <c r="W288" s="263"/>
      <c r="X288" s="263"/>
      <c r="Y288" s="263"/>
      <c r="Z288" s="263"/>
      <c r="AA288" s="263"/>
      <c r="AB288" s="263"/>
      <c r="AC288" s="263"/>
      <c r="AD288" s="263"/>
      <c r="AE288" s="263"/>
      <c r="AF288" s="263">
        <f>SUM(H288:AE288)</f>
        <v>0</v>
      </c>
      <c r="AG288" s="263"/>
      <c r="AH288" s="263"/>
    </row>
    <row r="289" spans="1:34" s="4" customFormat="1" ht="13.8" x14ac:dyDescent="0.25">
      <c r="A289" s="3"/>
      <c r="D289" s="262" t="s">
        <v>90</v>
      </c>
      <c r="E289" s="262"/>
      <c r="F289" s="262"/>
      <c r="G289" s="262"/>
      <c r="H289" s="229"/>
      <c r="I289" s="229"/>
      <c r="J289" s="229"/>
      <c r="K289" s="263"/>
      <c r="L289" s="263"/>
      <c r="M289" s="263"/>
      <c r="N289" s="263"/>
      <c r="O289" s="263"/>
      <c r="P289" s="263"/>
      <c r="Q289" s="263"/>
      <c r="R289" s="263"/>
      <c r="S289" s="263"/>
      <c r="T289" s="263"/>
      <c r="U289" s="263"/>
      <c r="V289" s="263"/>
      <c r="W289" s="263"/>
      <c r="X289" s="263"/>
      <c r="Y289" s="263"/>
      <c r="Z289" s="263"/>
      <c r="AA289" s="263"/>
      <c r="AB289" s="263"/>
      <c r="AC289" s="263"/>
      <c r="AD289" s="263"/>
      <c r="AE289" s="263"/>
      <c r="AF289" s="263">
        <f>SUM(H289:AE289)</f>
        <v>0</v>
      </c>
      <c r="AG289" s="263"/>
      <c r="AH289" s="263"/>
    </row>
    <row r="290" spans="1:34" s="4" customFormat="1" ht="31.5" customHeight="1" thickBot="1" x14ac:dyDescent="0.3">
      <c r="A290" s="3"/>
      <c r="D290" s="282" t="s">
        <v>91</v>
      </c>
      <c r="E290" s="282"/>
      <c r="F290" s="282"/>
      <c r="G290" s="282"/>
      <c r="H290" s="338">
        <f>H286+H287-H288+H289</f>
        <v>0</v>
      </c>
      <c r="I290" s="338"/>
      <c r="J290" s="338"/>
      <c r="K290" s="338">
        <f>K286+K287-K288+K289</f>
        <v>0</v>
      </c>
      <c r="L290" s="338"/>
      <c r="M290" s="338"/>
      <c r="N290" s="338">
        <f>N286+N287-N288+N289</f>
        <v>0</v>
      </c>
      <c r="O290" s="338"/>
      <c r="P290" s="338"/>
      <c r="Q290" s="338">
        <f>Q286+Q287-Q288+Q289</f>
        <v>0</v>
      </c>
      <c r="R290" s="338"/>
      <c r="S290" s="338"/>
      <c r="T290" s="338">
        <f>T286+T287-T288+T289</f>
        <v>0</v>
      </c>
      <c r="U290" s="338"/>
      <c r="V290" s="338"/>
      <c r="W290" s="338">
        <f>W286+W287-W288+W289</f>
        <v>0</v>
      </c>
      <c r="X290" s="338"/>
      <c r="Y290" s="338"/>
      <c r="Z290" s="338">
        <f>Z286+Z287-Z288+Z289</f>
        <v>0</v>
      </c>
      <c r="AA290" s="338"/>
      <c r="AB290" s="338"/>
      <c r="AC290" s="338">
        <f>AC286+AC287-AC288+AC289</f>
        <v>0</v>
      </c>
      <c r="AD290" s="338"/>
      <c r="AE290" s="338"/>
      <c r="AF290" s="338">
        <f>AF286+AF287-AF288+AF289</f>
        <v>0</v>
      </c>
      <c r="AG290" s="338"/>
      <c r="AH290" s="338"/>
    </row>
    <row r="291" spans="1:34" s="4" customFormat="1" ht="15.75" customHeight="1" thickBot="1" x14ac:dyDescent="0.3">
      <c r="A291" s="3"/>
      <c r="D291" s="334" t="s">
        <v>95</v>
      </c>
      <c r="E291" s="335"/>
      <c r="F291" s="335"/>
      <c r="G291" s="335"/>
      <c r="H291" s="335"/>
      <c r="I291" s="335"/>
      <c r="J291" s="335"/>
      <c r="K291" s="335"/>
      <c r="L291" s="335"/>
      <c r="M291" s="335"/>
      <c r="N291" s="335"/>
      <c r="O291" s="335"/>
      <c r="P291" s="335"/>
      <c r="Q291" s="335"/>
      <c r="R291" s="335"/>
      <c r="S291" s="335"/>
      <c r="T291" s="335"/>
      <c r="U291" s="335"/>
      <c r="V291" s="335"/>
      <c r="W291" s="335"/>
      <c r="X291" s="335"/>
      <c r="Y291" s="335"/>
      <c r="Z291" s="335"/>
      <c r="AA291" s="335"/>
      <c r="AB291" s="335"/>
      <c r="AC291" s="335"/>
      <c r="AD291" s="335"/>
      <c r="AE291" s="335"/>
      <c r="AF291" s="335"/>
      <c r="AG291" s="335"/>
      <c r="AH291" s="336"/>
    </row>
    <row r="292" spans="1:34" s="4" customFormat="1" ht="30" customHeight="1" x14ac:dyDescent="0.25">
      <c r="A292" s="3"/>
      <c r="D292" s="291" t="s">
        <v>93</v>
      </c>
      <c r="E292" s="291"/>
      <c r="F292" s="291"/>
      <c r="G292" s="291"/>
      <c r="H292" s="339">
        <f>H274-H280-H286</f>
        <v>0</v>
      </c>
      <c r="I292" s="339"/>
      <c r="J292" s="339"/>
      <c r="K292" s="339">
        <f>K274-K280-K286</f>
        <v>11925</v>
      </c>
      <c r="L292" s="339"/>
      <c r="M292" s="339"/>
      <c r="N292" s="339">
        <f>N274-N280-N286</f>
        <v>3010547</v>
      </c>
      <c r="O292" s="339"/>
      <c r="P292" s="339"/>
      <c r="Q292" s="339">
        <f>Q274-Q280-Q286</f>
        <v>0</v>
      </c>
      <c r="R292" s="339"/>
      <c r="S292" s="339"/>
      <c r="T292" s="339">
        <f>T274-T280-T286</f>
        <v>0</v>
      </c>
      <c r="U292" s="339"/>
      <c r="V292" s="339"/>
      <c r="W292" s="339">
        <f>W274-W280-W286</f>
        <v>0</v>
      </c>
      <c r="X292" s="339"/>
      <c r="Y292" s="339"/>
      <c r="Z292" s="339">
        <f>Z274-Z280-Z286</f>
        <v>1203</v>
      </c>
      <c r="AA292" s="339"/>
      <c r="AB292" s="339"/>
      <c r="AC292" s="339">
        <f>AC274-AC280-AC286</f>
        <v>0</v>
      </c>
      <c r="AD292" s="339"/>
      <c r="AE292" s="339"/>
      <c r="AF292" s="339">
        <f>AF274-AF280-AF286</f>
        <v>3023675</v>
      </c>
      <c r="AG292" s="339"/>
      <c r="AH292" s="339"/>
    </row>
    <row r="293" spans="1:34" s="4" customFormat="1" ht="30" customHeight="1" thickBot="1" x14ac:dyDescent="0.3">
      <c r="A293" s="3"/>
      <c r="D293" s="282" t="s">
        <v>91</v>
      </c>
      <c r="E293" s="282"/>
      <c r="F293" s="282"/>
      <c r="G293" s="282"/>
      <c r="H293" s="338">
        <f>H278-H284-H290</f>
        <v>0</v>
      </c>
      <c r="I293" s="338"/>
      <c r="J293" s="338"/>
      <c r="K293" s="338">
        <f>K278-K284-K290</f>
        <v>10873.14</v>
      </c>
      <c r="L293" s="338"/>
      <c r="M293" s="338"/>
      <c r="N293" s="338">
        <f>N278-N284-N290</f>
        <v>3018518.0300000003</v>
      </c>
      <c r="O293" s="338"/>
      <c r="P293" s="338"/>
      <c r="Q293" s="338">
        <f>Q278-Q284-Q290</f>
        <v>0</v>
      </c>
      <c r="R293" s="338"/>
      <c r="S293" s="338"/>
      <c r="T293" s="338">
        <f>T278-T284-T290</f>
        <v>0</v>
      </c>
      <c r="U293" s="338"/>
      <c r="V293" s="338"/>
      <c r="W293" s="338">
        <f>W278-W284-W290</f>
        <v>0</v>
      </c>
      <c r="X293" s="338"/>
      <c r="Y293" s="338"/>
      <c r="Z293" s="338">
        <f>Z278-Z284-Z290</f>
        <v>149.59999999962747</v>
      </c>
      <c r="AA293" s="338"/>
      <c r="AB293" s="338"/>
      <c r="AC293" s="338">
        <f>AC278-AC284-AC290</f>
        <v>0</v>
      </c>
      <c r="AD293" s="338"/>
      <c r="AE293" s="338"/>
      <c r="AF293" s="338">
        <f>ROUNDUP(AF278-AF284-AF290,0)</f>
        <v>3029541</v>
      </c>
      <c r="AG293" s="338"/>
      <c r="AH293" s="338"/>
    </row>
    <row r="294" spans="1:34" s="4" customFormat="1" ht="22.5" customHeight="1" x14ac:dyDescent="0.25">
      <c r="A294" s="25"/>
      <c r="D294" s="66"/>
      <c r="E294" s="66"/>
      <c r="F294" s="66"/>
      <c r="G294" s="66"/>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row>
    <row r="295" spans="1:34" s="4" customFormat="1" ht="14.4" thickBot="1" x14ac:dyDescent="0.3">
      <c r="A295" s="3"/>
      <c r="D295" s="47"/>
      <c r="E295" s="47"/>
      <c r="F295" s="47"/>
      <c r="G295" s="47"/>
      <c r="H295" s="47"/>
      <c r="I295" s="47"/>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20"/>
    </row>
    <row r="296" spans="1:34" s="70" customFormat="1" ht="14.4" thickBot="1" x14ac:dyDescent="0.3">
      <c r="A296" s="60" t="s">
        <v>109</v>
      </c>
      <c r="D296" s="283" t="s">
        <v>101</v>
      </c>
      <c r="E296" s="284"/>
      <c r="F296" s="284"/>
      <c r="G296" s="287"/>
      <c r="H296" s="322" t="s">
        <v>17</v>
      </c>
      <c r="I296" s="322"/>
      <c r="J296" s="322"/>
      <c r="K296" s="322"/>
      <c r="L296" s="322"/>
      <c r="M296" s="322"/>
      <c r="N296" s="322"/>
      <c r="O296" s="322"/>
      <c r="P296" s="322"/>
      <c r="Q296" s="322"/>
      <c r="R296" s="322"/>
      <c r="S296" s="322"/>
      <c r="T296" s="322"/>
      <c r="U296" s="322"/>
      <c r="V296" s="322"/>
      <c r="W296" s="322"/>
      <c r="X296" s="322"/>
      <c r="Y296" s="322"/>
      <c r="Z296" s="322"/>
      <c r="AA296" s="322"/>
      <c r="AB296" s="322"/>
      <c r="AC296" s="322"/>
      <c r="AD296" s="322"/>
      <c r="AE296" s="322"/>
      <c r="AF296" s="322"/>
      <c r="AG296" s="322"/>
      <c r="AH296" s="322"/>
    </row>
    <row r="297" spans="1:34" s="70" customFormat="1" ht="55.5" customHeight="1" thickBot="1" x14ac:dyDescent="0.3">
      <c r="A297" s="60"/>
      <c r="D297" s="285"/>
      <c r="E297" s="286"/>
      <c r="F297" s="286"/>
      <c r="G297" s="288"/>
      <c r="H297" s="278" t="s">
        <v>102</v>
      </c>
      <c r="I297" s="278"/>
      <c r="J297" s="278"/>
      <c r="K297" s="278" t="s">
        <v>47</v>
      </c>
      <c r="L297" s="278"/>
      <c r="M297" s="278"/>
      <c r="N297" s="278" t="s">
        <v>103</v>
      </c>
      <c r="O297" s="278"/>
      <c r="P297" s="278"/>
      <c r="Q297" s="278" t="s">
        <v>104</v>
      </c>
      <c r="R297" s="278"/>
      <c r="S297" s="278"/>
      <c r="T297" s="278" t="s">
        <v>105</v>
      </c>
      <c r="U297" s="278"/>
      <c r="V297" s="278"/>
      <c r="W297" s="278" t="s">
        <v>106</v>
      </c>
      <c r="X297" s="278"/>
      <c r="Y297" s="278"/>
      <c r="Z297" s="278" t="s">
        <v>107</v>
      </c>
      <c r="AA297" s="278"/>
      <c r="AB297" s="278"/>
      <c r="AC297" s="278" t="s">
        <v>108</v>
      </c>
      <c r="AD297" s="278"/>
      <c r="AE297" s="278"/>
      <c r="AF297" s="278" t="s">
        <v>27</v>
      </c>
      <c r="AG297" s="278"/>
      <c r="AH297" s="278"/>
    </row>
    <row r="298" spans="1:34" s="70" customFormat="1" ht="14.4" thickBot="1" x14ac:dyDescent="0.3">
      <c r="A298" s="60"/>
      <c r="D298" s="334" t="s">
        <v>86</v>
      </c>
      <c r="E298" s="335"/>
      <c r="F298" s="335"/>
      <c r="G298" s="335"/>
      <c r="H298" s="335"/>
      <c r="I298" s="335"/>
      <c r="J298" s="335"/>
      <c r="K298" s="335"/>
      <c r="L298" s="335"/>
      <c r="M298" s="335"/>
      <c r="N298" s="335"/>
      <c r="O298" s="335"/>
      <c r="P298" s="335"/>
      <c r="Q298" s="335"/>
      <c r="R298" s="335"/>
      <c r="S298" s="335"/>
      <c r="T298" s="335"/>
      <c r="U298" s="335"/>
      <c r="V298" s="335"/>
      <c r="W298" s="335"/>
      <c r="X298" s="335"/>
      <c r="Y298" s="335"/>
      <c r="Z298" s="335"/>
      <c r="AA298" s="335"/>
      <c r="AB298" s="335"/>
      <c r="AC298" s="335"/>
      <c r="AD298" s="335"/>
      <c r="AE298" s="335"/>
      <c r="AF298" s="335"/>
      <c r="AG298" s="335"/>
      <c r="AH298" s="336"/>
    </row>
    <row r="299" spans="1:34" s="4" customFormat="1" ht="29.1" customHeight="1" x14ac:dyDescent="0.25">
      <c r="A299" s="3"/>
      <c r="D299" s="279" t="s">
        <v>87</v>
      </c>
      <c r="E299" s="279"/>
      <c r="F299" s="279"/>
      <c r="G299" s="279"/>
      <c r="H299" s="337">
        <v>0</v>
      </c>
      <c r="I299" s="337"/>
      <c r="J299" s="337"/>
      <c r="K299" s="327">
        <v>15701</v>
      </c>
      <c r="L299" s="327"/>
      <c r="M299" s="327"/>
      <c r="N299" s="327">
        <v>3101912</v>
      </c>
      <c r="O299" s="327"/>
      <c r="P299" s="327"/>
      <c r="Q299" s="280">
        <v>0</v>
      </c>
      <c r="R299" s="280"/>
      <c r="S299" s="280"/>
      <c r="T299" s="280">
        <v>0</v>
      </c>
      <c r="U299" s="280"/>
      <c r="V299" s="280"/>
      <c r="W299" s="280">
        <v>0</v>
      </c>
      <c r="X299" s="280"/>
      <c r="Y299" s="280"/>
      <c r="Z299" s="327">
        <v>779</v>
      </c>
      <c r="AA299" s="327"/>
      <c r="AB299" s="327"/>
      <c r="AC299" s="280">
        <v>0</v>
      </c>
      <c r="AD299" s="280"/>
      <c r="AE299" s="280"/>
      <c r="AF299" s="280">
        <f>SUM(H299:AE299)</f>
        <v>3118392</v>
      </c>
      <c r="AG299" s="280"/>
      <c r="AH299" s="280"/>
    </row>
    <row r="300" spans="1:34" s="4" customFormat="1" ht="14.25" customHeight="1" x14ac:dyDescent="0.25">
      <c r="A300" s="3"/>
      <c r="D300" s="262" t="s">
        <v>88</v>
      </c>
      <c r="E300" s="262"/>
      <c r="F300" s="262"/>
      <c r="G300" s="262"/>
      <c r="H300" s="229"/>
      <c r="I300" s="229"/>
      <c r="J300" s="229"/>
      <c r="K300" s="263"/>
      <c r="L300" s="263"/>
      <c r="M300" s="263"/>
      <c r="N300" s="326">
        <f>9077673</f>
        <v>9077673</v>
      </c>
      <c r="O300" s="326"/>
      <c r="P300" s="326"/>
      <c r="Q300" s="263"/>
      <c r="R300" s="263"/>
      <c r="S300" s="263"/>
      <c r="T300" s="263"/>
      <c r="U300" s="263"/>
      <c r="V300" s="263"/>
      <c r="W300" s="263"/>
      <c r="X300" s="263"/>
      <c r="Y300" s="263"/>
      <c r="Z300" s="326">
        <v>424</v>
      </c>
      <c r="AA300" s="326"/>
      <c r="AB300" s="326"/>
      <c r="AC300" s="263"/>
      <c r="AD300" s="263"/>
      <c r="AE300" s="263"/>
      <c r="AF300" s="263">
        <f>SUM(H300:AE300)</f>
        <v>9078097</v>
      </c>
      <c r="AG300" s="263"/>
      <c r="AH300" s="263"/>
    </row>
    <row r="301" spans="1:34" s="4" customFormat="1" ht="13.8" x14ac:dyDescent="0.25">
      <c r="A301" s="3"/>
      <c r="D301" s="262" t="s">
        <v>89</v>
      </c>
      <c r="E301" s="262"/>
      <c r="F301" s="262"/>
      <c r="G301" s="262"/>
      <c r="H301" s="229"/>
      <c r="I301" s="229"/>
      <c r="J301" s="229"/>
      <c r="K301" s="263"/>
      <c r="L301" s="263"/>
      <c r="M301" s="263"/>
      <c r="N301" s="326">
        <v>7741237</v>
      </c>
      <c r="O301" s="326"/>
      <c r="P301" s="326"/>
      <c r="Q301" s="263"/>
      <c r="R301" s="263"/>
      <c r="S301" s="263"/>
      <c r="T301" s="263"/>
      <c r="U301" s="263"/>
      <c r="V301" s="263"/>
      <c r="W301" s="263"/>
      <c r="X301" s="263"/>
      <c r="Y301" s="263"/>
      <c r="Z301" s="263"/>
      <c r="AA301" s="263"/>
      <c r="AB301" s="263"/>
      <c r="AC301" s="263"/>
      <c r="AD301" s="263"/>
      <c r="AE301" s="263"/>
      <c r="AF301" s="263">
        <f>SUM(H301:AE301)</f>
        <v>7741237</v>
      </c>
      <c r="AG301" s="263"/>
      <c r="AH301" s="263"/>
    </row>
    <row r="302" spans="1:34" s="4" customFormat="1" ht="13.8" x14ac:dyDescent="0.25">
      <c r="A302" s="3"/>
      <c r="D302" s="262" t="s">
        <v>90</v>
      </c>
      <c r="E302" s="262"/>
      <c r="F302" s="262"/>
      <c r="G302" s="262"/>
      <c r="H302" s="229"/>
      <c r="I302" s="229"/>
      <c r="J302" s="229"/>
      <c r="K302" s="263"/>
      <c r="L302" s="263"/>
      <c r="M302" s="263"/>
      <c r="N302" s="263"/>
      <c r="O302" s="263"/>
      <c r="P302" s="263"/>
      <c r="Q302" s="263"/>
      <c r="R302" s="263"/>
      <c r="S302" s="263"/>
      <c r="T302" s="263"/>
      <c r="U302" s="263"/>
      <c r="V302" s="263"/>
      <c r="W302" s="263"/>
      <c r="X302" s="263"/>
      <c r="Y302" s="263"/>
      <c r="Z302" s="263"/>
      <c r="AA302" s="263"/>
      <c r="AB302" s="263"/>
      <c r="AC302" s="263"/>
      <c r="AD302" s="263"/>
      <c r="AE302" s="263"/>
      <c r="AF302" s="263">
        <f>SUM(H302:AE302)</f>
        <v>0</v>
      </c>
      <c r="AG302" s="263"/>
      <c r="AH302" s="263"/>
    </row>
    <row r="303" spans="1:34" s="4" customFormat="1" ht="39.6" customHeight="1" thickBot="1" x14ac:dyDescent="0.3">
      <c r="A303" s="3"/>
      <c r="D303" s="282" t="s">
        <v>91</v>
      </c>
      <c r="E303" s="282"/>
      <c r="F303" s="282"/>
      <c r="G303" s="282"/>
      <c r="H303" s="338">
        <f>H299+H300-H301+H302</f>
        <v>0</v>
      </c>
      <c r="I303" s="338"/>
      <c r="J303" s="338"/>
      <c r="K303" s="338">
        <f>K299+K300-K301+K302</f>
        <v>15701</v>
      </c>
      <c r="L303" s="338"/>
      <c r="M303" s="338"/>
      <c r="N303" s="338">
        <f>N299+N300-N301+N302</f>
        <v>4438348</v>
      </c>
      <c r="O303" s="338"/>
      <c r="P303" s="338"/>
      <c r="Q303" s="338">
        <f>Q299+Q300-Q301+Q302</f>
        <v>0</v>
      </c>
      <c r="R303" s="338"/>
      <c r="S303" s="338"/>
      <c r="T303" s="338">
        <f>T299+T300-T301+T302</f>
        <v>0</v>
      </c>
      <c r="U303" s="338"/>
      <c r="V303" s="338"/>
      <c r="W303" s="338">
        <f>W299+W300-W301+W302</f>
        <v>0</v>
      </c>
      <c r="X303" s="338"/>
      <c r="Y303" s="338"/>
      <c r="Z303" s="338">
        <f>Z299+Z300-Z301+Z302</f>
        <v>1203</v>
      </c>
      <c r="AA303" s="338"/>
      <c r="AB303" s="338"/>
      <c r="AC303" s="338">
        <f>AC299+AC300-AC301+AC302</f>
        <v>0</v>
      </c>
      <c r="AD303" s="338"/>
      <c r="AE303" s="338"/>
      <c r="AF303" s="338">
        <f>AF299+AF300-AF301+AF302</f>
        <v>4455252</v>
      </c>
      <c r="AG303" s="338"/>
      <c r="AH303" s="338"/>
    </row>
    <row r="304" spans="1:34" s="4" customFormat="1" ht="15" customHeight="1" thickBot="1" x14ac:dyDescent="0.3">
      <c r="A304" s="3"/>
      <c r="D304" s="334" t="s">
        <v>92</v>
      </c>
      <c r="E304" s="335"/>
      <c r="F304" s="335"/>
      <c r="G304" s="335"/>
      <c r="H304" s="335"/>
      <c r="I304" s="335"/>
      <c r="J304" s="335"/>
      <c r="K304" s="335"/>
      <c r="L304" s="335"/>
      <c r="M304" s="335"/>
      <c r="N304" s="335"/>
      <c r="O304" s="335"/>
      <c r="P304" s="335"/>
      <c r="Q304" s="335"/>
      <c r="R304" s="335"/>
      <c r="S304" s="335"/>
      <c r="T304" s="335"/>
      <c r="U304" s="335"/>
      <c r="V304" s="335"/>
      <c r="W304" s="335"/>
      <c r="X304" s="335"/>
      <c r="Y304" s="335"/>
      <c r="Z304" s="335"/>
      <c r="AA304" s="335"/>
      <c r="AB304" s="335"/>
      <c r="AC304" s="335"/>
      <c r="AD304" s="335"/>
      <c r="AE304" s="335"/>
      <c r="AF304" s="335"/>
      <c r="AG304" s="335"/>
      <c r="AH304" s="336"/>
    </row>
    <row r="305" spans="1:34" s="4" customFormat="1" ht="34.5" customHeight="1" x14ac:dyDescent="0.25">
      <c r="A305" s="3"/>
      <c r="D305" s="279" t="s">
        <v>93</v>
      </c>
      <c r="E305" s="279"/>
      <c r="F305" s="279"/>
      <c r="G305" s="279"/>
      <c r="H305" s="337">
        <v>0</v>
      </c>
      <c r="I305" s="337"/>
      <c r="J305" s="337"/>
      <c r="K305" s="327">
        <v>2724</v>
      </c>
      <c r="L305" s="327"/>
      <c r="M305" s="327"/>
      <c r="N305" s="327">
        <v>1262124</v>
      </c>
      <c r="O305" s="327"/>
      <c r="P305" s="327"/>
      <c r="Q305" s="280">
        <v>0</v>
      </c>
      <c r="R305" s="280"/>
      <c r="S305" s="280"/>
      <c r="T305" s="280">
        <v>0</v>
      </c>
      <c r="U305" s="280"/>
      <c r="V305" s="280"/>
      <c r="W305" s="280">
        <v>0</v>
      </c>
      <c r="X305" s="280"/>
      <c r="Y305" s="280"/>
      <c r="Z305" s="280">
        <v>0</v>
      </c>
      <c r="AA305" s="280"/>
      <c r="AB305" s="280"/>
      <c r="AC305" s="280">
        <v>0</v>
      </c>
      <c r="AD305" s="280"/>
      <c r="AE305" s="280"/>
      <c r="AF305" s="280">
        <f>SUM(H305:AE305)</f>
        <v>1264848</v>
      </c>
      <c r="AG305" s="280"/>
      <c r="AH305" s="280"/>
    </row>
    <row r="306" spans="1:34" s="4" customFormat="1" ht="14.25" customHeight="1" x14ac:dyDescent="0.25">
      <c r="A306" s="3"/>
      <c r="D306" s="262" t="s">
        <v>88</v>
      </c>
      <c r="E306" s="262"/>
      <c r="F306" s="262"/>
      <c r="G306" s="262"/>
      <c r="H306" s="229"/>
      <c r="I306" s="229"/>
      <c r="J306" s="229"/>
      <c r="K306" s="326">
        <v>1052</v>
      </c>
      <c r="L306" s="326"/>
      <c r="M306" s="326"/>
      <c r="N306" s="326">
        <v>486437</v>
      </c>
      <c r="O306" s="326"/>
      <c r="P306" s="326"/>
      <c r="Q306" s="263"/>
      <c r="R306" s="263"/>
      <c r="S306" s="263"/>
      <c r="T306" s="263"/>
      <c r="U306" s="263"/>
      <c r="V306" s="263"/>
      <c r="W306" s="263"/>
      <c r="X306" s="263"/>
      <c r="Y306" s="263"/>
      <c r="Z306" s="263"/>
      <c r="AA306" s="263"/>
      <c r="AB306" s="263"/>
      <c r="AC306" s="263"/>
      <c r="AD306" s="263"/>
      <c r="AE306" s="263"/>
      <c r="AF306" s="263">
        <f>SUM(H306:AE306)</f>
        <v>487489</v>
      </c>
      <c r="AG306" s="263"/>
      <c r="AH306" s="263"/>
    </row>
    <row r="307" spans="1:34" s="4" customFormat="1" ht="13.8" x14ac:dyDescent="0.25">
      <c r="A307" s="3"/>
      <c r="D307" s="262" t="s">
        <v>89</v>
      </c>
      <c r="E307" s="262"/>
      <c r="F307" s="262"/>
      <c r="G307" s="262"/>
      <c r="H307" s="229"/>
      <c r="I307" s="229"/>
      <c r="J307" s="229"/>
      <c r="K307" s="263"/>
      <c r="L307" s="263"/>
      <c r="M307" s="263"/>
      <c r="N307" s="326">
        <v>320760</v>
      </c>
      <c r="O307" s="326"/>
      <c r="P307" s="326"/>
      <c r="Q307" s="263"/>
      <c r="R307" s="263"/>
      <c r="S307" s="263"/>
      <c r="T307" s="263"/>
      <c r="U307" s="263"/>
      <c r="V307" s="263"/>
      <c r="W307" s="263"/>
      <c r="X307" s="263"/>
      <c r="Y307" s="263"/>
      <c r="Z307" s="263"/>
      <c r="AA307" s="263"/>
      <c r="AB307" s="263"/>
      <c r="AC307" s="263"/>
      <c r="AD307" s="263"/>
      <c r="AE307" s="263"/>
      <c r="AF307" s="263">
        <f>SUM(H307:AE307)</f>
        <v>320760</v>
      </c>
      <c r="AG307" s="263"/>
      <c r="AH307" s="263"/>
    </row>
    <row r="308" spans="1:34" s="4" customFormat="1" ht="13.8" x14ac:dyDescent="0.25">
      <c r="A308" s="3"/>
      <c r="D308" s="262" t="s">
        <v>90</v>
      </c>
      <c r="E308" s="262"/>
      <c r="F308" s="262"/>
      <c r="G308" s="262"/>
      <c r="H308" s="229"/>
      <c r="I308" s="229"/>
      <c r="J308" s="229"/>
      <c r="K308" s="263"/>
      <c r="L308" s="263"/>
      <c r="M308" s="263"/>
      <c r="N308" s="263"/>
      <c r="O308" s="263"/>
      <c r="P308" s="263"/>
      <c r="Q308" s="263"/>
      <c r="R308" s="263"/>
      <c r="S308" s="263"/>
      <c r="T308" s="263"/>
      <c r="U308" s="263"/>
      <c r="V308" s="263"/>
      <c r="W308" s="263"/>
      <c r="X308" s="263"/>
      <c r="Y308" s="263"/>
      <c r="Z308" s="263"/>
      <c r="AA308" s="263"/>
      <c r="AB308" s="263"/>
      <c r="AC308" s="263"/>
      <c r="AD308" s="263"/>
      <c r="AE308" s="263"/>
      <c r="AF308" s="263">
        <f>SUM(H308:AE308)</f>
        <v>0</v>
      </c>
      <c r="AG308" s="263"/>
      <c r="AH308" s="263"/>
    </row>
    <row r="309" spans="1:34" s="4" customFormat="1" ht="32.700000000000003" customHeight="1" thickBot="1" x14ac:dyDescent="0.3">
      <c r="A309" s="3"/>
      <c r="D309" s="282" t="s">
        <v>91</v>
      </c>
      <c r="E309" s="282"/>
      <c r="F309" s="282"/>
      <c r="G309" s="282"/>
      <c r="H309" s="338">
        <f>H305+H306-H307+H308</f>
        <v>0</v>
      </c>
      <c r="I309" s="338"/>
      <c r="J309" s="338"/>
      <c r="K309" s="338">
        <f>K305+K306-K307+K308</f>
        <v>3776</v>
      </c>
      <c r="L309" s="338"/>
      <c r="M309" s="338"/>
      <c r="N309" s="338">
        <f>N305+N306-N307+N308</f>
        <v>1427801</v>
      </c>
      <c r="O309" s="338"/>
      <c r="P309" s="338"/>
      <c r="Q309" s="338">
        <f>Q305+Q306-Q307+Q308</f>
        <v>0</v>
      </c>
      <c r="R309" s="338"/>
      <c r="S309" s="338"/>
      <c r="T309" s="338">
        <f>T305+T306-T307+T308</f>
        <v>0</v>
      </c>
      <c r="U309" s="338"/>
      <c r="V309" s="338"/>
      <c r="W309" s="338">
        <f>W305+W306-W307+W308</f>
        <v>0</v>
      </c>
      <c r="X309" s="338"/>
      <c r="Y309" s="338"/>
      <c r="Z309" s="338">
        <f>Z305+Z306-Z307+Z308</f>
        <v>0</v>
      </c>
      <c r="AA309" s="338"/>
      <c r="AB309" s="338"/>
      <c r="AC309" s="338">
        <f>AC305+AC306-AC307+AC308</f>
        <v>0</v>
      </c>
      <c r="AD309" s="338"/>
      <c r="AE309" s="338"/>
      <c r="AF309" s="338">
        <f>AF305+AF306-AF307+AF308</f>
        <v>1431577</v>
      </c>
      <c r="AG309" s="338"/>
      <c r="AH309" s="338"/>
    </row>
    <row r="310" spans="1:34" s="4" customFormat="1" ht="15" customHeight="1" thickBot="1" x14ac:dyDescent="0.3">
      <c r="A310" s="3"/>
      <c r="D310" s="334" t="s">
        <v>94</v>
      </c>
      <c r="E310" s="335"/>
      <c r="F310" s="335"/>
      <c r="G310" s="335"/>
      <c r="H310" s="335"/>
      <c r="I310" s="335"/>
      <c r="J310" s="335"/>
      <c r="K310" s="335"/>
      <c r="L310" s="335"/>
      <c r="M310" s="335"/>
      <c r="N310" s="335"/>
      <c r="O310" s="335"/>
      <c r="P310" s="335"/>
      <c r="Q310" s="335"/>
      <c r="R310" s="335"/>
      <c r="S310" s="335"/>
      <c r="T310" s="335"/>
      <c r="U310" s="335"/>
      <c r="V310" s="335"/>
      <c r="W310" s="335"/>
      <c r="X310" s="335"/>
      <c r="Y310" s="335"/>
      <c r="Z310" s="335"/>
      <c r="AA310" s="335"/>
      <c r="AB310" s="335"/>
      <c r="AC310" s="335"/>
      <c r="AD310" s="335"/>
      <c r="AE310" s="335"/>
      <c r="AF310" s="335"/>
      <c r="AG310" s="335"/>
      <c r="AH310" s="336"/>
    </row>
    <row r="311" spans="1:34" s="4" customFormat="1" ht="40.5" customHeight="1" x14ac:dyDescent="0.25">
      <c r="A311" s="3"/>
      <c r="D311" s="279" t="s">
        <v>93</v>
      </c>
      <c r="E311" s="279"/>
      <c r="F311" s="279"/>
      <c r="G311" s="279"/>
      <c r="H311" s="337">
        <v>0</v>
      </c>
      <c r="I311" s="337"/>
      <c r="J311" s="337"/>
      <c r="K311" s="280">
        <v>0</v>
      </c>
      <c r="L311" s="280"/>
      <c r="M311" s="280"/>
      <c r="N311" s="280">
        <v>0</v>
      </c>
      <c r="O311" s="280"/>
      <c r="P311" s="280"/>
      <c r="Q311" s="280">
        <v>0</v>
      </c>
      <c r="R311" s="280"/>
      <c r="S311" s="280"/>
      <c r="T311" s="280">
        <v>0</v>
      </c>
      <c r="U311" s="280"/>
      <c r="V311" s="280"/>
      <c r="W311" s="280">
        <v>0</v>
      </c>
      <c r="X311" s="280"/>
      <c r="Y311" s="280"/>
      <c r="Z311" s="280">
        <v>0</v>
      </c>
      <c r="AA311" s="280"/>
      <c r="AB311" s="280"/>
      <c r="AC311" s="280">
        <v>0</v>
      </c>
      <c r="AD311" s="280"/>
      <c r="AE311" s="280"/>
      <c r="AF311" s="280">
        <f>SUM(H311:AE311)</f>
        <v>0</v>
      </c>
      <c r="AG311" s="280"/>
      <c r="AH311" s="280"/>
    </row>
    <row r="312" spans="1:34" s="4" customFormat="1" ht="14.25" customHeight="1" x14ac:dyDescent="0.25">
      <c r="A312" s="3"/>
      <c r="D312" s="262" t="s">
        <v>88</v>
      </c>
      <c r="E312" s="262"/>
      <c r="F312" s="262"/>
      <c r="G312" s="262"/>
      <c r="H312" s="229"/>
      <c r="I312" s="229"/>
      <c r="J312" s="229"/>
      <c r="K312" s="263"/>
      <c r="L312" s="263"/>
      <c r="M312" s="263"/>
      <c r="N312" s="263"/>
      <c r="O312" s="263"/>
      <c r="P312" s="263"/>
      <c r="Q312" s="263"/>
      <c r="R312" s="263"/>
      <c r="S312" s="263"/>
      <c r="T312" s="263"/>
      <c r="U312" s="263"/>
      <c r="V312" s="263"/>
      <c r="W312" s="263"/>
      <c r="X312" s="263"/>
      <c r="Y312" s="263"/>
      <c r="Z312" s="263"/>
      <c r="AA312" s="263"/>
      <c r="AB312" s="263"/>
      <c r="AC312" s="263"/>
      <c r="AD312" s="263"/>
      <c r="AE312" s="263"/>
      <c r="AF312" s="263">
        <f>SUM(H312:AE312)</f>
        <v>0</v>
      </c>
      <c r="AG312" s="263"/>
      <c r="AH312" s="263"/>
    </row>
    <row r="313" spans="1:34" s="4" customFormat="1" ht="13.8" x14ac:dyDescent="0.25">
      <c r="A313" s="3"/>
      <c r="D313" s="262" t="s">
        <v>89</v>
      </c>
      <c r="E313" s="262"/>
      <c r="F313" s="262"/>
      <c r="G313" s="262"/>
      <c r="H313" s="229"/>
      <c r="I313" s="229"/>
      <c r="J313" s="229"/>
      <c r="K313" s="263"/>
      <c r="L313" s="263"/>
      <c r="M313" s="263"/>
      <c r="N313" s="263"/>
      <c r="O313" s="263"/>
      <c r="P313" s="263"/>
      <c r="Q313" s="263"/>
      <c r="R313" s="263"/>
      <c r="S313" s="263"/>
      <c r="T313" s="263"/>
      <c r="U313" s="263"/>
      <c r="V313" s="263"/>
      <c r="W313" s="263"/>
      <c r="X313" s="263"/>
      <c r="Y313" s="263"/>
      <c r="Z313" s="263"/>
      <c r="AA313" s="263"/>
      <c r="AB313" s="263"/>
      <c r="AC313" s="263"/>
      <c r="AD313" s="263"/>
      <c r="AE313" s="263"/>
      <c r="AF313" s="263">
        <f>SUM(H313:AE313)</f>
        <v>0</v>
      </c>
      <c r="AG313" s="263"/>
      <c r="AH313" s="263"/>
    </row>
    <row r="314" spans="1:34" s="4" customFormat="1" ht="13.8" x14ac:dyDescent="0.25">
      <c r="A314" s="3"/>
      <c r="D314" s="262" t="s">
        <v>90</v>
      </c>
      <c r="E314" s="262"/>
      <c r="F314" s="262"/>
      <c r="G314" s="262"/>
      <c r="H314" s="229"/>
      <c r="I314" s="229"/>
      <c r="J314" s="229"/>
      <c r="K314" s="263"/>
      <c r="L314" s="263"/>
      <c r="M314" s="263"/>
      <c r="N314" s="263"/>
      <c r="O314" s="263"/>
      <c r="P314" s="263"/>
      <c r="Q314" s="263"/>
      <c r="R314" s="263"/>
      <c r="S314" s="263"/>
      <c r="T314" s="263"/>
      <c r="U314" s="263"/>
      <c r="V314" s="263"/>
      <c r="W314" s="263"/>
      <c r="X314" s="263"/>
      <c r="Y314" s="263"/>
      <c r="Z314" s="263"/>
      <c r="AA314" s="263"/>
      <c r="AB314" s="263"/>
      <c r="AC314" s="263"/>
      <c r="AD314" s="263"/>
      <c r="AE314" s="263"/>
      <c r="AF314" s="263">
        <f>SUM(H314:AE314)</f>
        <v>0</v>
      </c>
      <c r="AG314" s="263"/>
      <c r="AH314" s="263"/>
    </row>
    <row r="315" spans="1:34" s="4" customFormat="1" ht="41.7" customHeight="1" thickBot="1" x14ac:dyDescent="0.3">
      <c r="A315" s="3"/>
      <c r="D315" s="282" t="s">
        <v>91</v>
      </c>
      <c r="E315" s="282"/>
      <c r="F315" s="282"/>
      <c r="G315" s="282"/>
      <c r="H315" s="338">
        <f>H311+H312-H313+H314</f>
        <v>0</v>
      </c>
      <c r="I315" s="338"/>
      <c r="J315" s="338"/>
      <c r="K315" s="338">
        <f>K311+K312-K313+K314</f>
        <v>0</v>
      </c>
      <c r="L315" s="338"/>
      <c r="M315" s="338"/>
      <c r="N315" s="338">
        <f>N311+N312-N313+N314</f>
        <v>0</v>
      </c>
      <c r="O315" s="338"/>
      <c r="P315" s="338"/>
      <c r="Q315" s="338">
        <f>Q311+Q312-Q313+Q314</f>
        <v>0</v>
      </c>
      <c r="R315" s="338"/>
      <c r="S315" s="338"/>
      <c r="T315" s="338">
        <f>T311+T312-T313+T314</f>
        <v>0</v>
      </c>
      <c r="U315" s="338"/>
      <c r="V315" s="338"/>
      <c r="W315" s="338">
        <f>W311+W312-W313+W314</f>
        <v>0</v>
      </c>
      <c r="X315" s="338"/>
      <c r="Y315" s="338"/>
      <c r="Z315" s="338">
        <f>Z311+Z312-Z313+Z314</f>
        <v>0</v>
      </c>
      <c r="AA315" s="338"/>
      <c r="AB315" s="338"/>
      <c r="AC315" s="338">
        <f>AC311+AC312-AC313+AC314</f>
        <v>0</v>
      </c>
      <c r="AD315" s="338"/>
      <c r="AE315" s="338"/>
      <c r="AF315" s="338">
        <f>AF311+AF312-AF313+AF314</f>
        <v>0</v>
      </c>
      <c r="AG315" s="338"/>
      <c r="AH315" s="338"/>
    </row>
    <row r="316" spans="1:34" s="4" customFormat="1" ht="15" customHeight="1" thickBot="1" x14ac:dyDescent="0.3">
      <c r="A316" s="3"/>
      <c r="D316" s="334" t="s">
        <v>95</v>
      </c>
      <c r="E316" s="335"/>
      <c r="F316" s="335"/>
      <c r="G316" s="335"/>
      <c r="H316" s="335"/>
      <c r="I316" s="335"/>
      <c r="J316" s="335"/>
      <c r="K316" s="335"/>
      <c r="L316" s="335"/>
      <c r="M316" s="335"/>
      <c r="N316" s="335"/>
      <c r="O316" s="335"/>
      <c r="P316" s="335"/>
      <c r="Q316" s="335"/>
      <c r="R316" s="335"/>
      <c r="S316" s="335"/>
      <c r="T316" s="335"/>
      <c r="U316" s="335"/>
      <c r="V316" s="335"/>
      <c r="W316" s="335"/>
      <c r="X316" s="335"/>
      <c r="Y316" s="335"/>
      <c r="Z316" s="335"/>
      <c r="AA316" s="335"/>
      <c r="AB316" s="335"/>
      <c r="AC316" s="335"/>
      <c r="AD316" s="335"/>
      <c r="AE316" s="335"/>
      <c r="AF316" s="335"/>
      <c r="AG316" s="335"/>
      <c r="AH316" s="336"/>
    </row>
    <row r="317" spans="1:34" s="4" customFormat="1" ht="38.700000000000003" customHeight="1" x14ac:dyDescent="0.25">
      <c r="A317" s="3"/>
      <c r="D317" s="291" t="s">
        <v>93</v>
      </c>
      <c r="E317" s="291"/>
      <c r="F317" s="291"/>
      <c r="G317" s="291"/>
      <c r="H317" s="339">
        <f>H299-H305-H311</f>
        <v>0</v>
      </c>
      <c r="I317" s="339"/>
      <c r="J317" s="339"/>
      <c r="K317" s="339">
        <f>K299-K305-K311</f>
        <v>12977</v>
      </c>
      <c r="L317" s="339"/>
      <c r="M317" s="339"/>
      <c r="N317" s="339">
        <f>N299-N305-N311</f>
        <v>1839788</v>
      </c>
      <c r="O317" s="339"/>
      <c r="P317" s="339"/>
      <c r="Q317" s="339">
        <f>Q299-Q305-Q311</f>
        <v>0</v>
      </c>
      <c r="R317" s="339"/>
      <c r="S317" s="339"/>
      <c r="T317" s="339">
        <f>T299-T305-T311</f>
        <v>0</v>
      </c>
      <c r="U317" s="339"/>
      <c r="V317" s="339"/>
      <c r="W317" s="339">
        <f>W299-W305-W311</f>
        <v>0</v>
      </c>
      <c r="X317" s="339"/>
      <c r="Y317" s="339"/>
      <c r="Z317" s="339">
        <f>Z299-Z305-Z311</f>
        <v>779</v>
      </c>
      <c r="AA317" s="339"/>
      <c r="AB317" s="339"/>
      <c r="AC317" s="339">
        <f>AC299-AC305-AC311</f>
        <v>0</v>
      </c>
      <c r="AD317" s="339"/>
      <c r="AE317" s="339"/>
      <c r="AF317" s="339">
        <f>AF299-AF305-AF311</f>
        <v>1853544</v>
      </c>
      <c r="AG317" s="339"/>
      <c r="AH317" s="339"/>
    </row>
    <row r="318" spans="1:34" s="4" customFormat="1" ht="33.6" customHeight="1" thickBot="1" x14ac:dyDescent="0.3">
      <c r="A318" s="3"/>
      <c r="D318" s="282" t="s">
        <v>91</v>
      </c>
      <c r="E318" s="282"/>
      <c r="F318" s="282"/>
      <c r="G318" s="282"/>
      <c r="H318" s="338">
        <f>H303-H309-H315</f>
        <v>0</v>
      </c>
      <c r="I318" s="338"/>
      <c r="J318" s="338"/>
      <c r="K318" s="338">
        <f>K303-K309-K315</f>
        <v>11925</v>
      </c>
      <c r="L318" s="338"/>
      <c r="M318" s="338"/>
      <c r="N318" s="338">
        <f>N303-N309-N315</f>
        <v>3010547</v>
      </c>
      <c r="O318" s="338"/>
      <c r="P318" s="338"/>
      <c r="Q318" s="338">
        <f>Q303-Q309-Q315</f>
        <v>0</v>
      </c>
      <c r="R318" s="338"/>
      <c r="S318" s="338"/>
      <c r="T318" s="338">
        <f>T303-T309-T315</f>
        <v>0</v>
      </c>
      <c r="U318" s="338"/>
      <c r="V318" s="338"/>
      <c r="W318" s="338">
        <f>W303-W309-W315</f>
        <v>0</v>
      </c>
      <c r="X318" s="338"/>
      <c r="Y318" s="338"/>
      <c r="Z318" s="338">
        <f>Z303-Z309-Z315</f>
        <v>1203</v>
      </c>
      <c r="AA318" s="338"/>
      <c r="AB318" s="338"/>
      <c r="AC318" s="338">
        <f>AC303-AC309-AC315</f>
        <v>0</v>
      </c>
      <c r="AD318" s="338"/>
      <c r="AE318" s="338"/>
      <c r="AF318" s="338">
        <f>AF303-AF309-AF315</f>
        <v>3023675</v>
      </c>
      <c r="AG318" s="338"/>
      <c r="AH318" s="338"/>
    </row>
    <row r="319" spans="1:34" s="4" customFormat="1" ht="15" customHeight="1" x14ac:dyDescent="0.25">
      <c r="A319" s="3"/>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20"/>
    </row>
    <row r="320" spans="1:34" s="4" customFormat="1" ht="13.8" x14ac:dyDescent="0.25">
      <c r="A320" s="3"/>
      <c r="D320" s="56" t="s">
        <v>673</v>
      </c>
      <c r="E320" s="57"/>
      <c r="F320" s="57"/>
      <c r="G320" s="57"/>
      <c r="H320" s="57"/>
      <c r="I320" s="57"/>
      <c r="J320" s="57"/>
      <c r="K320" s="57"/>
      <c r="L320" s="57"/>
      <c r="M320" s="57"/>
      <c r="N320" s="57"/>
      <c r="O320" s="57"/>
      <c r="P320" s="57"/>
      <c r="Q320" s="57"/>
      <c r="R320" s="57"/>
      <c r="S320" s="57"/>
      <c r="T320" s="57"/>
      <c r="U320" s="57"/>
      <c r="V320" s="57"/>
      <c r="W320" s="57"/>
      <c r="X320" s="57"/>
      <c r="Y320" s="57"/>
      <c r="Z320" s="57"/>
      <c r="AA320" s="20"/>
      <c r="AB320" s="20"/>
      <c r="AC320" s="20"/>
      <c r="AD320" s="20"/>
      <c r="AE320" s="20"/>
      <c r="AF320" s="20"/>
      <c r="AG320" s="20"/>
      <c r="AH320" s="20"/>
    </row>
    <row r="321" spans="1:34" s="4" customFormat="1" ht="13.8" x14ac:dyDescent="0.25">
      <c r="A321" s="3"/>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row>
    <row r="322" spans="1:34" s="4" customFormat="1" ht="13.8" x14ac:dyDescent="0.25">
      <c r="A322" s="3"/>
      <c r="D322" s="340" t="s">
        <v>2260</v>
      </c>
      <c r="E322" s="340"/>
      <c r="F322" s="340"/>
      <c r="G322" s="340"/>
      <c r="H322" s="340"/>
      <c r="I322" s="340"/>
      <c r="J322" s="340"/>
      <c r="K322" s="340"/>
      <c r="L322" s="340"/>
      <c r="M322" s="340"/>
      <c r="N322" s="340"/>
      <c r="O322" s="340"/>
      <c r="P322" s="340"/>
      <c r="Q322" s="340"/>
      <c r="R322" s="340"/>
      <c r="S322" s="340"/>
      <c r="T322" s="340"/>
      <c r="U322" s="340"/>
      <c r="V322" s="340"/>
      <c r="W322" s="340"/>
      <c r="X322" s="340"/>
      <c r="Y322" s="340"/>
      <c r="Z322" s="340"/>
      <c r="AA322" s="340"/>
      <c r="AB322" s="340"/>
      <c r="AC322" s="340"/>
      <c r="AD322" s="340"/>
      <c r="AE322" s="340"/>
      <c r="AF322" s="340"/>
      <c r="AG322" s="340"/>
      <c r="AH322" s="20"/>
    </row>
    <row r="323" spans="1:34" s="68" customFormat="1" ht="13.8" x14ac:dyDescent="0.25">
      <c r="A323" s="67"/>
      <c r="D323" s="340"/>
      <c r="E323" s="340"/>
      <c r="F323" s="340"/>
      <c r="G323" s="340"/>
      <c r="H323" s="340"/>
      <c r="I323" s="340"/>
      <c r="J323" s="340"/>
      <c r="K323" s="340"/>
      <c r="L323" s="340"/>
      <c r="M323" s="340"/>
      <c r="N323" s="340"/>
      <c r="O323" s="340"/>
      <c r="P323" s="340"/>
      <c r="Q323" s="340"/>
      <c r="R323" s="340"/>
      <c r="S323" s="340"/>
      <c r="T323" s="340"/>
      <c r="U323" s="340"/>
      <c r="V323" s="340"/>
      <c r="W323" s="340"/>
      <c r="X323" s="340"/>
      <c r="Y323" s="340"/>
      <c r="Z323" s="340"/>
      <c r="AA323" s="340"/>
      <c r="AB323" s="340"/>
      <c r="AC323" s="340"/>
      <c r="AD323" s="340"/>
      <c r="AE323" s="340"/>
      <c r="AF323" s="340"/>
      <c r="AG323" s="340"/>
      <c r="AH323" s="70"/>
    </row>
    <row r="324" spans="1:34" s="68" customFormat="1" ht="13.8" x14ac:dyDescent="0.25">
      <c r="A324" s="67"/>
      <c r="D324" s="340"/>
      <c r="E324" s="340"/>
      <c r="F324" s="340"/>
      <c r="G324" s="340"/>
      <c r="H324" s="340"/>
      <c r="I324" s="340"/>
      <c r="J324" s="340"/>
      <c r="K324" s="340"/>
      <c r="L324" s="340"/>
      <c r="M324" s="340"/>
      <c r="N324" s="340"/>
      <c r="O324" s="340"/>
      <c r="P324" s="340"/>
      <c r="Q324" s="340"/>
      <c r="R324" s="340"/>
      <c r="S324" s="340"/>
      <c r="T324" s="340"/>
      <c r="U324" s="340"/>
      <c r="V324" s="340"/>
      <c r="W324" s="340"/>
      <c r="X324" s="340"/>
      <c r="Y324" s="340"/>
      <c r="Z324" s="340"/>
      <c r="AA324" s="340"/>
      <c r="AB324" s="340"/>
      <c r="AC324" s="340"/>
      <c r="AD324" s="340"/>
      <c r="AE324" s="340"/>
      <c r="AF324" s="340"/>
      <c r="AG324" s="340"/>
      <c r="AH324" s="70"/>
    </row>
    <row r="325" spans="1:34" s="4" customFormat="1" ht="13.8" x14ac:dyDescent="0.25">
      <c r="A325" s="3"/>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row>
    <row r="326" spans="1:34" s="4" customFormat="1" ht="13.8" x14ac:dyDescent="0.25">
      <c r="A326" s="3"/>
      <c r="D326" s="41" t="s">
        <v>110</v>
      </c>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row>
    <row r="327" spans="1:34" s="4" customFormat="1" ht="13.8" x14ac:dyDescent="0.25">
      <c r="A327" s="3"/>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row>
    <row r="328" spans="1:34" s="4" customFormat="1" ht="13.8" x14ac:dyDescent="0.25">
      <c r="A328" s="3"/>
      <c r="D328" s="340" t="s">
        <v>1681</v>
      </c>
      <c r="E328" s="340"/>
      <c r="F328" s="340"/>
      <c r="G328" s="340"/>
      <c r="H328" s="340"/>
      <c r="I328" s="340"/>
      <c r="J328" s="340"/>
      <c r="K328" s="340"/>
      <c r="L328" s="340"/>
      <c r="M328" s="340"/>
      <c r="N328" s="340"/>
      <c r="O328" s="340"/>
      <c r="P328" s="340"/>
      <c r="Q328" s="340"/>
      <c r="R328" s="340"/>
      <c r="S328" s="340"/>
      <c r="T328" s="340"/>
      <c r="U328" s="340"/>
      <c r="V328" s="340"/>
      <c r="W328" s="340"/>
      <c r="X328" s="340"/>
      <c r="Y328" s="340"/>
      <c r="Z328" s="340"/>
      <c r="AA328" s="340"/>
      <c r="AB328" s="340"/>
      <c r="AC328" s="340"/>
      <c r="AD328" s="340"/>
      <c r="AE328" s="340"/>
      <c r="AF328" s="340"/>
      <c r="AG328" s="340"/>
      <c r="AH328" s="20"/>
    </row>
    <row r="329" spans="1:34" s="4" customFormat="1" ht="13.8" x14ac:dyDescent="0.25">
      <c r="A329" s="3"/>
      <c r="D329" s="340"/>
      <c r="E329" s="340"/>
      <c r="F329" s="340"/>
      <c r="G329" s="340"/>
      <c r="H329" s="340"/>
      <c r="I329" s="340"/>
      <c r="J329" s="340"/>
      <c r="K329" s="340"/>
      <c r="L329" s="340"/>
      <c r="M329" s="340"/>
      <c r="N329" s="340"/>
      <c r="O329" s="340"/>
      <c r="P329" s="340"/>
      <c r="Q329" s="340"/>
      <c r="R329" s="340"/>
      <c r="S329" s="340"/>
      <c r="T329" s="340"/>
      <c r="U329" s="340"/>
      <c r="V329" s="340"/>
      <c r="W329" s="340"/>
      <c r="X329" s="340"/>
      <c r="Y329" s="340"/>
      <c r="Z329" s="340"/>
      <c r="AA329" s="340"/>
      <c r="AB329" s="340"/>
      <c r="AC329" s="340"/>
      <c r="AD329" s="340"/>
      <c r="AE329" s="340"/>
      <c r="AF329" s="340"/>
      <c r="AG329" s="340"/>
      <c r="AH329" s="20"/>
    </row>
    <row r="330" spans="1:34" s="4" customFormat="1" ht="15.75" customHeight="1" x14ac:dyDescent="0.25">
      <c r="A330" s="3"/>
      <c r="D330" s="340"/>
      <c r="E330" s="340"/>
      <c r="F330" s="340"/>
      <c r="G330" s="340"/>
      <c r="H330" s="340"/>
      <c r="I330" s="340"/>
      <c r="J330" s="340"/>
      <c r="K330" s="340"/>
      <c r="L330" s="340"/>
      <c r="M330" s="340"/>
      <c r="N330" s="340"/>
      <c r="O330" s="340"/>
      <c r="P330" s="340"/>
      <c r="Q330" s="340"/>
      <c r="R330" s="340"/>
      <c r="S330" s="340"/>
      <c r="T330" s="340"/>
      <c r="U330" s="340"/>
      <c r="V330" s="340"/>
      <c r="W330" s="340"/>
      <c r="X330" s="340"/>
      <c r="Y330" s="340"/>
      <c r="Z330" s="340"/>
      <c r="AA330" s="340"/>
      <c r="AB330" s="340"/>
      <c r="AC330" s="340"/>
      <c r="AD330" s="340"/>
      <c r="AE330" s="340"/>
      <c r="AF330" s="340"/>
      <c r="AG330" s="340"/>
      <c r="AH330" s="20"/>
    </row>
    <row r="331" spans="1:34" s="68" customFormat="1" ht="15.75" customHeight="1" x14ac:dyDescent="0.25">
      <c r="A331" s="67"/>
      <c r="D331" s="91"/>
      <c r="E331" s="91"/>
      <c r="F331" s="91"/>
      <c r="G331" s="91"/>
      <c r="H331" s="91"/>
      <c r="I331" s="91"/>
      <c r="J331" s="91"/>
      <c r="K331" s="91"/>
      <c r="L331" s="91"/>
      <c r="M331" s="91"/>
      <c r="N331" s="91"/>
      <c r="O331" s="91"/>
      <c r="P331" s="91"/>
      <c r="Q331" s="91"/>
      <c r="R331" s="91"/>
      <c r="S331" s="91"/>
      <c r="T331" s="91"/>
      <c r="U331" s="91"/>
      <c r="V331" s="91"/>
      <c r="W331" s="91"/>
      <c r="X331" s="91"/>
      <c r="Y331" s="91"/>
      <c r="Z331" s="91"/>
      <c r="AA331" s="91"/>
      <c r="AB331" s="91"/>
      <c r="AC331" s="91"/>
      <c r="AD331" s="91"/>
      <c r="AE331" s="91"/>
      <c r="AF331" s="91"/>
      <c r="AG331" s="91"/>
      <c r="AH331" s="70"/>
    </row>
    <row r="332" spans="1:34" s="68" customFormat="1" ht="15.75" customHeight="1" x14ac:dyDescent="0.25">
      <c r="A332" s="67"/>
      <c r="D332" s="91"/>
      <c r="E332" s="91"/>
      <c r="F332" s="91"/>
      <c r="G332" s="91"/>
      <c r="H332" s="91"/>
      <c r="I332" s="91"/>
      <c r="J332" s="91"/>
      <c r="K332" s="91"/>
      <c r="L332" s="91"/>
      <c r="M332" s="91"/>
      <c r="N332" s="91"/>
      <c r="O332" s="91"/>
      <c r="P332" s="91"/>
      <c r="Q332" s="91"/>
      <c r="R332" s="91"/>
      <c r="S332" s="91"/>
      <c r="T332" s="91"/>
      <c r="U332" s="91"/>
      <c r="V332" s="91"/>
      <c r="W332" s="91"/>
      <c r="X332" s="91"/>
      <c r="Y332" s="91"/>
      <c r="Z332" s="91"/>
      <c r="AA332" s="91"/>
      <c r="AB332" s="91"/>
      <c r="AC332" s="91"/>
      <c r="AD332" s="91"/>
      <c r="AE332" s="91"/>
      <c r="AF332" s="91"/>
      <c r="AG332" s="91"/>
      <c r="AH332" s="70"/>
    </row>
    <row r="333" spans="1:34" s="68" customFormat="1" ht="15.75" customHeight="1" x14ac:dyDescent="0.25">
      <c r="A333" s="67"/>
      <c r="D333" s="91"/>
      <c r="E333" s="91"/>
      <c r="F333" s="91"/>
      <c r="G333" s="91"/>
      <c r="H333" s="91"/>
      <c r="I333" s="91"/>
      <c r="J333" s="91"/>
      <c r="K333" s="91"/>
      <c r="L333" s="91"/>
      <c r="M333" s="91"/>
      <c r="N333" s="91"/>
      <c r="O333" s="91"/>
      <c r="P333" s="91"/>
      <c r="Q333" s="91"/>
      <c r="R333" s="91"/>
      <c r="S333" s="91"/>
      <c r="T333" s="91"/>
      <c r="U333" s="91"/>
      <c r="V333" s="91"/>
      <c r="W333" s="91"/>
      <c r="X333" s="91"/>
      <c r="Y333" s="91"/>
      <c r="Z333" s="91"/>
      <c r="AA333" s="91"/>
      <c r="AB333" s="91"/>
      <c r="AC333" s="91"/>
      <c r="AD333" s="91"/>
      <c r="AE333" s="91"/>
      <c r="AF333" s="91"/>
      <c r="AG333" s="91"/>
      <c r="AH333" s="70"/>
    </row>
    <row r="334" spans="1:34" s="68" customFormat="1" ht="15.75" customHeight="1" x14ac:dyDescent="0.25">
      <c r="A334" s="67"/>
      <c r="D334" s="91"/>
      <c r="E334" s="91"/>
      <c r="F334" s="91"/>
      <c r="G334" s="91"/>
      <c r="H334" s="91"/>
      <c r="I334" s="91"/>
      <c r="J334" s="91"/>
      <c r="K334" s="91"/>
      <c r="L334" s="91"/>
      <c r="M334" s="91"/>
      <c r="N334" s="91"/>
      <c r="O334" s="91"/>
      <c r="P334" s="91"/>
      <c r="Q334" s="91"/>
      <c r="R334" s="91"/>
      <c r="S334" s="91"/>
      <c r="T334" s="91"/>
      <c r="U334" s="91"/>
      <c r="V334" s="91"/>
      <c r="W334" s="91"/>
      <c r="X334" s="91"/>
      <c r="Y334" s="91"/>
      <c r="Z334" s="91"/>
      <c r="AA334" s="91"/>
      <c r="AB334" s="91"/>
      <c r="AC334" s="91"/>
      <c r="AD334" s="91"/>
      <c r="AE334" s="91"/>
      <c r="AF334" s="91"/>
      <c r="AG334" s="91"/>
      <c r="AH334" s="70"/>
    </row>
    <row r="335" spans="1:34" s="68" customFormat="1" ht="15.75" customHeight="1" x14ac:dyDescent="0.25">
      <c r="A335" s="67"/>
      <c r="D335" s="91"/>
      <c r="E335" s="91"/>
      <c r="F335" s="91"/>
      <c r="G335" s="91"/>
      <c r="H335" s="91"/>
      <c r="I335" s="91"/>
      <c r="J335" s="91"/>
      <c r="K335" s="91"/>
      <c r="L335" s="91"/>
      <c r="M335" s="91"/>
      <c r="N335" s="91"/>
      <c r="O335" s="91"/>
      <c r="P335" s="91"/>
      <c r="Q335" s="91"/>
      <c r="R335" s="91"/>
      <c r="S335" s="91"/>
      <c r="T335" s="91"/>
      <c r="U335" s="91"/>
      <c r="V335" s="91"/>
      <c r="W335" s="91"/>
      <c r="X335" s="91"/>
      <c r="Y335" s="91"/>
      <c r="Z335" s="91"/>
      <c r="AA335" s="91"/>
      <c r="AB335" s="91"/>
      <c r="AC335" s="91"/>
      <c r="AD335" s="91"/>
      <c r="AE335" s="91"/>
      <c r="AF335" s="91"/>
      <c r="AG335" s="91"/>
      <c r="AH335" s="70"/>
    </row>
    <row r="336" spans="1:34" s="68" customFormat="1" ht="15.75" customHeight="1" x14ac:dyDescent="0.25">
      <c r="A336" s="67"/>
      <c r="D336" s="91"/>
      <c r="E336" s="91"/>
      <c r="F336" s="91"/>
      <c r="G336" s="91"/>
      <c r="H336" s="91"/>
      <c r="I336" s="91"/>
      <c r="J336" s="91"/>
      <c r="K336" s="91"/>
      <c r="L336" s="91"/>
      <c r="M336" s="91"/>
      <c r="N336" s="91"/>
      <c r="O336" s="91"/>
      <c r="P336" s="91"/>
      <c r="Q336" s="91"/>
      <c r="R336" s="91"/>
      <c r="S336" s="91"/>
      <c r="T336" s="91"/>
      <c r="U336" s="91"/>
      <c r="V336" s="91"/>
      <c r="W336" s="91"/>
      <c r="X336" s="91"/>
      <c r="Y336" s="91"/>
      <c r="Z336" s="91"/>
      <c r="AA336" s="91"/>
      <c r="AB336" s="91"/>
      <c r="AC336" s="91"/>
      <c r="AD336" s="91"/>
      <c r="AE336" s="91"/>
      <c r="AF336" s="91"/>
      <c r="AG336" s="91"/>
      <c r="AH336" s="70"/>
    </row>
    <row r="337" spans="1:34" s="4" customFormat="1" ht="13.8" x14ac:dyDescent="0.25">
      <c r="A337" s="3"/>
      <c r="D337" s="41" t="s">
        <v>111</v>
      </c>
      <c r="E337" s="70"/>
      <c r="F337" s="70"/>
      <c r="G337" s="70"/>
      <c r="H337" s="70"/>
      <c r="I337" s="70"/>
      <c r="J337" s="70"/>
      <c r="K337" s="70"/>
      <c r="L337" s="70"/>
      <c r="M337" s="70"/>
      <c r="N337" s="70"/>
      <c r="O337" s="70"/>
      <c r="P337" s="70"/>
      <c r="Q337" s="70"/>
      <c r="R337" s="70"/>
      <c r="S337" s="70"/>
      <c r="T337" s="70"/>
      <c r="U337" s="70"/>
      <c r="V337" s="70"/>
      <c r="W337" s="70"/>
      <c r="X337" s="70"/>
      <c r="Y337" s="70"/>
      <c r="Z337" s="70"/>
      <c r="AA337" s="70"/>
      <c r="AB337" s="70"/>
      <c r="AC337" s="70"/>
      <c r="AD337" s="70"/>
      <c r="AE337" s="70"/>
      <c r="AF337" s="70"/>
      <c r="AG337" s="70"/>
      <c r="AH337" s="20"/>
    </row>
    <row r="338" spans="1:34" s="4" customFormat="1" ht="13.8" x14ac:dyDescent="0.25">
      <c r="A338" s="3"/>
      <c r="D338" s="70"/>
      <c r="E338" s="70"/>
      <c r="F338" s="70"/>
      <c r="G338" s="70"/>
      <c r="H338" s="70"/>
      <c r="I338" s="70"/>
      <c r="J338" s="70"/>
      <c r="K338" s="70"/>
      <c r="L338" s="70"/>
      <c r="M338" s="70"/>
      <c r="N338" s="70"/>
      <c r="O338" s="70"/>
      <c r="P338" s="70"/>
      <c r="Q338" s="70"/>
      <c r="R338" s="70"/>
      <c r="S338" s="70"/>
      <c r="T338" s="70"/>
      <c r="U338" s="70"/>
      <c r="V338" s="70"/>
      <c r="W338" s="70"/>
      <c r="X338" s="70"/>
      <c r="Y338" s="70"/>
      <c r="Z338" s="70"/>
      <c r="AA338" s="70"/>
      <c r="AB338" s="70"/>
      <c r="AC338" s="70"/>
      <c r="AD338" s="70"/>
      <c r="AE338" s="70"/>
      <c r="AF338" s="70"/>
      <c r="AG338" s="70"/>
      <c r="AH338" s="20"/>
    </row>
    <row r="339" spans="1:34" s="4" customFormat="1" ht="14.4" thickBot="1" x14ac:dyDescent="0.3">
      <c r="A339" s="3"/>
      <c r="D339" s="324" t="s">
        <v>112</v>
      </c>
      <c r="E339" s="324"/>
      <c r="F339" s="324"/>
      <c r="G339" s="324"/>
      <c r="H339" s="324"/>
      <c r="I339" s="324"/>
      <c r="J339" s="324"/>
      <c r="K339" s="324"/>
      <c r="L339" s="324"/>
      <c r="M339" s="324"/>
      <c r="N339" s="324"/>
      <c r="O339" s="324"/>
      <c r="P339" s="324"/>
      <c r="Q339" s="324"/>
      <c r="R339" s="324"/>
      <c r="S339" s="324"/>
      <c r="T339" s="324"/>
      <c r="U339" s="324"/>
      <c r="V339" s="324"/>
      <c r="W339" s="324"/>
      <c r="X339" s="324"/>
      <c r="Y339" s="324"/>
      <c r="Z339" s="324"/>
      <c r="AA339" s="324"/>
      <c r="AB339" s="324"/>
      <c r="AC339" s="324"/>
      <c r="AD339" s="324"/>
      <c r="AE339" s="324"/>
      <c r="AF339" s="324"/>
      <c r="AG339" s="324"/>
      <c r="AH339" s="20"/>
    </row>
    <row r="340" spans="1:34" s="4" customFormat="1" ht="14.4" thickBot="1" x14ac:dyDescent="0.3">
      <c r="A340" s="3"/>
      <c r="D340" s="322" t="s">
        <v>113</v>
      </c>
      <c r="E340" s="322"/>
      <c r="F340" s="322"/>
      <c r="G340" s="322"/>
      <c r="H340" s="322"/>
      <c r="I340" s="322" t="s">
        <v>16</v>
      </c>
      <c r="J340" s="322"/>
      <c r="K340" s="322"/>
      <c r="L340" s="322"/>
      <c r="M340" s="322"/>
      <c r="N340" s="322"/>
      <c r="O340" s="322"/>
      <c r="P340" s="322"/>
      <c r="Q340" s="322"/>
      <c r="R340" s="322"/>
      <c r="S340" s="322"/>
      <c r="T340" s="322"/>
      <c r="U340" s="322"/>
      <c r="V340" s="322"/>
      <c r="W340" s="322"/>
      <c r="X340" s="322"/>
      <c r="Y340" s="322"/>
      <c r="Z340" s="322"/>
      <c r="AA340" s="322"/>
      <c r="AB340" s="322"/>
      <c r="AC340" s="322"/>
      <c r="AD340" s="322"/>
      <c r="AE340" s="322"/>
      <c r="AF340" s="322"/>
      <c r="AG340" s="322"/>
      <c r="AH340" s="20"/>
    </row>
    <row r="341" spans="1:34" s="4" customFormat="1" ht="40.200000000000003" customHeight="1" thickBot="1" x14ac:dyDescent="0.3">
      <c r="A341" s="3"/>
      <c r="D341" s="322"/>
      <c r="E341" s="322"/>
      <c r="F341" s="322"/>
      <c r="G341" s="322"/>
      <c r="H341" s="322"/>
      <c r="I341" s="278" t="s">
        <v>114</v>
      </c>
      <c r="J341" s="278"/>
      <c r="K341" s="278"/>
      <c r="L341" s="278"/>
      <c r="M341" s="278"/>
      <c r="N341" s="278" t="s">
        <v>115</v>
      </c>
      <c r="O341" s="278"/>
      <c r="P341" s="278"/>
      <c r="Q341" s="278"/>
      <c r="R341" s="278"/>
      <c r="S341" s="278" t="s">
        <v>116</v>
      </c>
      <c r="T341" s="278"/>
      <c r="U341" s="278"/>
      <c r="V341" s="278"/>
      <c r="W341" s="278"/>
      <c r="X341" s="278" t="s">
        <v>117</v>
      </c>
      <c r="Y341" s="278"/>
      <c r="Z341" s="278"/>
      <c r="AA341" s="278"/>
      <c r="AB341" s="278"/>
      <c r="AC341" s="278" t="s">
        <v>118</v>
      </c>
      <c r="AD341" s="278"/>
      <c r="AE341" s="278"/>
      <c r="AF341" s="278"/>
      <c r="AG341" s="278"/>
      <c r="AH341" s="20"/>
    </row>
    <row r="342" spans="1:34" s="4" customFormat="1" ht="28.2" customHeight="1" thickBot="1" x14ac:dyDescent="0.3">
      <c r="A342" s="3">
        <v>12</v>
      </c>
      <c r="D342" s="341" t="s">
        <v>119</v>
      </c>
      <c r="E342" s="341"/>
      <c r="F342" s="341"/>
      <c r="G342" s="341"/>
      <c r="H342" s="341"/>
      <c r="I342" s="344"/>
      <c r="J342" s="345"/>
      <c r="K342" s="345"/>
      <c r="L342" s="345"/>
      <c r="M342" s="345"/>
      <c r="N342" s="345"/>
      <c r="O342" s="345"/>
      <c r="P342" s="345"/>
      <c r="Q342" s="345"/>
      <c r="R342" s="345"/>
      <c r="S342" s="345"/>
      <c r="T342" s="345"/>
      <c r="U342" s="345"/>
      <c r="V342" s="345"/>
      <c r="W342" s="345"/>
      <c r="X342" s="345"/>
      <c r="Y342" s="345"/>
      <c r="Z342" s="345"/>
      <c r="AA342" s="345"/>
      <c r="AB342" s="345"/>
      <c r="AC342" s="345">
        <f t="shared" ref="AC342:AC345" si="12">I342+N342-S342-X342</f>
        <v>0</v>
      </c>
      <c r="AD342" s="345"/>
      <c r="AE342" s="345"/>
      <c r="AF342" s="345"/>
      <c r="AG342" s="346"/>
      <c r="AH342" s="20"/>
    </row>
    <row r="343" spans="1:34" s="4" customFormat="1" ht="28.2" customHeight="1" thickBot="1" x14ac:dyDescent="0.3">
      <c r="A343" s="3"/>
      <c r="D343" s="341" t="s">
        <v>120</v>
      </c>
      <c r="E343" s="341"/>
      <c r="F343" s="341"/>
      <c r="G343" s="341"/>
      <c r="H343" s="341"/>
      <c r="I343" s="342"/>
      <c r="J343" s="221"/>
      <c r="K343" s="221"/>
      <c r="L343" s="221"/>
      <c r="M343" s="221"/>
      <c r="N343" s="221"/>
      <c r="O343" s="221"/>
      <c r="P343" s="221"/>
      <c r="Q343" s="221"/>
      <c r="R343" s="221"/>
      <c r="S343" s="221"/>
      <c r="T343" s="221"/>
      <c r="U343" s="221"/>
      <c r="V343" s="221"/>
      <c r="W343" s="221"/>
      <c r="X343" s="221"/>
      <c r="Y343" s="221"/>
      <c r="Z343" s="221"/>
      <c r="AA343" s="221"/>
      <c r="AB343" s="221"/>
      <c r="AC343" s="221">
        <f t="shared" si="12"/>
        <v>0</v>
      </c>
      <c r="AD343" s="221"/>
      <c r="AE343" s="221"/>
      <c r="AF343" s="221"/>
      <c r="AG343" s="343"/>
      <c r="AH343" s="20"/>
    </row>
    <row r="344" spans="1:34" s="4" customFormat="1" ht="28.5" customHeight="1" thickBot="1" x14ac:dyDescent="0.3">
      <c r="A344" s="3"/>
      <c r="D344" s="341" t="s">
        <v>121</v>
      </c>
      <c r="E344" s="341"/>
      <c r="F344" s="341"/>
      <c r="G344" s="341"/>
      <c r="H344" s="341"/>
      <c r="I344" s="342"/>
      <c r="J344" s="221"/>
      <c r="K344" s="221"/>
      <c r="L344" s="221"/>
      <c r="M344" s="221"/>
      <c r="N344" s="221"/>
      <c r="O344" s="221"/>
      <c r="P344" s="221"/>
      <c r="Q344" s="221"/>
      <c r="R344" s="221"/>
      <c r="S344" s="221"/>
      <c r="T344" s="221"/>
      <c r="U344" s="221"/>
      <c r="V344" s="221"/>
      <c r="W344" s="221"/>
      <c r="X344" s="221"/>
      <c r="Y344" s="221"/>
      <c r="Z344" s="221"/>
      <c r="AA344" s="221"/>
      <c r="AB344" s="221"/>
      <c r="AC344" s="221">
        <f t="shared" si="12"/>
        <v>0</v>
      </c>
      <c r="AD344" s="221"/>
      <c r="AE344" s="221"/>
      <c r="AF344" s="221"/>
      <c r="AG344" s="343"/>
      <c r="AH344" s="20"/>
    </row>
    <row r="345" spans="1:34" s="4" customFormat="1" ht="34.5" customHeight="1" thickBot="1" x14ac:dyDescent="0.3">
      <c r="A345" s="3"/>
      <c r="D345" s="341" t="s">
        <v>122</v>
      </c>
      <c r="E345" s="341"/>
      <c r="F345" s="341"/>
      <c r="G345" s="341"/>
      <c r="H345" s="341"/>
      <c r="I345" s="342"/>
      <c r="J345" s="221"/>
      <c r="K345" s="221"/>
      <c r="L345" s="221"/>
      <c r="M345" s="221"/>
      <c r="N345" s="221"/>
      <c r="O345" s="221"/>
      <c r="P345" s="221"/>
      <c r="Q345" s="221"/>
      <c r="R345" s="221"/>
      <c r="S345" s="221"/>
      <c r="T345" s="221"/>
      <c r="U345" s="221"/>
      <c r="V345" s="221"/>
      <c r="W345" s="221"/>
      <c r="X345" s="221"/>
      <c r="Y345" s="221"/>
      <c r="Z345" s="221"/>
      <c r="AA345" s="221"/>
      <c r="AB345" s="221"/>
      <c r="AC345" s="221">
        <f t="shared" si="12"/>
        <v>0</v>
      </c>
      <c r="AD345" s="221"/>
      <c r="AE345" s="221"/>
      <c r="AF345" s="221"/>
      <c r="AG345" s="343"/>
      <c r="AH345" s="20"/>
    </row>
    <row r="346" spans="1:34" s="4" customFormat="1" ht="28.5" customHeight="1" thickBot="1" x14ac:dyDescent="0.3">
      <c r="A346" s="3"/>
      <c r="D346" s="341" t="s">
        <v>123</v>
      </c>
      <c r="E346" s="341"/>
      <c r="F346" s="341"/>
      <c r="G346" s="341"/>
      <c r="H346" s="341"/>
      <c r="I346" s="342">
        <f>AC358</f>
        <v>270839</v>
      </c>
      <c r="J346" s="221"/>
      <c r="K346" s="221"/>
      <c r="L346" s="221"/>
      <c r="M346" s="221"/>
      <c r="N346" s="221">
        <f>VLOOKUP(196999,'Účtovná osnova'!$A$1:$I$1068,9,FALSE)</f>
        <v>572404</v>
      </c>
      <c r="O346" s="221"/>
      <c r="P346" s="221"/>
      <c r="Q346" s="221"/>
      <c r="R346" s="221"/>
      <c r="S346" s="221"/>
      <c r="T346" s="221"/>
      <c r="U346" s="221"/>
      <c r="V346" s="221"/>
      <c r="W346" s="221"/>
      <c r="X346" s="221">
        <f>VLOOKUP(196999,'Účtovná osnova'!$A$1:$I$1068,8,FALSE)</f>
        <v>379493.94</v>
      </c>
      <c r="Y346" s="221"/>
      <c r="Z346" s="221"/>
      <c r="AA346" s="221"/>
      <c r="AB346" s="221"/>
      <c r="AC346" s="221">
        <f>ROUNDUP(I346+N346-S346-X346,0)</f>
        <v>463750</v>
      </c>
      <c r="AD346" s="221"/>
      <c r="AE346" s="221"/>
      <c r="AF346" s="221"/>
      <c r="AG346" s="343"/>
      <c r="AH346" s="20"/>
    </row>
    <row r="347" spans="1:34" s="4" customFormat="1" ht="28.5" customHeight="1" thickBot="1" x14ac:dyDescent="0.3">
      <c r="A347" s="3"/>
      <c r="D347" s="341" t="s">
        <v>124</v>
      </c>
      <c r="E347" s="341"/>
      <c r="F347" s="341"/>
      <c r="G347" s="341"/>
      <c r="H347" s="341"/>
      <c r="I347" s="342"/>
      <c r="J347" s="221"/>
      <c r="K347" s="221"/>
      <c r="L347" s="221"/>
      <c r="M347" s="221"/>
      <c r="N347" s="221"/>
      <c r="O347" s="221"/>
      <c r="P347" s="221"/>
      <c r="Q347" s="221"/>
      <c r="R347" s="221"/>
      <c r="S347" s="221"/>
      <c r="T347" s="221"/>
      <c r="U347" s="221"/>
      <c r="V347" s="221"/>
      <c r="W347" s="221"/>
      <c r="X347" s="221"/>
      <c r="Y347" s="221"/>
      <c r="Z347" s="221"/>
      <c r="AA347" s="221"/>
      <c r="AB347" s="221"/>
      <c r="AC347" s="221">
        <f t="shared" ref="AC347:AC348" si="13">I347+N347-S347-X347</f>
        <v>0</v>
      </c>
      <c r="AD347" s="221"/>
      <c r="AE347" s="221"/>
      <c r="AF347" s="221"/>
      <c r="AG347" s="343"/>
      <c r="AH347" s="20"/>
    </row>
    <row r="348" spans="1:34" s="4" customFormat="1" ht="28.5" customHeight="1" thickBot="1" x14ac:dyDescent="0.3">
      <c r="A348" s="3"/>
      <c r="D348" s="341" t="s">
        <v>125</v>
      </c>
      <c r="E348" s="341"/>
      <c r="F348" s="341"/>
      <c r="G348" s="341"/>
      <c r="H348" s="341"/>
      <c r="I348" s="342"/>
      <c r="J348" s="221"/>
      <c r="K348" s="221"/>
      <c r="L348" s="221"/>
      <c r="M348" s="221"/>
      <c r="N348" s="221"/>
      <c r="O348" s="221"/>
      <c r="P348" s="221"/>
      <c r="Q348" s="221"/>
      <c r="R348" s="221"/>
      <c r="S348" s="221"/>
      <c r="T348" s="221"/>
      <c r="U348" s="221"/>
      <c r="V348" s="221"/>
      <c r="W348" s="221"/>
      <c r="X348" s="221"/>
      <c r="Y348" s="221"/>
      <c r="Z348" s="221"/>
      <c r="AA348" s="221"/>
      <c r="AB348" s="221"/>
      <c r="AC348" s="221">
        <f t="shared" si="13"/>
        <v>0</v>
      </c>
      <c r="AD348" s="221"/>
      <c r="AE348" s="221"/>
      <c r="AF348" s="221"/>
      <c r="AG348" s="343"/>
      <c r="AH348" s="20"/>
    </row>
    <row r="349" spans="1:34" s="4" customFormat="1" ht="28.5" customHeight="1" thickBot="1" x14ac:dyDescent="0.3">
      <c r="A349" s="3"/>
      <c r="D349" s="347" t="s">
        <v>126</v>
      </c>
      <c r="E349" s="347"/>
      <c r="F349" s="347"/>
      <c r="G349" s="347"/>
      <c r="H349" s="347"/>
      <c r="I349" s="348">
        <f>SUM(I342:M348)</f>
        <v>270839</v>
      </c>
      <c r="J349" s="349"/>
      <c r="K349" s="349"/>
      <c r="L349" s="349"/>
      <c r="M349" s="349"/>
      <c r="N349" s="349">
        <f>SUM(N342:R348)</f>
        <v>572404</v>
      </c>
      <c r="O349" s="349"/>
      <c r="P349" s="349"/>
      <c r="Q349" s="349"/>
      <c r="R349" s="349"/>
      <c r="S349" s="349">
        <f>SUM(S342:W348)</f>
        <v>0</v>
      </c>
      <c r="T349" s="349"/>
      <c r="U349" s="349"/>
      <c r="V349" s="349"/>
      <c r="W349" s="349"/>
      <c r="X349" s="349">
        <f>SUM(X342:AB348)</f>
        <v>379493.94</v>
      </c>
      <c r="Y349" s="349"/>
      <c r="Z349" s="349"/>
      <c r="AA349" s="349"/>
      <c r="AB349" s="349"/>
      <c r="AC349" s="349">
        <f>SUM(AC342:AG348)</f>
        <v>463750</v>
      </c>
      <c r="AD349" s="349"/>
      <c r="AE349" s="349"/>
      <c r="AF349" s="349"/>
      <c r="AG349" s="350"/>
      <c r="AH349" s="20"/>
    </row>
    <row r="350" spans="1:34" s="68" customFormat="1" ht="28.5" customHeight="1" x14ac:dyDescent="0.25">
      <c r="A350" s="67"/>
      <c r="D350" s="66"/>
      <c r="E350" s="66"/>
      <c r="F350" s="66"/>
      <c r="G350" s="66"/>
      <c r="H350" s="66"/>
      <c r="I350" s="73"/>
      <c r="J350" s="73"/>
      <c r="K350" s="73"/>
      <c r="L350" s="73"/>
      <c r="M350" s="73"/>
      <c r="N350" s="73"/>
      <c r="O350" s="73"/>
      <c r="P350" s="73"/>
      <c r="Q350" s="73"/>
      <c r="R350" s="73"/>
      <c r="S350" s="73"/>
      <c r="T350" s="73"/>
      <c r="U350" s="73"/>
      <c r="V350" s="73"/>
      <c r="W350" s="73"/>
      <c r="X350" s="73"/>
      <c r="Y350" s="73"/>
      <c r="Z350" s="73"/>
      <c r="AA350" s="73"/>
      <c r="AB350" s="73"/>
      <c r="AC350" s="73"/>
      <c r="AD350" s="73"/>
      <c r="AE350" s="73"/>
      <c r="AF350" s="73"/>
      <c r="AG350" s="73"/>
      <c r="AH350" s="70"/>
    </row>
    <row r="351" spans="1:34" s="68" customFormat="1" ht="28.5" customHeight="1" thickBot="1" x14ac:dyDescent="0.3">
      <c r="A351" s="67"/>
      <c r="D351" s="324" t="s">
        <v>112</v>
      </c>
      <c r="E351" s="324"/>
      <c r="F351" s="324"/>
      <c r="G351" s="324"/>
      <c r="H351" s="324"/>
      <c r="I351" s="324"/>
      <c r="J351" s="324"/>
      <c r="K351" s="324"/>
      <c r="L351" s="324"/>
      <c r="M351" s="324"/>
      <c r="N351" s="324"/>
      <c r="O351" s="324"/>
      <c r="P351" s="324"/>
      <c r="Q351" s="324"/>
      <c r="R351" s="324"/>
      <c r="S351" s="324"/>
      <c r="T351" s="324"/>
      <c r="U351" s="324"/>
      <c r="V351" s="324"/>
      <c r="W351" s="324"/>
      <c r="X351" s="324"/>
      <c r="Y351" s="324"/>
      <c r="Z351" s="324"/>
      <c r="AA351" s="324"/>
      <c r="AB351" s="324"/>
      <c r="AC351" s="324"/>
      <c r="AD351" s="324"/>
      <c r="AE351" s="324"/>
      <c r="AF351" s="324"/>
      <c r="AG351" s="324"/>
      <c r="AH351" s="70"/>
    </row>
    <row r="352" spans="1:34" s="68" customFormat="1" ht="14.4" thickBot="1" x14ac:dyDescent="0.3">
      <c r="A352" s="67"/>
      <c r="D352" s="322" t="s">
        <v>113</v>
      </c>
      <c r="E352" s="322"/>
      <c r="F352" s="322"/>
      <c r="G352" s="322"/>
      <c r="H352" s="322"/>
      <c r="I352" s="322" t="s">
        <v>472</v>
      </c>
      <c r="J352" s="322"/>
      <c r="K352" s="322"/>
      <c r="L352" s="322"/>
      <c r="M352" s="322"/>
      <c r="N352" s="322"/>
      <c r="O352" s="322"/>
      <c r="P352" s="322"/>
      <c r="Q352" s="322"/>
      <c r="R352" s="322"/>
      <c r="S352" s="322"/>
      <c r="T352" s="322"/>
      <c r="U352" s="322"/>
      <c r="V352" s="322"/>
      <c r="W352" s="322"/>
      <c r="X352" s="322"/>
      <c r="Y352" s="322"/>
      <c r="Z352" s="322"/>
      <c r="AA352" s="322"/>
      <c r="AB352" s="322"/>
      <c r="AC352" s="322"/>
      <c r="AD352" s="322"/>
      <c r="AE352" s="322"/>
      <c r="AF352" s="322"/>
      <c r="AG352" s="322"/>
      <c r="AH352" s="70"/>
    </row>
    <row r="353" spans="1:34" s="68" customFormat="1" ht="40.200000000000003" customHeight="1" thickBot="1" x14ac:dyDescent="0.3">
      <c r="A353" s="67"/>
      <c r="D353" s="322"/>
      <c r="E353" s="322"/>
      <c r="F353" s="322"/>
      <c r="G353" s="322"/>
      <c r="H353" s="322"/>
      <c r="I353" s="278" t="s">
        <v>114</v>
      </c>
      <c r="J353" s="278"/>
      <c r="K353" s="278"/>
      <c r="L353" s="278"/>
      <c r="M353" s="278"/>
      <c r="N353" s="278" t="s">
        <v>115</v>
      </c>
      <c r="O353" s="278"/>
      <c r="P353" s="278"/>
      <c r="Q353" s="278"/>
      <c r="R353" s="278"/>
      <c r="S353" s="278" t="s">
        <v>116</v>
      </c>
      <c r="T353" s="278"/>
      <c r="U353" s="278"/>
      <c r="V353" s="278"/>
      <c r="W353" s="278"/>
      <c r="X353" s="278" t="s">
        <v>117</v>
      </c>
      <c r="Y353" s="278"/>
      <c r="Z353" s="278"/>
      <c r="AA353" s="278"/>
      <c r="AB353" s="278"/>
      <c r="AC353" s="278" t="s">
        <v>118</v>
      </c>
      <c r="AD353" s="278"/>
      <c r="AE353" s="278"/>
      <c r="AF353" s="278"/>
      <c r="AG353" s="278"/>
      <c r="AH353" s="70"/>
    </row>
    <row r="354" spans="1:34" s="68" customFormat="1" ht="28.5" customHeight="1" thickBot="1" x14ac:dyDescent="0.3">
      <c r="A354" s="67"/>
      <c r="D354" s="341" t="s">
        <v>119</v>
      </c>
      <c r="E354" s="341"/>
      <c r="F354" s="341"/>
      <c r="G354" s="341"/>
      <c r="H354" s="341"/>
      <c r="I354" s="344"/>
      <c r="J354" s="345"/>
      <c r="K354" s="345"/>
      <c r="L354" s="345"/>
      <c r="M354" s="345"/>
      <c r="N354" s="345"/>
      <c r="O354" s="345"/>
      <c r="P354" s="345"/>
      <c r="Q354" s="345"/>
      <c r="R354" s="345"/>
      <c r="S354" s="345"/>
      <c r="T354" s="345"/>
      <c r="U354" s="345"/>
      <c r="V354" s="345"/>
      <c r="W354" s="345"/>
      <c r="X354" s="345"/>
      <c r="Y354" s="345"/>
      <c r="Z354" s="345"/>
      <c r="AA354" s="345"/>
      <c r="AB354" s="345"/>
      <c r="AC354" s="345">
        <f t="shared" ref="AC354:AC357" si="14">I354+N354-S354-X354</f>
        <v>0</v>
      </c>
      <c r="AD354" s="345"/>
      <c r="AE354" s="345"/>
      <c r="AF354" s="345"/>
      <c r="AG354" s="346"/>
      <c r="AH354" s="70"/>
    </row>
    <row r="355" spans="1:34" s="68" customFormat="1" ht="28.5" customHeight="1" thickBot="1" x14ac:dyDescent="0.3">
      <c r="A355" s="67"/>
      <c r="D355" s="341" t="s">
        <v>120</v>
      </c>
      <c r="E355" s="341"/>
      <c r="F355" s="341"/>
      <c r="G355" s="341"/>
      <c r="H355" s="341"/>
      <c r="I355" s="342"/>
      <c r="J355" s="221"/>
      <c r="K355" s="221"/>
      <c r="L355" s="221"/>
      <c r="M355" s="221"/>
      <c r="N355" s="221"/>
      <c r="O355" s="221"/>
      <c r="P355" s="221"/>
      <c r="Q355" s="221"/>
      <c r="R355" s="221"/>
      <c r="S355" s="221"/>
      <c r="T355" s="221"/>
      <c r="U355" s="221"/>
      <c r="V355" s="221"/>
      <c r="W355" s="221"/>
      <c r="X355" s="221"/>
      <c r="Y355" s="221"/>
      <c r="Z355" s="221"/>
      <c r="AA355" s="221"/>
      <c r="AB355" s="221"/>
      <c r="AC355" s="221">
        <f t="shared" si="14"/>
        <v>0</v>
      </c>
      <c r="AD355" s="221"/>
      <c r="AE355" s="221"/>
      <c r="AF355" s="221"/>
      <c r="AG355" s="343"/>
      <c r="AH355" s="70"/>
    </row>
    <row r="356" spans="1:34" s="68" customFormat="1" ht="28.5" customHeight="1" thickBot="1" x14ac:dyDescent="0.3">
      <c r="A356" s="67"/>
      <c r="D356" s="341" t="s">
        <v>121</v>
      </c>
      <c r="E356" s="341"/>
      <c r="F356" s="341"/>
      <c r="G356" s="341"/>
      <c r="H356" s="341"/>
      <c r="I356" s="342"/>
      <c r="J356" s="221"/>
      <c r="K356" s="221"/>
      <c r="L356" s="221"/>
      <c r="M356" s="221"/>
      <c r="N356" s="221"/>
      <c r="O356" s="221"/>
      <c r="P356" s="221"/>
      <c r="Q356" s="221"/>
      <c r="R356" s="221"/>
      <c r="S356" s="221"/>
      <c r="T356" s="221"/>
      <c r="U356" s="221"/>
      <c r="V356" s="221"/>
      <c r="W356" s="221"/>
      <c r="X356" s="221"/>
      <c r="Y356" s="221"/>
      <c r="Z356" s="221"/>
      <c r="AA356" s="221"/>
      <c r="AB356" s="221"/>
      <c r="AC356" s="221">
        <f t="shared" si="14"/>
        <v>0</v>
      </c>
      <c r="AD356" s="221"/>
      <c r="AE356" s="221"/>
      <c r="AF356" s="221"/>
      <c r="AG356" s="343"/>
      <c r="AH356" s="70"/>
    </row>
    <row r="357" spans="1:34" s="68" customFormat="1" ht="28.5" customHeight="1" thickBot="1" x14ac:dyDescent="0.3">
      <c r="A357" s="67"/>
      <c r="D357" s="341" t="s">
        <v>122</v>
      </c>
      <c r="E357" s="341"/>
      <c r="F357" s="341"/>
      <c r="G357" s="341"/>
      <c r="H357" s="341"/>
      <c r="I357" s="342"/>
      <c r="J357" s="221"/>
      <c r="K357" s="221"/>
      <c r="L357" s="221"/>
      <c r="M357" s="221"/>
      <c r="N357" s="221"/>
      <c r="O357" s="221"/>
      <c r="P357" s="221"/>
      <c r="Q357" s="221"/>
      <c r="R357" s="221"/>
      <c r="S357" s="221"/>
      <c r="T357" s="221"/>
      <c r="U357" s="221"/>
      <c r="V357" s="221"/>
      <c r="W357" s="221"/>
      <c r="X357" s="221"/>
      <c r="Y357" s="221"/>
      <c r="Z357" s="221"/>
      <c r="AA357" s="221"/>
      <c r="AB357" s="221"/>
      <c r="AC357" s="221">
        <f t="shared" si="14"/>
        <v>0</v>
      </c>
      <c r="AD357" s="221"/>
      <c r="AE357" s="221"/>
      <c r="AF357" s="221"/>
      <c r="AG357" s="343"/>
      <c r="AH357" s="70"/>
    </row>
    <row r="358" spans="1:34" s="68" customFormat="1" ht="28.5" customHeight="1" thickBot="1" x14ac:dyDescent="0.3">
      <c r="A358" s="67"/>
      <c r="D358" s="341" t="s">
        <v>123</v>
      </c>
      <c r="E358" s="341"/>
      <c r="F358" s="341"/>
      <c r="G358" s="341"/>
      <c r="H358" s="341"/>
      <c r="I358" s="522">
        <v>105144</v>
      </c>
      <c r="J358" s="434"/>
      <c r="K358" s="434"/>
      <c r="L358" s="434"/>
      <c r="M358" s="434"/>
      <c r="N358" s="434">
        <v>165695</v>
      </c>
      <c r="O358" s="434"/>
      <c r="P358" s="434"/>
      <c r="Q358" s="434"/>
      <c r="R358" s="434"/>
      <c r="S358" s="221"/>
      <c r="T358" s="221"/>
      <c r="U358" s="221"/>
      <c r="V358" s="221"/>
      <c r="W358" s="221"/>
      <c r="X358" s="221"/>
      <c r="Y358" s="221"/>
      <c r="Z358" s="221"/>
      <c r="AA358" s="221"/>
      <c r="AB358" s="221"/>
      <c r="AC358" s="221">
        <f>I358+N358-S358-X358</f>
        <v>270839</v>
      </c>
      <c r="AD358" s="221"/>
      <c r="AE358" s="221"/>
      <c r="AF358" s="221"/>
      <c r="AG358" s="343"/>
      <c r="AH358" s="70"/>
    </row>
    <row r="359" spans="1:34" s="68" customFormat="1" ht="28.5" customHeight="1" thickBot="1" x14ac:dyDescent="0.3">
      <c r="A359" s="67"/>
      <c r="D359" s="341" t="s">
        <v>124</v>
      </c>
      <c r="E359" s="341"/>
      <c r="F359" s="341"/>
      <c r="G359" s="341"/>
      <c r="H359" s="341"/>
      <c r="I359" s="342"/>
      <c r="J359" s="221"/>
      <c r="K359" s="221"/>
      <c r="L359" s="221"/>
      <c r="M359" s="221"/>
      <c r="N359" s="221"/>
      <c r="O359" s="221"/>
      <c r="P359" s="221"/>
      <c r="Q359" s="221"/>
      <c r="R359" s="221"/>
      <c r="S359" s="221"/>
      <c r="T359" s="221"/>
      <c r="U359" s="221"/>
      <c r="V359" s="221"/>
      <c r="W359" s="221"/>
      <c r="X359" s="221"/>
      <c r="Y359" s="221"/>
      <c r="Z359" s="221"/>
      <c r="AA359" s="221"/>
      <c r="AB359" s="221"/>
      <c r="AC359" s="221">
        <f t="shared" ref="AC359:AC360" si="15">I359+N359-S359-X359</f>
        <v>0</v>
      </c>
      <c r="AD359" s="221"/>
      <c r="AE359" s="221"/>
      <c r="AF359" s="221"/>
      <c r="AG359" s="343"/>
      <c r="AH359" s="70"/>
    </row>
    <row r="360" spans="1:34" s="68" customFormat="1" ht="28.5" customHeight="1" thickBot="1" x14ac:dyDescent="0.3">
      <c r="A360" s="67"/>
      <c r="D360" s="341" t="s">
        <v>125</v>
      </c>
      <c r="E360" s="341"/>
      <c r="F360" s="341"/>
      <c r="G360" s="341"/>
      <c r="H360" s="341"/>
      <c r="I360" s="342"/>
      <c r="J360" s="221"/>
      <c r="K360" s="221"/>
      <c r="L360" s="221"/>
      <c r="M360" s="221"/>
      <c r="N360" s="221"/>
      <c r="O360" s="221"/>
      <c r="P360" s="221"/>
      <c r="Q360" s="221"/>
      <c r="R360" s="221"/>
      <c r="S360" s="221"/>
      <c r="T360" s="221"/>
      <c r="U360" s="221"/>
      <c r="V360" s="221"/>
      <c r="W360" s="221"/>
      <c r="X360" s="221"/>
      <c r="Y360" s="221"/>
      <c r="Z360" s="221"/>
      <c r="AA360" s="221"/>
      <c r="AB360" s="221"/>
      <c r="AC360" s="221">
        <f t="shared" si="15"/>
        <v>0</v>
      </c>
      <c r="AD360" s="221"/>
      <c r="AE360" s="221"/>
      <c r="AF360" s="221"/>
      <c r="AG360" s="343"/>
      <c r="AH360" s="70"/>
    </row>
    <row r="361" spans="1:34" s="68" customFormat="1" ht="28.5" customHeight="1" thickBot="1" x14ac:dyDescent="0.3">
      <c r="A361" s="67"/>
      <c r="D361" s="347" t="s">
        <v>126</v>
      </c>
      <c r="E361" s="347"/>
      <c r="F361" s="347"/>
      <c r="G361" s="347"/>
      <c r="H361" s="347"/>
      <c r="I361" s="348">
        <f>SUM(I354:M360)</f>
        <v>105144</v>
      </c>
      <c r="J361" s="349"/>
      <c r="K361" s="349"/>
      <c r="L361" s="349"/>
      <c r="M361" s="349"/>
      <c r="N361" s="349">
        <f>SUM(N354:R360)</f>
        <v>165695</v>
      </c>
      <c r="O361" s="349"/>
      <c r="P361" s="349"/>
      <c r="Q361" s="349"/>
      <c r="R361" s="349"/>
      <c r="S361" s="349">
        <f>SUM(S354:W360)</f>
        <v>0</v>
      </c>
      <c r="T361" s="349"/>
      <c r="U361" s="349"/>
      <c r="V361" s="349"/>
      <c r="W361" s="349"/>
      <c r="X361" s="349">
        <f>SUM(X354:AB360)</f>
        <v>0</v>
      </c>
      <c r="Y361" s="349"/>
      <c r="Z361" s="349"/>
      <c r="AA361" s="349"/>
      <c r="AB361" s="349"/>
      <c r="AC361" s="349">
        <f>SUM(AC354:AG360)</f>
        <v>270839</v>
      </c>
      <c r="AD361" s="349"/>
      <c r="AE361" s="349"/>
      <c r="AF361" s="349"/>
      <c r="AG361" s="350"/>
      <c r="AH361" s="70"/>
    </row>
    <row r="362" spans="1:34" s="70" customFormat="1" ht="14.25" customHeight="1" x14ac:dyDescent="0.25">
      <c r="A362" s="60"/>
    </row>
    <row r="363" spans="1:34" s="70" customFormat="1" ht="63" customHeight="1" x14ac:dyDescent="0.25">
      <c r="A363" s="60"/>
      <c r="D363" s="281" t="s">
        <v>127</v>
      </c>
      <c r="E363" s="281"/>
      <c r="F363" s="281"/>
      <c r="G363" s="281"/>
      <c r="H363" s="281"/>
      <c r="I363" s="281"/>
      <c r="J363" s="281"/>
      <c r="K363" s="281"/>
      <c r="L363" s="281"/>
      <c r="M363" s="281"/>
      <c r="N363" s="281"/>
      <c r="O363" s="281"/>
      <c r="P363" s="281"/>
      <c r="Q363" s="281"/>
      <c r="R363" s="281"/>
      <c r="S363" s="281"/>
      <c r="T363" s="281"/>
      <c r="U363" s="281"/>
      <c r="V363" s="281"/>
      <c r="W363" s="281"/>
      <c r="X363" s="281"/>
      <c r="Y363" s="281"/>
      <c r="Z363" s="281"/>
      <c r="AA363" s="281"/>
      <c r="AB363" s="281"/>
      <c r="AC363" s="281"/>
      <c r="AD363" s="281"/>
      <c r="AE363" s="281"/>
      <c r="AF363" s="281"/>
      <c r="AG363" s="281"/>
    </row>
    <row r="364" spans="1:34" s="4" customFormat="1" ht="13.8" x14ac:dyDescent="0.25">
      <c r="A364" s="3"/>
      <c r="D364" s="41" t="s">
        <v>382</v>
      </c>
      <c r="E364" s="70"/>
      <c r="F364" s="70"/>
      <c r="G364" s="70"/>
      <c r="H364" s="70"/>
      <c r="I364" s="70"/>
      <c r="J364" s="70"/>
      <c r="K364" s="70"/>
      <c r="L364" s="70"/>
      <c r="M364" s="70"/>
      <c r="N364" s="70"/>
      <c r="O364" s="70"/>
      <c r="P364" s="70"/>
      <c r="Q364" s="70"/>
      <c r="R364" s="70"/>
      <c r="S364" s="70"/>
      <c r="T364" s="70"/>
      <c r="U364" s="70"/>
      <c r="V364" s="70"/>
      <c r="W364" s="70"/>
      <c r="X364" s="70"/>
      <c r="Y364" s="70"/>
      <c r="Z364" s="70"/>
      <c r="AA364" s="70"/>
      <c r="AB364" s="70"/>
      <c r="AC364" s="70"/>
      <c r="AD364" s="70"/>
      <c r="AE364" s="70"/>
      <c r="AF364" s="70"/>
      <c r="AG364" s="70"/>
      <c r="AH364" s="20"/>
    </row>
    <row r="365" spans="1:34" s="4" customFormat="1" ht="13.8" x14ac:dyDescent="0.25">
      <c r="A365" s="3"/>
      <c r="D365" s="70"/>
      <c r="E365" s="70"/>
      <c r="F365" s="70"/>
      <c r="G365" s="70"/>
      <c r="H365" s="70"/>
      <c r="I365" s="70"/>
      <c r="J365" s="70"/>
      <c r="K365" s="70"/>
      <c r="L365" s="70"/>
      <c r="M365" s="70"/>
      <c r="N365" s="70"/>
      <c r="O365" s="70"/>
      <c r="P365" s="70"/>
      <c r="Q365" s="70"/>
      <c r="R365" s="70"/>
      <c r="S365" s="70"/>
      <c r="T365" s="70"/>
      <c r="U365" s="70"/>
      <c r="V365" s="70"/>
      <c r="W365" s="70"/>
      <c r="X365" s="70"/>
      <c r="Y365" s="70"/>
      <c r="Z365" s="70"/>
      <c r="AA365" s="70"/>
      <c r="AB365" s="70"/>
      <c r="AC365" s="70"/>
      <c r="AD365" s="70"/>
      <c r="AE365" s="70"/>
      <c r="AF365" s="70"/>
      <c r="AG365" s="70"/>
      <c r="AH365" s="20"/>
    </row>
    <row r="366" spans="1:34" s="4" customFormat="1" ht="13.8" x14ac:dyDescent="0.25">
      <c r="A366" s="3"/>
      <c r="D366" s="355" t="s">
        <v>128</v>
      </c>
      <c r="E366" s="355"/>
      <c r="F366" s="355"/>
      <c r="G366" s="355"/>
      <c r="H366" s="355"/>
      <c r="I366" s="355"/>
      <c r="J366" s="355"/>
      <c r="K366" s="355"/>
      <c r="L366" s="355"/>
      <c r="M366" s="355"/>
      <c r="N366" s="355"/>
      <c r="O366" s="355"/>
      <c r="P366" s="355"/>
      <c r="Q366" s="355"/>
      <c r="R366" s="355"/>
      <c r="S366" s="355"/>
      <c r="T366" s="355"/>
      <c r="U366" s="355"/>
      <c r="V366" s="355"/>
      <c r="W366" s="355"/>
      <c r="X366" s="355"/>
      <c r="Y366" s="355"/>
      <c r="Z366" s="355"/>
      <c r="AA366" s="355"/>
      <c r="AB366" s="355"/>
      <c r="AC366" s="355"/>
      <c r="AD366" s="355"/>
      <c r="AE366" s="355"/>
      <c r="AF366" s="355"/>
      <c r="AG366" s="355"/>
      <c r="AH366" s="20"/>
    </row>
    <row r="367" spans="1:34" s="4" customFormat="1" ht="14.4" thickBot="1" x14ac:dyDescent="0.3">
      <c r="A367" s="3"/>
      <c r="D367" s="70"/>
      <c r="E367" s="70"/>
      <c r="F367" s="70"/>
      <c r="G367" s="70"/>
      <c r="H367" s="70"/>
      <c r="I367" s="70"/>
      <c r="J367" s="70"/>
      <c r="K367" s="70"/>
      <c r="L367" s="70"/>
      <c r="M367" s="70"/>
      <c r="N367" s="70"/>
      <c r="O367" s="70"/>
      <c r="P367" s="70"/>
      <c r="Q367" s="70"/>
      <c r="R367" s="70"/>
      <c r="S367" s="70"/>
      <c r="T367" s="70"/>
      <c r="U367" s="70"/>
      <c r="V367" s="70"/>
      <c r="W367" s="70"/>
      <c r="X367" s="70"/>
      <c r="Y367" s="70"/>
      <c r="Z367" s="70"/>
      <c r="AA367" s="70"/>
      <c r="AB367" s="70"/>
      <c r="AC367" s="70"/>
      <c r="AD367" s="70"/>
      <c r="AE367" s="70"/>
      <c r="AF367" s="70"/>
      <c r="AG367" s="70"/>
      <c r="AH367" s="20"/>
    </row>
    <row r="368" spans="1:34" s="4" customFormat="1" ht="14.4" thickBot="1" x14ac:dyDescent="0.3">
      <c r="A368" s="3"/>
      <c r="D368" s="322" t="s">
        <v>129</v>
      </c>
      <c r="E368" s="322"/>
      <c r="F368" s="322"/>
      <c r="G368" s="322"/>
      <c r="H368" s="322"/>
      <c r="I368" s="322" t="s">
        <v>16</v>
      </c>
      <c r="J368" s="322"/>
      <c r="K368" s="322"/>
      <c r="L368" s="322"/>
      <c r="M368" s="322"/>
      <c r="N368" s="322"/>
      <c r="O368" s="322"/>
      <c r="P368" s="322"/>
      <c r="Q368" s="322"/>
      <c r="R368" s="322"/>
      <c r="S368" s="322"/>
      <c r="T368" s="322"/>
      <c r="U368" s="322"/>
      <c r="V368" s="322"/>
      <c r="W368" s="322"/>
      <c r="X368" s="322"/>
      <c r="Y368" s="322"/>
      <c r="Z368" s="322"/>
      <c r="AA368" s="322"/>
      <c r="AB368" s="322"/>
      <c r="AC368" s="322"/>
      <c r="AD368" s="322"/>
      <c r="AE368" s="322"/>
      <c r="AF368" s="322"/>
      <c r="AG368" s="322"/>
      <c r="AH368" s="20"/>
    </row>
    <row r="369" spans="1:34" s="4" customFormat="1" ht="45.75" customHeight="1" thickBot="1" x14ac:dyDescent="0.3">
      <c r="A369" s="3"/>
      <c r="D369" s="322"/>
      <c r="E369" s="322"/>
      <c r="F369" s="322"/>
      <c r="G369" s="322"/>
      <c r="H369" s="322"/>
      <c r="I369" s="278" t="s">
        <v>114</v>
      </c>
      <c r="J369" s="278"/>
      <c r="K369" s="278"/>
      <c r="L369" s="278"/>
      <c r="M369" s="278"/>
      <c r="N369" s="278" t="s">
        <v>115</v>
      </c>
      <c r="O369" s="278"/>
      <c r="P369" s="278"/>
      <c r="Q369" s="278"/>
      <c r="R369" s="278"/>
      <c r="S369" s="278" t="s">
        <v>116</v>
      </c>
      <c r="T369" s="278"/>
      <c r="U369" s="278"/>
      <c r="V369" s="278"/>
      <c r="W369" s="278"/>
      <c r="X369" s="278" t="s">
        <v>117</v>
      </c>
      <c r="Y369" s="278"/>
      <c r="Z369" s="278"/>
      <c r="AA369" s="278"/>
      <c r="AB369" s="278"/>
      <c r="AC369" s="278" t="s">
        <v>118</v>
      </c>
      <c r="AD369" s="278"/>
      <c r="AE369" s="278"/>
      <c r="AF369" s="278"/>
      <c r="AG369" s="278"/>
      <c r="AH369" s="20"/>
    </row>
    <row r="370" spans="1:34" s="4" customFormat="1" ht="30" customHeight="1" x14ac:dyDescent="0.25">
      <c r="A370" s="3"/>
      <c r="D370" s="351" t="s">
        <v>130</v>
      </c>
      <c r="E370" s="352"/>
      <c r="F370" s="352"/>
      <c r="G370" s="352"/>
      <c r="H370" s="353"/>
      <c r="I370" s="271">
        <v>60821</v>
      </c>
      <c r="J370" s="272"/>
      <c r="K370" s="272"/>
      <c r="L370" s="272"/>
      <c r="M370" s="354"/>
      <c r="N370" s="345">
        <f>VLOOKUP(391100,'Účtovná osnova'!$A$1:$I$1068,8,FALSE)</f>
        <v>0</v>
      </c>
      <c r="O370" s="345"/>
      <c r="P370" s="345"/>
      <c r="Q370" s="345"/>
      <c r="R370" s="345"/>
      <c r="S370" s="345"/>
      <c r="T370" s="345"/>
      <c r="U370" s="345"/>
      <c r="V370" s="345"/>
      <c r="W370" s="345"/>
      <c r="X370" s="345">
        <f>VLOOKUP(391100,'Účtovná osnova'!$A$1:$I$1068,9,FALSE)</f>
        <v>0</v>
      </c>
      <c r="Y370" s="345"/>
      <c r="Z370" s="345"/>
      <c r="AA370" s="345"/>
      <c r="AB370" s="345"/>
      <c r="AC370" s="221">
        <f>I370+N370-S370-X370</f>
        <v>60821</v>
      </c>
      <c r="AD370" s="221"/>
      <c r="AE370" s="221"/>
      <c r="AF370" s="221"/>
      <c r="AG370" s="343"/>
      <c r="AH370" s="20"/>
    </row>
    <row r="371" spans="1:34" s="4" customFormat="1" ht="30" customHeight="1" x14ac:dyDescent="0.25">
      <c r="A371" s="3">
        <v>15</v>
      </c>
      <c r="D371" s="214" t="s">
        <v>131</v>
      </c>
      <c r="E371" s="215"/>
      <c r="F371" s="215"/>
      <c r="G371" s="215"/>
      <c r="H371" s="216"/>
      <c r="I371" s="211">
        <v>0</v>
      </c>
      <c r="J371" s="212"/>
      <c r="K371" s="212"/>
      <c r="L371" s="212"/>
      <c r="M371" s="231"/>
      <c r="N371" s="221"/>
      <c r="O371" s="221"/>
      <c r="P371" s="221"/>
      <c r="Q371" s="221"/>
      <c r="R371" s="221"/>
      <c r="S371" s="221"/>
      <c r="T371" s="221"/>
      <c r="U371" s="221"/>
      <c r="V371" s="221"/>
      <c r="W371" s="221"/>
      <c r="X371" s="221"/>
      <c r="Y371" s="221"/>
      <c r="Z371" s="221"/>
      <c r="AA371" s="221"/>
      <c r="AB371" s="221"/>
      <c r="AC371" s="221">
        <f t="shared" ref="AC371:AC374" si="16">I371+N371-S371-X371</f>
        <v>0</v>
      </c>
      <c r="AD371" s="221"/>
      <c r="AE371" s="221"/>
      <c r="AF371" s="221"/>
      <c r="AG371" s="343"/>
      <c r="AH371" s="20"/>
    </row>
    <row r="372" spans="1:34" s="4" customFormat="1" ht="30" customHeight="1" x14ac:dyDescent="0.25">
      <c r="A372" s="3"/>
      <c r="D372" s="214" t="s">
        <v>132</v>
      </c>
      <c r="E372" s="215"/>
      <c r="F372" s="215"/>
      <c r="G372" s="215"/>
      <c r="H372" s="216"/>
      <c r="I372" s="211">
        <v>0</v>
      </c>
      <c r="J372" s="212"/>
      <c r="K372" s="212"/>
      <c r="L372" s="212"/>
      <c r="M372" s="231"/>
      <c r="N372" s="221"/>
      <c r="O372" s="221"/>
      <c r="P372" s="221"/>
      <c r="Q372" s="221"/>
      <c r="R372" s="221"/>
      <c r="S372" s="221"/>
      <c r="T372" s="221"/>
      <c r="U372" s="221"/>
      <c r="V372" s="221"/>
      <c r="W372" s="221"/>
      <c r="X372" s="221"/>
      <c r="Y372" s="221"/>
      <c r="Z372" s="221"/>
      <c r="AA372" s="221"/>
      <c r="AB372" s="221"/>
      <c r="AC372" s="221">
        <f t="shared" si="16"/>
        <v>0</v>
      </c>
      <c r="AD372" s="221"/>
      <c r="AE372" s="221"/>
      <c r="AF372" s="221"/>
      <c r="AG372" s="343"/>
      <c r="AH372" s="20"/>
    </row>
    <row r="373" spans="1:34" s="4" customFormat="1" ht="30" customHeight="1" x14ac:dyDescent="0.25">
      <c r="A373" s="3"/>
      <c r="D373" s="214" t="s">
        <v>133</v>
      </c>
      <c r="E373" s="215"/>
      <c r="F373" s="215"/>
      <c r="G373" s="215"/>
      <c r="H373" s="216"/>
      <c r="I373" s="211">
        <v>0</v>
      </c>
      <c r="J373" s="212"/>
      <c r="K373" s="212"/>
      <c r="L373" s="212"/>
      <c r="M373" s="231"/>
      <c r="N373" s="221"/>
      <c r="O373" s="221"/>
      <c r="P373" s="221"/>
      <c r="Q373" s="221"/>
      <c r="R373" s="221"/>
      <c r="S373" s="221"/>
      <c r="T373" s="221"/>
      <c r="U373" s="221"/>
      <c r="V373" s="221"/>
      <c r="W373" s="221"/>
      <c r="X373" s="221"/>
      <c r="Y373" s="221"/>
      <c r="Z373" s="221"/>
      <c r="AA373" s="221"/>
      <c r="AB373" s="221"/>
      <c r="AC373" s="221">
        <f t="shared" si="16"/>
        <v>0</v>
      </c>
      <c r="AD373" s="221"/>
      <c r="AE373" s="221"/>
      <c r="AF373" s="221"/>
      <c r="AG373" s="343"/>
      <c r="AH373" s="20"/>
    </row>
    <row r="374" spans="1:34" s="4" customFormat="1" ht="30" customHeight="1" x14ac:dyDescent="0.25">
      <c r="A374" s="3"/>
      <c r="D374" s="214" t="s">
        <v>134</v>
      </c>
      <c r="E374" s="215"/>
      <c r="F374" s="215"/>
      <c r="G374" s="215"/>
      <c r="H374" s="216"/>
      <c r="I374" s="211">
        <v>0</v>
      </c>
      <c r="J374" s="212"/>
      <c r="K374" s="212"/>
      <c r="L374" s="212"/>
      <c r="M374" s="231"/>
      <c r="N374" s="221"/>
      <c r="O374" s="221"/>
      <c r="P374" s="221"/>
      <c r="Q374" s="221"/>
      <c r="R374" s="221"/>
      <c r="S374" s="221"/>
      <c r="T374" s="221"/>
      <c r="U374" s="221"/>
      <c r="V374" s="221"/>
      <c r="W374" s="221"/>
      <c r="X374" s="221"/>
      <c r="Y374" s="221"/>
      <c r="Z374" s="221"/>
      <c r="AA374" s="221"/>
      <c r="AB374" s="221"/>
      <c r="AC374" s="221">
        <f t="shared" si="16"/>
        <v>0</v>
      </c>
      <c r="AD374" s="221"/>
      <c r="AE374" s="221"/>
      <c r="AF374" s="221"/>
      <c r="AG374" s="343"/>
      <c r="AH374" s="20"/>
    </row>
    <row r="375" spans="1:34" s="4" customFormat="1" ht="30" customHeight="1" thickBot="1" x14ac:dyDescent="0.3">
      <c r="A375" s="3"/>
      <c r="D375" s="282" t="s">
        <v>473</v>
      </c>
      <c r="E375" s="282"/>
      <c r="F375" s="282"/>
      <c r="G375" s="282"/>
      <c r="H375" s="282"/>
      <c r="I375" s="349">
        <f>SUM(I370:M374)</f>
        <v>60821</v>
      </c>
      <c r="J375" s="349"/>
      <c r="K375" s="349"/>
      <c r="L375" s="349"/>
      <c r="M375" s="349"/>
      <c r="N375" s="349">
        <f>SUM(N370:R374)</f>
        <v>0</v>
      </c>
      <c r="O375" s="349"/>
      <c r="P375" s="349"/>
      <c r="Q375" s="349"/>
      <c r="R375" s="349"/>
      <c r="S375" s="349">
        <f>SUM(S370:W374)</f>
        <v>0</v>
      </c>
      <c r="T375" s="349"/>
      <c r="U375" s="349"/>
      <c r="V375" s="349"/>
      <c r="W375" s="349"/>
      <c r="X375" s="349">
        <f>SUM(X370:AB374)</f>
        <v>0</v>
      </c>
      <c r="Y375" s="349"/>
      <c r="Z375" s="349"/>
      <c r="AA375" s="349"/>
      <c r="AB375" s="349"/>
      <c r="AC375" s="349">
        <f>SUM(AC370:AG374)</f>
        <v>60821</v>
      </c>
      <c r="AD375" s="349"/>
      <c r="AE375" s="349"/>
      <c r="AF375" s="349"/>
      <c r="AG375" s="350"/>
      <c r="AH375" s="20"/>
    </row>
    <row r="376" spans="1:34" s="70" customFormat="1" ht="16.5" customHeight="1" x14ac:dyDescent="0.25">
      <c r="A376" s="60"/>
    </row>
    <row r="377" spans="1:34" s="70" customFormat="1" ht="19.5" customHeight="1" x14ac:dyDescent="0.25">
      <c r="A377" s="60"/>
      <c r="D377" s="357" t="s">
        <v>674</v>
      </c>
      <c r="E377" s="357"/>
      <c r="F377" s="357"/>
      <c r="G377" s="357"/>
      <c r="H377" s="357"/>
      <c r="I377" s="357"/>
      <c r="J377" s="357"/>
      <c r="K377" s="357"/>
      <c r="L377" s="357"/>
      <c r="M377" s="357"/>
      <c r="N377" s="357"/>
      <c r="O377" s="357"/>
      <c r="P377" s="357"/>
      <c r="Q377" s="357"/>
      <c r="R377" s="357"/>
      <c r="S377" s="357"/>
      <c r="T377" s="357"/>
      <c r="U377" s="357"/>
      <c r="V377" s="357"/>
      <c r="W377" s="357"/>
      <c r="X377" s="357"/>
      <c r="Y377" s="357"/>
      <c r="Z377" s="357"/>
      <c r="AA377" s="357"/>
      <c r="AB377" s="357"/>
      <c r="AC377" s="357"/>
      <c r="AD377" s="357"/>
      <c r="AE377" s="357"/>
      <c r="AF377" s="357"/>
      <c r="AG377" s="357"/>
    </row>
    <row r="378" spans="1:34" s="70" customFormat="1" ht="27.75" customHeight="1" x14ac:dyDescent="0.25">
      <c r="A378" s="60"/>
      <c r="D378" s="79" t="s">
        <v>136</v>
      </c>
      <c r="E378" s="79"/>
      <c r="F378" s="79"/>
      <c r="G378" s="78"/>
      <c r="H378" s="78"/>
      <c r="I378" s="78"/>
      <c r="J378" s="78"/>
      <c r="K378" s="356">
        <v>0</v>
      </c>
      <c r="L378" s="356"/>
      <c r="M378" s="78"/>
      <c r="N378" s="78"/>
      <c r="O378" s="78"/>
      <c r="P378" s="78"/>
      <c r="Q378" s="78"/>
      <c r="R378" s="78"/>
      <c r="S378" s="78"/>
      <c r="T378" s="78"/>
      <c r="U378" s="78"/>
      <c r="V378" s="78"/>
      <c r="W378" s="78"/>
      <c r="X378" s="78"/>
      <c r="Y378" s="78"/>
      <c r="Z378" s="78"/>
      <c r="AA378" s="78"/>
      <c r="AB378" s="78"/>
      <c r="AC378" s="78"/>
      <c r="AD378" s="78"/>
      <c r="AE378" s="78"/>
      <c r="AF378" s="78"/>
      <c r="AG378" s="78"/>
    </row>
    <row r="379" spans="1:34" s="70" customFormat="1" ht="27.75" customHeight="1" x14ac:dyDescent="0.25">
      <c r="A379" s="60"/>
      <c r="D379" s="79" t="s">
        <v>137</v>
      </c>
      <c r="E379" s="78"/>
      <c r="F379" s="78"/>
      <c r="G379" s="78"/>
      <c r="H379" s="78"/>
      <c r="I379" s="78"/>
      <c r="J379" s="78"/>
      <c r="K379" s="356">
        <v>0</v>
      </c>
      <c r="L379" s="356"/>
      <c r="M379" s="78"/>
      <c r="N379" s="78"/>
      <c r="O379" s="78"/>
      <c r="P379" s="78"/>
      <c r="Q379" s="78"/>
      <c r="R379" s="78"/>
      <c r="S379" s="78"/>
      <c r="T379" s="78"/>
      <c r="U379" s="78"/>
      <c r="V379" s="78"/>
      <c r="W379" s="78"/>
      <c r="X379" s="78"/>
      <c r="Y379" s="78"/>
      <c r="Z379" s="78"/>
      <c r="AA379" s="78"/>
      <c r="AB379" s="78"/>
      <c r="AC379" s="78"/>
      <c r="AD379" s="78"/>
      <c r="AE379" s="78"/>
      <c r="AF379" s="78"/>
      <c r="AG379" s="78"/>
    </row>
    <row r="380" spans="1:34" s="70" customFormat="1" ht="27.75" customHeight="1" x14ac:dyDescent="0.25">
      <c r="A380" s="60"/>
      <c r="D380" s="79" t="s">
        <v>138</v>
      </c>
      <c r="E380" s="78"/>
      <c r="F380" s="78"/>
      <c r="G380" s="78"/>
      <c r="H380" s="78"/>
      <c r="I380" s="78"/>
      <c r="J380" s="78"/>
      <c r="K380" s="356">
        <v>0.05</v>
      </c>
      <c r="L380" s="356"/>
      <c r="M380" s="78"/>
      <c r="N380" s="78"/>
      <c r="O380" s="78"/>
      <c r="P380" s="78"/>
      <c r="Q380" s="78"/>
      <c r="R380" s="78"/>
      <c r="S380" s="78"/>
      <c r="T380" s="78"/>
      <c r="U380" s="78"/>
      <c r="V380" s="78"/>
      <c r="W380" s="78"/>
      <c r="X380" s="78"/>
      <c r="Y380" s="78"/>
      <c r="Z380" s="78"/>
      <c r="AA380" s="78"/>
      <c r="AB380" s="78"/>
      <c r="AC380" s="78"/>
      <c r="AD380" s="78"/>
      <c r="AE380" s="78"/>
      <c r="AF380" s="78"/>
      <c r="AG380" s="78"/>
    </row>
    <row r="381" spans="1:34" s="70" customFormat="1" ht="27.75" customHeight="1" x14ac:dyDescent="0.25">
      <c r="A381" s="60"/>
      <c r="D381" s="79" t="s">
        <v>139</v>
      </c>
      <c r="E381" s="78"/>
      <c r="F381" s="78"/>
      <c r="G381" s="78"/>
      <c r="H381" s="78"/>
      <c r="I381" s="78"/>
      <c r="J381" s="78"/>
      <c r="K381" s="356">
        <v>0.1</v>
      </c>
      <c r="L381" s="356"/>
      <c r="M381" s="78"/>
      <c r="N381" s="78"/>
      <c r="O381" s="78"/>
      <c r="P381" s="78"/>
      <c r="Q381" s="78"/>
      <c r="R381" s="78"/>
      <c r="S381" s="78"/>
      <c r="T381" s="78"/>
      <c r="U381" s="78"/>
      <c r="V381" s="78"/>
      <c r="W381" s="78"/>
      <c r="X381" s="78"/>
      <c r="Y381" s="78"/>
      <c r="Z381" s="78"/>
      <c r="AA381" s="78"/>
      <c r="AB381" s="78"/>
      <c r="AC381" s="78"/>
      <c r="AD381" s="78"/>
      <c r="AE381" s="78"/>
      <c r="AF381" s="78"/>
      <c r="AG381" s="78"/>
    </row>
    <row r="382" spans="1:34" s="70" customFormat="1" ht="27.75" customHeight="1" x14ac:dyDescent="0.25">
      <c r="A382" s="60"/>
      <c r="D382" s="79" t="s">
        <v>140</v>
      </c>
      <c r="E382" s="78"/>
      <c r="F382" s="78"/>
      <c r="G382" s="78"/>
      <c r="H382" s="78"/>
      <c r="I382" s="78"/>
      <c r="J382" s="78"/>
      <c r="K382" s="356">
        <v>0.2</v>
      </c>
      <c r="L382" s="356"/>
      <c r="M382" s="78"/>
      <c r="N382" s="78"/>
      <c r="O382" s="78"/>
      <c r="P382" s="78"/>
      <c r="Q382" s="78"/>
      <c r="R382" s="78"/>
      <c r="S382" s="78"/>
      <c r="T382" s="78"/>
      <c r="U382" s="78"/>
      <c r="V382" s="78"/>
      <c r="W382" s="78"/>
      <c r="X382" s="78"/>
      <c r="Y382" s="78"/>
      <c r="Z382" s="78"/>
      <c r="AA382" s="78"/>
      <c r="AB382" s="78"/>
      <c r="AC382" s="78"/>
      <c r="AD382" s="78"/>
      <c r="AE382" s="78"/>
      <c r="AF382" s="78"/>
      <c r="AG382" s="78"/>
    </row>
    <row r="383" spans="1:34" s="70" customFormat="1" ht="27.75" customHeight="1" x14ac:dyDescent="0.25">
      <c r="A383" s="60"/>
      <c r="D383" s="79" t="s">
        <v>141</v>
      </c>
      <c r="E383" s="78"/>
      <c r="F383" s="78"/>
      <c r="G383" s="78"/>
      <c r="H383" s="78"/>
      <c r="I383" s="78"/>
      <c r="J383" s="78"/>
      <c r="K383" s="356">
        <v>0.5</v>
      </c>
      <c r="L383" s="356"/>
      <c r="M383" s="78"/>
      <c r="N383" s="78"/>
      <c r="O383" s="78"/>
      <c r="P383" s="78"/>
      <c r="Q383" s="78"/>
      <c r="R383" s="78"/>
      <c r="S383" s="78"/>
      <c r="T383" s="78"/>
      <c r="U383" s="78"/>
      <c r="V383" s="78"/>
      <c r="W383" s="78"/>
      <c r="X383" s="78"/>
      <c r="Y383" s="78"/>
      <c r="Z383" s="78"/>
      <c r="AA383" s="78"/>
      <c r="AB383" s="78"/>
      <c r="AC383" s="78"/>
      <c r="AD383" s="78"/>
      <c r="AE383" s="78"/>
      <c r="AF383" s="78"/>
      <c r="AG383" s="78"/>
    </row>
    <row r="384" spans="1:34" s="70" customFormat="1" ht="27.75" customHeight="1" x14ac:dyDescent="0.25">
      <c r="A384" s="60"/>
      <c r="D384" s="79" t="s">
        <v>142</v>
      </c>
      <c r="E384" s="78"/>
      <c r="F384" s="78"/>
      <c r="G384" s="78"/>
      <c r="H384" s="78"/>
      <c r="I384" s="78"/>
      <c r="J384" s="78"/>
      <c r="K384" s="356">
        <v>1</v>
      </c>
      <c r="L384" s="356"/>
      <c r="M384" s="78"/>
      <c r="N384" s="78"/>
      <c r="O384" s="78"/>
      <c r="P384" s="78"/>
      <c r="Q384" s="78"/>
      <c r="R384" s="78"/>
      <c r="S384" s="78"/>
      <c r="T384" s="78"/>
      <c r="U384" s="78"/>
      <c r="V384" s="78"/>
      <c r="W384" s="78"/>
      <c r="X384" s="78"/>
      <c r="Y384" s="78"/>
      <c r="Z384" s="78"/>
      <c r="AA384" s="78"/>
      <c r="AB384" s="78"/>
      <c r="AC384" s="78"/>
      <c r="AD384" s="78"/>
      <c r="AE384" s="78"/>
      <c r="AF384" s="78"/>
      <c r="AG384" s="78"/>
    </row>
    <row r="385" spans="1:34" s="70" customFormat="1" ht="13.8" x14ac:dyDescent="0.25">
      <c r="A385" s="6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row>
    <row r="386" spans="1:34" s="70" customFormat="1" ht="13.8" x14ac:dyDescent="0.25">
      <c r="A386" s="60"/>
      <c r="D386" s="340" t="s">
        <v>143</v>
      </c>
      <c r="E386" s="340"/>
      <c r="F386" s="340"/>
      <c r="G386" s="340"/>
      <c r="H386" s="340"/>
      <c r="I386" s="340"/>
      <c r="J386" s="340"/>
      <c r="K386" s="340"/>
      <c r="L386" s="340"/>
      <c r="M386" s="340"/>
      <c r="N386" s="340"/>
      <c r="O386" s="340"/>
      <c r="P386" s="340"/>
      <c r="Q386" s="340"/>
      <c r="R386" s="340"/>
      <c r="S386" s="340"/>
      <c r="T386" s="340"/>
      <c r="U386" s="340"/>
      <c r="V386" s="340"/>
      <c r="W386" s="340"/>
      <c r="X386" s="340"/>
      <c r="Y386" s="340"/>
      <c r="Z386" s="340"/>
      <c r="AA386" s="340"/>
      <c r="AB386" s="340"/>
      <c r="AC386" s="340"/>
      <c r="AD386" s="340"/>
      <c r="AE386" s="340"/>
      <c r="AF386" s="340"/>
      <c r="AG386" s="340"/>
    </row>
    <row r="387" spans="1:34" s="70" customFormat="1" ht="13.8" x14ac:dyDescent="0.25">
      <c r="A387" s="60"/>
      <c r="D387" s="340"/>
      <c r="E387" s="340"/>
      <c r="F387" s="340"/>
      <c r="G387" s="340"/>
      <c r="H387" s="340"/>
      <c r="I387" s="340"/>
      <c r="J387" s="340"/>
      <c r="K387" s="340"/>
      <c r="L387" s="340"/>
      <c r="M387" s="340"/>
      <c r="N387" s="340"/>
      <c r="O387" s="340"/>
      <c r="P387" s="340"/>
      <c r="Q387" s="340"/>
      <c r="R387" s="340"/>
      <c r="S387" s="340"/>
      <c r="T387" s="340"/>
      <c r="U387" s="340"/>
      <c r="V387" s="340"/>
      <c r="W387" s="340"/>
      <c r="X387" s="340"/>
      <c r="Y387" s="340"/>
      <c r="Z387" s="340"/>
      <c r="AA387" s="340"/>
      <c r="AB387" s="340"/>
      <c r="AC387" s="340"/>
      <c r="AD387" s="340"/>
      <c r="AE387" s="340"/>
      <c r="AF387" s="340"/>
      <c r="AG387" s="340"/>
    </row>
    <row r="388" spans="1:34" s="4" customFormat="1" ht="13.8" x14ac:dyDescent="0.25">
      <c r="A388" s="3"/>
      <c r="D388" s="81"/>
      <c r="E388" s="81"/>
      <c r="F388" s="81"/>
      <c r="G388" s="81"/>
      <c r="H388" s="81"/>
      <c r="I388" s="81"/>
      <c r="J388" s="81"/>
      <c r="K388" s="81"/>
      <c r="L388" s="81"/>
      <c r="M388" s="81"/>
      <c r="N388" s="81"/>
      <c r="O388" s="81"/>
      <c r="P388" s="81"/>
      <c r="Q388" s="81"/>
      <c r="R388" s="81"/>
      <c r="S388" s="81"/>
      <c r="T388" s="81"/>
      <c r="U388" s="81"/>
      <c r="V388" s="81"/>
      <c r="W388" s="81"/>
      <c r="X388" s="81"/>
      <c r="Y388" s="81"/>
      <c r="Z388" s="81"/>
      <c r="AA388" s="81"/>
      <c r="AB388" s="81"/>
      <c r="AC388" s="81"/>
      <c r="AD388" s="81"/>
      <c r="AE388" s="81"/>
      <c r="AF388" s="81"/>
      <c r="AG388" s="81"/>
      <c r="AH388" s="20"/>
    </row>
    <row r="389" spans="1:34" s="4" customFormat="1" ht="13.95" customHeight="1" x14ac:dyDescent="0.25">
      <c r="A389" s="3"/>
      <c r="D389" s="358" t="s">
        <v>1683</v>
      </c>
      <c r="E389" s="358"/>
      <c r="F389" s="358"/>
      <c r="G389" s="358"/>
      <c r="H389" s="358"/>
      <c r="I389" s="358"/>
      <c r="J389" s="358"/>
      <c r="K389" s="358"/>
      <c r="L389" s="358"/>
      <c r="M389" s="358"/>
      <c r="N389" s="358"/>
      <c r="O389" s="358"/>
      <c r="P389" s="359">
        <f>VLOOKUP(311130,'Účtovná osnova'!$A$1:$I$1068,6,FALSE)+VLOOKUP(311230,'Účtovná osnova'!$A$1:$I$1068,6,FALSE)</f>
        <v>122077.17</v>
      </c>
      <c r="Q389" s="359"/>
      <c r="R389" s="359"/>
      <c r="S389" s="79" t="s">
        <v>1682</v>
      </c>
      <c r="U389" s="79"/>
      <c r="V389" s="79"/>
      <c r="W389" s="79"/>
      <c r="X389" s="79"/>
      <c r="Y389" s="79"/>
      <c r="Z389" s="79"/>
      <c r="AA389" s="79"/>
      <c r="AB389" s="79"/>
      <c r="AC389" s="79"/>
      <c r="AD389" s="79"/>
      <c r="AE389" s="79"/>
      <c r="AF389" s="79"/>
      <c r="AG389" s="79"/>
      <c r="AH389" s="20"/>
    </row>
    <row r="390" spans="1:34" s="70" customFormat="1" ht="13.8" x14ac:dyDescent="0.25">
      <c r="A390" s="60"/>
      <c r="D390" s="78"/>
      <c r="E390" s="78"/>
      <c r="F390" s="78"/>
      <c r="G390" s="78"/>
      <c r="H390" s="78"/>
      <c r="I390" s="78"/>
      <c r="J390" s="78"/>
      <c r="K390" s="78"/>
      <c r="L390" s="78"/>
      <c r="M390" s="78"/>
      <c r="N390" s="78"/>
      <c r="O390" s="78"/>
      <c r="P390" s="78"/>
      <c r="Q390" s="78"/>
      <c r="R390" s="78"/>
      <c r="S390" s="78"/>
      <c r="T390" s="78"/>
      <c r="U390" s="78"/>
      <c r="V390" s="78"/>
      <c r="W390" s="78"/>
      <c r="X390" s="78"/>
      <c r="Y390" s="78"/>
      <c r="Z390" s="78"/>
      <c r="AA390" s="78"/>
      <c r="AB390" s="78"/>
      <c r="AC390" s="78"/>
      <c r="AD390" s="78"/>
      <c r="AE390" s="78"/>
      <c r="AF390" s="78"/>
      <c r="AG390" s="78"/>
    </row>
    <row r="391" spans="1:34" s="4" customFormat="1" ht="13.8" x14ac:dyDescent="0.25">
      <c r="A391" s="3"/>
      <c r="D391" s="324" t="s">
        <v>144</v>
      </c>
      <c r="E391" s="324"/>
      <c r="F391" s="324"/>
      <c r="G391" s="324"/>
      <c r="H391" s="324"/>
      <c r="I391" s="324"/>
      <c r="J391" s="324"/>
      <c r="K391" s="324"/>
      <c r="L391" s="324"/>
      <c r="M391" s="324"/>
      <c r="N391" s="324"/>
      <c r="O391" s="324"/>
      <c r="P391" s="324"/>
      <c r="Q391" s="324"/>
      <c r="R391" s="324"/>
      <c r="S391" s="324"/>
      <c r="T391" s="324"/>
      <c r="U391" s="324"/>
      <c r="V391" s="324"/>
      <c r="W391" s="324"/>
      <c r="X391" s="324"/>
      <c r="Y391" s="324"/>
      <c r="Z391" s="324"/>
      <c r="AA391" s="324"/>
      <c r="AB391" s="324"/>
      <c r="AC391" s="324"/>
      <c r="AD391" s="324"/>
      <c r="AE391" s="324"/>
      <c r="AF391" s="324"/>
      <c r="AG391" s="324"/>
      <c r="AH391" s="20"/>
    </row>
    <row r="392" spans="1:34" s="4" customFormat="1" ht="14.4" thickBot="1" x14ac:dyDescent="0.3">
      <c r="A392" s="3"/>
      <c r="D392" s="70"/>
      <c r="E392" s="70"/>
      <c r="F392" s="70"/>
      <c r="G392" s="70"/>
      <c r="H392" s="70"/>
      <c r="I392" s="70"/>
      <c r="J392" s="70"/>
      <c r="K392" s="70"/>
      <c r="L392" s="70"/>
      <c r="M392" s="70"/>
      <c r="N392" s="70"/>
      <c r="O392" s="70"/>
      <c r="P392" s="70"/>
      <c r="Q392" s="70"/>
      <c r="R392" s="70"/>
      <c r="S392" s="70"/>
      <c r="T392" s="70"/>
      <c r="U392" s="70"/>
      <c r="V392" s="70"/>
      <c r="W392" s="70"/>
      <c r="X392" s="70"/>
      <c r="Y392" s="70"/>
      <c r="Z392" s="70"/>
      <c r="AA392" s="70"/>
      <c r="AB392" s="70"/>
      <c r="AC392" s="70"/>
      <c r="AD392" s="70"/>
      <c r="AE392" s="70"/>
      <c r="AF392" s="70"/>
      <c r="AG392" s="70"/>
      <c r="AH392" s="20"/>
    </row>
    <row r="393" spans="1:34" s="4" customFormat="1" ht="14.4" thickBot="1" x14ac:dyDescent="0.3">
      <c r="A393" s="3"/>
      <c r="D393" s="322" t="s">
        <v>145</v>
      </c>
      <c r="E393" s="322"/>
      <c r="F393" s="322"/>
      <c r="G393" s="322"/>
      <c r="H393" s="322"/>
      <c r="I393" s="322"/>
      <c r="J393" s="322"/>
      <c r="K393" s="322"/>
      <c r="L393" s="322"/>
      <c r="M393" s="322" t="s">
        <v>146</v>
      </c>
      <c r="N393" s="322"/>
      <c r="O393" s="322"/>
      <c r="P393" s="322"/>
      <c r="Q393" s="322"/>
      <c r="R393" s="322"/>
      <c r="S393" s="322"/>
      <c r="T393" s="322" t="s">
        <v>147</v>
      </c>
      <c r="U393" s="322"/>
      <c r="V393" s="322"/>
      <c r="W393" s="322"/>
      <c r="X393" s="322"/>
      <c r="Y393" s="322"/>
      <c r="Z393" s="322"/>
      <c r="AA393" s="322" t="s">
        <v>135</v>
      </c>
      <c r="AB393" s="322"/>
      <c r="AC393" s="322"/>
      <c r="AD393" s="322"/>
      <c r="AE393" s="322"/>
      <c r="AF393" s="322"/>
      <c r="AG393" s="322"/>
      <c r="AH393" s="20"/>
    </row>
    <row r="394" spans="1:34" s="4" customFormat="1" ht="14.4" thickBot="1" x14ac:dyDescent="0.3">
      <c r="A394" s="3"/>
      <c r="D394" s="361" t="s">
        <v>148</v>
      </c>
      <c r="E394" s="361"/>
      <c r="F394" s="361"/>
      <c r="G394" s="361"/>
      <c r="H394" s="361"/>
      <c r="I394" s="361"/>
      <c r="J394" s="361"/>
      <c r="K394" s="361"/>
      <c r="L394" s="361"/>
      <c r="M394" s="361"/>
      <c r="N394" s="361"/>
      <c r="O394" s="361"/>
      <c r="P394" s="361"/>
      <c r="Q394" s="361"/>
      <c r="R394" s="361"/>
      <c r="S394" s="361"/>
      <c r="T394" s="361"/>
      <c r="U394" s="361"/>
      <c r="V394" s="361"/>
      <c r="W394" s="361"/>
      <c r="X394" s="361"/>
      <c r="Y394" s="361"/>
      <c r="Z394" s="361"/>
      <c r="AA394" s="361"/>
      <c r="AB394" s="361"/>
      <c r="AC394" s="361"/>
      <c r="AD394" s="361"/>
      <c r="AE394" s="361"/>
      <c r="AF394" s="361"/>
      <c r="AG394" s="361"/>
      <c r="AH394" s="20"/>
    </row>
    <row r="395" spans="1:34" s="4" customFormat="1" ht="27.75" customHeight="1" x14ac:dyDescent="0.25">
      <c r="A395" s="3">
        <v>16</v>
      </c>
      <c r="D395" s="363" t="s">
        <v>149</v>
      </c>
      <c r="E395" s="363"/>
      <c r="F395" s="363"/>
      <c r="G395" s="363"/>
      <c r="H395" s="363"/>
      <c r="I395" s="363"/>
      <c r="J395" s="363"/>
      <c r="K395" s="363"/>
      <c r="L395" s="363"/>
      <c r="M395" s="280"/>
      <c r="N395" s="280"/>
      <c r="O395" s="280"/>
      <c r="P395" s="280"/>
      <c r="Q395" s="280"/>
      <c r="R395" s="280"/>
      <c r="S395" s="280"/>
      <c r="T395" s="271"/>
      <c r="U395" s="272"/>
      <c r="V395" s="272"/>
      <c r="W395" s="272"/>
      <c r="X395" s="272"/>
      <c r="Y395" s="272"/>
      <c r="Z395" s="273"/>
      <c r="AA395" s="280">
        <f t="shared" ref="AA395:AA400" si="17">M395+T395</f>
        <v>0</v>
      </c>
      <c r="AB395" s="280"/>
      <c r="AC395" s="280"/>
      <c r="AD395" s="280"/>
      <c r="AE395" s="280"/>
      <c r="AF395" s="280"/>
      <c r="AG395" s="280"/>
      <c r="AH395" s="20"/>
    </row>
    <row r="396" spans="1:34" s="4" customFormat="1" ht="27.75" customHeight="1" x14ac:dyDescent="0.25">
      <c r="A396" s="3"/>
      <c r="D396" s="249" t="s">
        <v>150</v>
      </c>
      <c r="E396" s="249"/>
      <c r="F396" s="249"/>
      <c r="G396" s="249"/>
      <c r="H396" s="249"/>
      <c r="I396" s="249"/>
      <c r="J396" s="249"/>
      <c r="K396" s="249"/>
      <c r="L396" s="249"/>
      <c r="M396" s="263"/>
      <c r="N396" s="263"/>
      <c r="O396" s="263"/>
      <c r="P396" s="263"/>
      <c r="Q396" s="263"/>
      <c r="R396" s="263"/>
      <c r="S396" s="263"/>
      <c r="T396" s="263"/>
      <c r="U396" s="263"/>
      <c r="V396" s="263"/>
      <c r="W396" s="263"/>
      <c r="X396" s="263"/>
      <c r="Y396" s="263"/>
      <c r="Z396" s="263"/>
      <c r="AA396" s="263">
        <f t="shared" si="17"/>
        <v>0</v>
      </c>
      <c r="AB396" s="263"/>
      <c r="AC396" s="263"/>
      <c r="AD396" s="263"/>
      <c r="AE396" s="263"/>
      <c r="AF396" s="263"/>
      <c r="AG396" s="263"/>
      <c r="AH396" s="20"/>
    </row>
    <row r="397" spans="1:34" s="4" customFormat="1" ht="27.75" customHeight="1" x14ac:dyDescent="0.25">
      <c r="A397" s="3"/>
      <c r="D397" s="249" t="s">
        <v>151</v>
      </c>
      <c r="E397" s="249"/>
      <c r="F397" s="249"/>
      <c r="G397" s="249"/>
      <c r="H397" s="249"/>
      <c r="I397" s="249"/>
      <c r="J397" s="249"/>
      <c r="K397" s="249"/>
      <c r="L397" s="249"/>
      <c r="M397" s="263"/>
      <c r="N397" s="263"/>
      <c r="O397" s="263"/>
      <c r="P397" s="263"/>
      <c r="Q397" s="263"/>
      <c r="R397" s="263"/>
      <c r="S397" s="263"/>
      <c r="T397" s="263"/>
      <c r="U397" s="263"/>
      <c r="V397" s="263"/>
      <c r="W397" s="263"/>
      <c r="X397" s="263"/>
      <c r="Y397" s="263"/>
      <c r="Z397" s="263"/>
      <c r="AA397" s="263">
        <f t="shared" si="17"/>
        <v>0</v>
      </c>
      <c r="AB397" s="263"/>
      <c r="AC397" s="263"/>
      <c r="AD397" s="263"/>
      <c r="AE397" s="263"/>
      <c r="AF397" s="263"/>
      <c r="AG397" s="263"/>
      <c r="AH397" s="20"/>
    </row>
    <row r="398" spans="1:34" s="4" customFormat="1" ht="27.75" customHeight="1" x14ac:dyDescent="0.25">
      <c r="A398" s="3"/>
      <c r="D398" s="249" t="s">
        <v>133</v>
      </c>
      <c r="E398" s="249"/>
      <c r="F398" s="249"/>
      <c r="G398" s="249"/>
      <c r="H398" s="249"/>
      <c r="I398" s="249"/>
      <c r="J398" s="249"/>
      <c r="K398" s="249"/>
      <c r="L398" s="249"/>
      <c r="M398" s="263"/>
      <c r="N398" s="263"/>
      <c r="O398" s="263"/>
      <c r="P398" s="263"/>
      <c r="Q398" s="263"/>
      <c r="R398" s="263"/>
      <c r="S398" s="263"/>
      <c r="T398" s="263"/>
      <c r="U398" s="263"/>
      <c r="V398" s="263"/>
      <c r="W398" s="263"/>
      <c r="X398" s="263"/>
      <c r="Y398" s="263"/>
      <c r="Z398" s="263"/>
      <c r="AA398" s="263">
        <f t="shared" si="17"/>
        <v>0</v>
      </c>
      <c r="AB398" s="263"/>
      <c r="AC398" s="263"/>
      <c r="AD398" s="263"/>
      <c r="AE398" s="263"/>
      <c r="AF398" s="263"/>
      <c r="AG398" s="263"/>
      <c r="AH398" s="20"/>
    </row>
    <row r="399" spans="1:34" s="4" customFormat="1" ht="27.75" customHeight="1" x14ac:dyDescent="0.25">
      <c r="A399" s="29"/>
      <c r="D399" s="249" t="s">
        <v>218</v>
      </c>
      <c r="E399" s="249"/>
      <c r="F399" s="249"/>
      <c r="G399" s="249"/>
      <c r="H399" s="249"/>
      <c r="I399" s="249"/>
      <c r="J399" s="249"/>
      <c r="K399" s="249"/>
      <c r="L399" s="249"/>
      <c r="M399" s="263">
        <f>VLOOKUP(481998,'Účtovná osnova'!$A$1:$I$1068,6,FALSE)</f>
        <v>223819.38</v>
      </c>
      <c r="N399" s="263"/>
      <c r="O399" s="263"/>
      <c r="P399" s="263"/>
      <c r="Q399" s="263"/>
      <c r="R399" s="263"/>
      <c r="S399" s="263"/>
      <c r="T399" s="263"/>
      <c r="U399" s="263"/>
      <c r="V399" s="263"/>
      <c r="W399" s="263"/>
      <c r="X399" s="263"/>
      <c r="Y399" s="263"/>
      <c r="Z399" s="263"/>
      <c r="AA399" s="263">
        <f t="shared" si="17"/>
        <v>223819.38</v>
      </c>
      <c r="AB399" s="263"/>
      <c r="AC399" s="263"/>
      <c r="AD399" s="263"/>
      <c r="AE399" s="263"/>
      <c r="AF399" s="263"/>
      <c r="AG399" s="263"/>
      <c r="AH399" s="20"/>
    </row>
    <row r="400" spans="1:34" s="4" customFormat="1" ht="27.75" customHeight="1" x14ac:dyDescent="0.25">
      <c r="A400" s="3"/>
      <c r="D400" s="249" t="s">
        <v>134</v>
      </c>
      <c r="E400" s="249"/>
      <c r="F400" s="249"/>
      <c r="G400" s="249"/>
      <c r="H400" s="249"/>
      <c r="I400" s="249"/>
      <c r="J400" s="249"/>
      <c r="K400" s="249"/>
      <c r="L400" s="249"/>
      <c r="M400" s="211"/>
      <c r="N400" s="212"/>
      <c r="O400" s="212"/>
      <c r="P400" s="212"/>
      <c r="Q400" s="212"/>
      <c r="R400" s="212"/>
      <c r="S400" s="213"/>
      <c r="T400" s="263"/>
      <c r="U400" s="263"/>
      <c r="V400" s="263"/>
      <c r="W400" s="263"/>
      <c r="X400" s="263"/>
      <c r="Y400" s="263"/>
      <c r="Z400" s="263"/>
      <c r="AA400" s="263">
        <f t="shared" si="17"/>
        <v>0</v>
      </c>
      <c r="AB400" s="263"/>
      <c r="AC400" s="263"/>
      <c r="AD400" s="263"/>
      <c r="AE400" s="263"/>
      <c r="AF400" s="263"/>
      <c r="AG400" s="263"/>
      <c r="AH400" s="20"/>
    </row>
    <row r="401" spans="1:34" s="4" customFormat="1" ht="27.75" customHeight="1" thickBot="1" x14ac:dyDescent="0.3">
      <c r="A401" s="3"/>
      <c r="D401" s="389" t="s">
        <v>152</v>
      </c>
      <c r="E401" s="389"/>
      <c r="F401" s="389"/>
      <c r="G401" s="389"/>
      <c r="H401" s="389"/>
      <c r="I401" s="389"/>
      <c r="J401" s="389"/>
      <c r="K401" s="389"/>
      <c r="L401" s="389"/>
      <c r="M401" s="362">
        <f>SUM(M395:S400)</f>
        <v>223819.38</v>
      </c>
      <c r="N401" s="362"/>
      <c r="O401" s="362"/>
      <c r="P401" s="362"/>
      <c r="Q401" s="362"/>
      <c r="R401" s="362"/>
      <c r="S401" s="362"/>
      <c r="T401" s="362">
        <f>SUM(T395:Z400)</f>
        <v>0</v>
      </c>
      <c r="U401" s="362"/>
      <c r="V401" s="362"/>
      <c r="W401" s="362"/>
      <c r="X401" s="362"/>
      <c r="Y401" s="362"/>
      <c r="Z401" s="362"/>
      <c r="AA401" s="362">
        <f>SUM(AA395:AG400)</f>
        <v>223819.38</v>
      </c>
      <c r="AB401" s="362"/>
      <c r="AC401" s="362"/>
      <c r="AD401" s="362"/>
      <c r="AE401" s="362"/>
      <c r="AF401" s="362"/>
      <c r="AG401" s="362"/>
      <c r="AH401" s="20"/>
    </row>
    <row r="402" spans="1:34" s="4" customFormat="1" ht="27.75" customHeight="1" thickBot="1" x14ac:dyDescent="0.3">
      <c r="A402" s="3"/>
      <c r="D402" s="361" t="s">
        <v>153</v>
      </c>
      <c r="E402" s="361"/>
      <c r="F402" s="361"/>
      <c r="G402" s="361"/>
      <c r="H402" s="361"/>
      <c r="I402" s="361"/>
      <c r="J402" s="361"/>
      <c r="K402" s="361"/>
      <c r="L402" s="361"/>
      <c r="M402" s="361"/>
      <c r="N402" s="361"/>
      <c r="O402" s="361"/>
      <c r="P402" s="361"/>
      <c r="Q402" s="361"/>
      <c r="R402" s="361"/>
      <c r="S402" s="361"/>
      <c r="T402" s="361"/>
      <c r="U402" s="361"/>
      <c r="V402" s="361"/>
      <c r="W402" s="361"/>
      <c r="X402" s="361"/>
      <c r="Y402" s="361"/>
      <c r="Z402" s="361"/>
      <c r="AA402" s="361"/>
      <c r="AB402" s="361"/>
      <c r="AC402" s="361"/>
      <c r="AD402" s="361"/>
      <c r="AE402" s="361"/>
      <c r="AF402" s="361"/>
      <c r="AG402" s="361"/>
      <c r="AH402" s="20"/>
    </row>
    <row r="403" spans="1:34" s="4" customFormat="1" ht="27.75" customHeight="1" x14ac:dyDescent="0.25">
      <c r="A403" s="3"/>
      <c r="D403" s="363" t="s">
        <v>154</v>
      </c>
      <c r="E403" s="363"/>
      <c r="F403" s="363"/>
      <c r="G403" s="363"/>
      <c r="H403" s="363"/>
      <c r="I403" s="363"/>
      <c r="J403" s="363"/>
      <c r="K403" s="363"/>
      <c r="L403" s="363"/>
      <c r="M403" s="280">
        <f>VLOOKUP(315999,'Účtovná osnova'!$A$1:$I$1068,6,FALSE)-AA405-T403</f>
        <v>1953482.58</v>
      </c>
      <c r="N403" s="280"/>
      <c r="O403" s="280"/>
      <c r="P403" s="280"/>
      <c r="Q403" s="280"/>
      <c r="R403" s="280"/>
      <c r="S403" s="280"/>
      <c r="T403" s="280">
        <f>VLOOKUP(311999,'Účtovná osnova'!$A$1:$I$1068,6,FALSE)-AA405-[2]Sheet1!$F$23</f>
        <v>145676.84999999998</v>
      </c>
      <c r="U403" s="280"/>
      <c r="V403" s="280"/>
      <c r="W403" s="280"/>
      <c r="X403" s="280"/>
      <c r="Y403" s="280"/>
      <c r="Z403" s="280"/>
      <c r="AA403" s="280">
        <f t="shared" ref="AA403:AA408" si="18">M403+T403</f>
        <v>2099159.4300000002</v>
      </c>
      <c r="AB403" s="280"/>
      <c r="AC403" s="280"/>
      <c r="AD403" s="280"/>
      <c r="AE403" s="280"/>
      <c r="AF403" s="280"/>
      <c r="AG403" s="280"/>
      <c r="AH403" s="20"/>
    </row>
    <row r="404" spans="1:34" s="4" customFormat="1" ht="27.75" customHeight="1" x14ac:dyDescent="0.25">
      <c r="A404" s="3"/>
      <c r="D404" s="249" t="s">
        <v>155</v>
      </c>
      <c r="E404" s="249"/>
      <c r="F404" s="249"/>
      <c r="G404" s="249"/>
      <c r="H404" s="249"/>
      <c r="I404" s="249"/>
      <c r="J404" s="249"/>
      <c r="K404" s="249"/>
      <c r="L404" s="249"/>
      <c r="M404" s="263"/>
      <c r="N404" s="263"/>
      <c r="O404" s="263"/>
      <c r="P404" s="263"/>
      <c r="Q404" s="263"/>
      <c r="R404" s="263"/>
      <c r="S404" s="263"/>
      <c r="T404" s="263"/>
      <c r="U404" s="263"/>
      <c r="V404" s="263"/>
      <c r="W404" s="263"/>
      <c r="X404" s="263"/>
      <c r="Y404" s="263"/>
      <c r="Z404" s="263"/>
      <c r="AA404" s="263">
        <f t="shared" si="18"/>
        <v>0</v>
      </c>
      <c r="AB404" s="263"/>
      <c r="AC404" s="263"/>
      <c r="AD404" s="263"/>
      <c r="AE404" s="263"/>
      <c r="AF404" s="263"/>
      <c r="AG404" s="263"/>
      <c r="AH404" s="20"/>
    </row>
    <row r="405" spans="1:34" s="4" customFormat="1" ht="27.75" customHeight="1" x14ac:dyDescent="0.25">
      <c r="A405" s="3"/>
      <c r="D405" s="249" t="s">
        <v>151</v>
      </c>
      <c r="E405" s="249"/>
      <c r="F405" s="249"/>
      <c r="G405" s="249"/>
      <c r="H405" s="249"/>
      <c r="I405" s="249"/>
      <c r="J405" s="249"/>
      <c r="K405" s="249"/>
      <c r="L405" s="249"/>
      <c r="M405" s="263">
        <f>VLOOKUP(311130,'Účtovná osnova'!$A$1:$I$1068,6,FALSE)+VLOOKUP(311230,'Účtovná osnova'!$A$1:$I$1068,6,FALSE)-T405</f>
        <v>118353.94</v>
      </c>
      <c r="N405" s="263"/>
      <c r="O405" s="263"/>
      <c r="P405" s="263"/>
      <c r="Q405" s="263"/>
      <c r="R405" s="263"/>
      <c r="S405" s="263"/>
      <c r="T405" s="263">
        <f>[3]Sheet1!$AG$44</f>
        <v>3723.23</v>
      </c>
      <c r="U405" s="263"/>
      <c r="V405" s="263"/>
      <c r="W405" s="263"/>
      <c r="X405" s="263"/>
      <c r="Y405" s="263"/>
      <c r="Z405" s="263"/>
      <c r="AA405" s="263">
        <f t="shared" si="18"/>
        <v>122077.17</v>
      </c>
      <c r="AB405" s="263"/>
      <c r="AC405" s="263"/>
      <c r="AD405" s="263"/>
      <c r="AE405" s="263"/>
      <c r="AF405" s="263"/>
      <c r="AG405" s="263"/>
      <c r="AH405" s="20"/>
    </row>
    <row r="406" spans="1:34" s="4" customFormat="1" ht="27.75" customHeight="1" x14ac:dyDescent="0.25">
      <c r="A406" s="3"/>
      <c r="D406" s="249" t="s">
        <v>133</v>
      </c>
      <c r="E406" s="249"/>
      <c r="F406" s="249"/>
      <c r="G406" s="249"/>
      <c r="H406" s="249"/>
      <c r="I406" s="249"/>
      <c r="J406" s="249"/>
      <c r="K406" s="249"/>
      <c r="L406" s="249"/>
      <c r="M406" s="263"/>
      <c r="N406" s="263"/>
      <c r="O406" s="263"/>
      <c r="P406" s="263"/>
      <c r="Q406" s="263"/>
      <c r="R406" s="263"/>
      <c r="S406" s="263"/>
      <c r="T406" s="263"/>
      <c r="U406" s="263"/>
      <c r="V406" s="263"/>
      <c r="W406" s="263"/>
      <c r="X406" s="263"/>
      <c r="Y406" s="263"/>
      <c r="Z406" s="263"/>
      <c r="AA406" s="263">
        <f t="shared" si="18"/>
        <v>0</v>
      </c>
      <c r="AB406" s="263"/>
      <c r="AC406" s="263"/>
      <c r="AD406" s="263"/>
      <c r="AE406" s="263"/>
      <c r="AF406" s="263"/>
      <c r="AG406" s="263"/>
      <c r="AH406" s="20"/>
    </row>
    <row r="407" spans="1:34" s="4" customFormat="1" ht="27.75" customHeight="1" x14ac:dyDescent="0.25">
      <c r="A407" s="3"/>
      <c r="D407" s="249" t="s">
        <v>156</v>
      </c>
      <c r="E407" s="249"/>
      <c r="F407" s="249"/>
      <c r="G407" s="249"/>
      <c r="H407" s="249"/>
      <c r="I407" s="249"/>
      <c r="J407" s="249"/>
      <c r="K407" s="249"/>
      <c r="L407" s="249"/>
      <c r="M407" s="263"/>
      <c r="N407" s="263"/>
      <c r="O407" s="263"/>
      <c r="P407" s="263"/>
      <c r="Q407" s="263"/>
      <c r="R407" s="263"/>
      <c r="S407" s="263"/>
      <c r="T407" s="263"/>
      <c r="U407" s="263"/>
      <c r="V407" s="263"/>
      <c r="W407" s="263"/>
      <c r="X407" s="263"/>
      <c r="Y407" s="263"/>
      <c r="Z407" s="263"/>
      <c r="AA407" s="263">
        <f t="shared" si="18"/>
        <v>0</v>
      </c>
      <c r="AB407" s="263"/>
      <c r="AC407" s="263"/>
      <c r="AD407" s="263"/>
      <c r="AE407" s="263"/>
      <c r="AF407" s="263"/>
      <c r="AG407" s="263"/>
      <c r="AH407" s="20"/>
    </row>
    <row r="408" spans="1:34" s="4" customFormat="1" ht="27.75" customHeight="1" x14ac:dyDescent="0.25">
      <c r="A408" s="3"/>
      <c r="D408" s="249" t="s">
        <v>157</v>
      </c>
      <c r="E408" s="249"/>
      <c r="F408" s="249"/>
      <c r="G408" s="249"/>
      <c r="H408" s="249"/>
      <c r="I408" s="249"/>
      <c r="J408" s="249"/>
      <c r="K408" s="249"/>
      <c r="L408" s="249"/>
      <c r="M408" s="263"/>
      <c r="N408" s="263"/>
      <c r="O408" s="263"/>
      <c r="P408" s="263"/>
      <c r="Q408" s="263"/>
      <c r="R408" s="263"/>
      <c r="S408" s="263"/>
      <c r="T408" s="263"/>
      <c r="U408" s="263"/>
      <c r="V408" s="263"/>
      <c r="W408" s="263"/>
      <c r="X408" s="263"/>
      <c r="Y408" s="263"/>
      <c r="Z408" s="263"/>
      <c r="AA408" s="263">
        <f t="shared" si="18"/>
        <v>0</v>
      </c>
      <c r="AB408" s="263"/>
      <c r="AC408" s="263"/>
      <c r="AD408" s="263"/>
      <c r="AE408" s="263"/>
      <c r="AF408" s="263"/>
      <c r="AG408" s="263"/>
      <c r="AH408" s="20"/>
    </row>
    <row r="409" spans="1:34" s="4" customFormat="1" ht="27.75" customHeight="1" x14ac:dyDescent="0.25">
      <c r="A409" s="3"/>
      <c r="D409" s="249" t="s">
        <v>134</v>
      </c>
      <c r="E409" s="249"/>
      <c r="F409" s="249"/>
      <c r="G409" s="249"/>
      <c r="H409" s="249"/>
      <c r="I409" s="249"/>
      <c r="J409" s="249"/>
      <c r="K409" s="249"/>
      <c r="L409" s="249"/>
      <c r="M409" s="211">
        <f>VLOOKUP(378999,'Účtovná osnova'!$A$1:$I$1068,6,FALSE)+VLOOKUP(335999,'Účtovná osnova'!$A$1:$I$1068,6,FALSE)</f>
        <v>20546.39</v>
      </c>
      <c r="N409" s="212"/>
      <c r="O409" s="212"/>
      <c r="P409" s="212"/>
      <c r="Q409" s="212"/>
      <c r="R409" s="212"/>
      <c r="S409" s="213"/>
      <c r="T409" s="263"/>
      <c r="U409" s="263"/>
      <c r="V409" s="263"/>
      <c r="W409" s="263"/>
      <c r="X409" s="263"/>
      <c r="Y409" s="263"/>
      <c r="Z409" s="263"/>
      <c r="AA409" s="263">
        <f>ROUNDUP(M409+T409,0)</f>
        <v>20547</v>
      </c>
      <c r="AB409" s="263"/>
      <c r="AC409" s="263"/>
      <c r="AD409" s="263"/>
      <c r="AE409" s="263"/>
      <c r="AF409" s="263"/>
      <c r="AG409" s="263"/>
      <c r="AH409" s="20"/>
    </row>
    <row r="410" spans="1:34" s="4" customFormat="1" ht="27.75" customHeight="1" thickBot="1" x14ac:dyDescent="0.3">
      <c r="A410" s="3"/>
      <c r="D410" s="581" t="s">
        <v>158</v>
      </c>
      <c r="E410" s="581"/>
      <c r="F410" s="581"/>
      <c r="G410" s="581"/>
      <c r="H410" s="581"/>
      <c r="I410" s="581"/>
      <c r="J410" s="581"/>
      <c r="K410" s="581"/>
      <c r="L410" s="581"/>
      <c r="M410" s="362">
        <f>SUM(M403:S409)</f>
        <v>2092382.91</v>
      </c>
      <c r="N410" s="362"/>
      <c r="O410" s="362"/>
      <c r="P410" s="362"/>
      <c r="Q410" s="362"/>
      <c r="R410" s="362"/>
      <c r="S410" s="362"/>
      <c r="T410" s="362">
        <f>SUM(T403:Z409)</f>
        <v>149400.07999999999</v>
      </c>
      <c r="U410" s="362"/>
      <c r="V410" s="362"/>
      <c r="W410" s="362"/>
      <c r="X410" s="362"/>
      <c r="Y410" s="362"/>
      <c r="Z410" s="362"/>
      <c r="AA410" s="362">
        <f>ROUNDDOWN(SUM(AA403:AG409),0)</f>
        <v>2241783</v>
      </c>
      <c r="AB410" s="362"/>
      <c r="AC410" s="362"/>
      <c r="AD410" s="362"/>
      <c r="AE410" s="362"/>
      <c r="AF410" s="362"/>
      <c r="AG410" s="362"/>
      <c r="AH410" s="20"/>
    </row>
    <row r="411" spans="1:34" s="4" customFormat="1" ht="21" customHeight="1" x14ac:dyDescent="0.25">
      <c r="A411" s="3"/>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row>
    <row r="412" spans="1:34" s="4" customFormat="1" ht="13.8" x14ac:dyDescent="0.25">
      <c r="A412" s="3"/>
      <c r="D412" s="41" t="s">
        <v>383</v>
      </c>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row>
    <row r="413" spans="1:34" s="4" customFormat="1" ht="13.8" x14ac:dyDescent="0.25">
      <c r="A413" s="3"/>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row>
    <row r="414" spans="1:34" s="4" customFormat="1" ht="13.8" x14ac:dyDescent="0.25">
      <c r="A414" s="3"/>
      <c r="D414" s="364" t="s">
        <v>159</v>
      </c>
      <c r="E414" s="364"/>
      <c r="F414" s="364"/>
      <c r="G414" s="364"/>
      <c r="H414" s="364"/>
      <c r="I414" s="364"/>
      <c r="J414" s="364"/>
      <c r="K414" s="364"/>
      <c r="L414" s="364"/>
      <c r="M414" s="364"/>
      <c r="N414" s="364"/>
      <c r="O414" s="364"/>
      <c r="P414" s="364"/>
      <c r="Q414" s="364"/>
      <c r="R414" s="364"/>
      <c r="S414" s="364"/>
      <c r="T414" s="364"/>
      <c r="U414" s="364"/>
      <c r="V414" s="364"/>
      <c r="W414" s="364"/>
      <c r="X414" s="364"/>
      <c r="Y414" s="364"/>
      <c r="Z414" s="364"/>
      <c r="AA414" s="364"/>
      <c r="AB414" s="364"/>
      <c r="AC414" s="364"/>
      <c r="AD414" s="364"/>
      <c r="AE414" s="364"/>
      <c r="AF414" s="364"/>
      <c r="AG414" s="364"/>
      <c r="AH414" s="20"/>
    </row>
    <row r="415" spans="1:34" s="4" customFormat="1" ht="14.4" thickBot="1" x14ac:dyDescent="0.3">
      <c r="A415" s="3"/>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row>
    <row r="416" spans="1:34" s="4" customFormat="1" ht="28.5" customHeight="1" thickBot="1" x14ac:dyDescent="0.3">
      <c r="A416" s="5"/>
      <c r="D416" s="365" t="s">
        <v>145</v>
      </c>
      <c r="E416" s="366"/>
      <c r="F416" s="366"/>
      <c r="G416" s="366"/>
      <c r="H416" s="366"/>
      <c r="I416" s="366"/>
      <c r="J416" s="366"/>
      <c r="K416" s="366"/>
      <c r="L416" s="366"/>
      <c r="M416" s="367"/>
      <c r="N416" s="365" t="s">
        <v>16</v>
      </c>
      <c r="O416" s="366"/>
      <c r="P416" s="366"/>
      <c r="Q416" s="366"/>
      <c r="R416" s="366"/>
      <c r="S416" s="366"/>
      <c r="T416" s="366"/>
      <c r="U416" s="366"/>
      <c r="V416" s="366"/>
      <c r="W416" s="367"/>
      <c r="X416" s="365" t="s">
        <v>17</v>
      </c>
      <c r="Y416" s="366"/>
      <c r="Z416" s="366"/>
      <c r="AA416" s="366"/>
      <c r="AB416" s="366"/>
      <c r="AC416" s="366"/>
      <c r="AD416" s="366"/>
      <c r="AE416" s="366"/>
      <c r="AF416" s="366"/>
      <c r="AG416" s="367"/>
      <c r="AH416" s="20"/>
    </row>
    <row r="417" spans="1:34" s="4" customFormat="1" ht="30" customHeight="1" x14ac:dyDescent="0.25">
      <c r="A417" s="3"/>
      <c r="D417" s="368" t="s">
        <v>160</v>
      </c>
      <c r="E417" s="369"/>
      <c r="F417" s="369"/>
      <c r="G417" s="369"/>
      <c r="H417" s="369"/>
      <c r="I417" s="369"/>
      <c r="J417" s="369"/>
      <c r="K417" s="369"/>
      <c r="L417" s="369"/>
      <c r="M417" s="370"/>
      <c r="N417" s="371">
        <f>ROUNDUP(VLOOKUP(211999,'Účtovná osnova'!$A$1:$I$1068,6,FALSE)+(VLOOKUP(213999,'Účtovná osnova'!$A$1:$I$1068,6,FALSE)),0)</f>
        <v>13919</v>
      </c>
      <c r="O417" s="372"/>
      <c r="P417" s="372"/>
      <c r="Q417" s="372"/>
      <c r="R417" s="372"/>
      <c r="S417" s="372"/>
      <c r="T417" s="372"/>
      <c r="U417" s="372"/>
      <c r="V417" s="372"/>
      <c r="W417" s="372"/>
      <c r="X417" s="371">
        <v>7999</v>
      </c>
      <c r="Y417" s="372"/>
      <c r="Z417" s="372"/>
      <c r="AA417" s="372"/>
      <c r="AB417" s="372"/>
      <c r="AC417" s="372"/>
      <c r="AD417" s="372"/>
      <c r="AE417" s="372"/>
      <c r="AF417" s="372"/>
      <c r="AG417" s="372"/>
      <c r="AH417" s="20"/>
    </row>
    <row r="418" spans="1:34" s="4" customFormat="1" ht="30" customHeight="1" x14ac:dyDescent="0.25">
      <c r="A418" s="3">
        <v>18</v>
      </c>
      <c r="D418" s="214" t="s">
        <v>161</v>
      </c>
      <c r="E418" s="215"/>
      <c r="F418" s="215"/>
      <c r="G418" s="215"/>
      <c r="H418" s="215"/>
      <c r="I418" s="215"/>
      <c r="J418" s="215"/>
      <c r="K418" s="215"/>
      <c r="L418" s="215"/>
      <c r="M418" s="216"/>
      <c r="N418" s="213">
        <f>VLOOKUP(221100,'Účtovná osnova'!$A$1:$I$1068,6,FALSE)</f>
        <v>78151.92</v>
      </c>
      <c r="O418" s="263"/>
      <c r="P418" s="263"/>
      <c r="Q418" s="263"/>
      <c r="R418" s="263"/>
      <c r="S418" s="263"/>
      <c r="T418" s="263"/>
      <c r="U418" s="263"/>
      <c r="V418" s="263"/>
      <c r="W418" s="263"/>
      <c r="X418" s="213">
        <v>161380</v>
      </c>
      <c r="Y418" s="263"/>
      <c r="Z418" s="263"/>
      <c r="AA418" s="263"/>
      <c r="AB418" s="263"/>
      <c r="AC418" s="263"/>
      <c r="AD418" s="263"/>
      <c r="AE418" s="263"/>
      <c r="AF418" s="263"/>
      <c r="AG418" s="263"/>
      <c r="AH418" s="20"/>
    </row>
    <row r="419" spans="1:34" s="4" customFormat="1" ht="30" customHeight="1" x14ac:dyDescent="0.25">
      <c r="A419" s="3"/>
      <c r="D419" s="214" t="s">
        <v>162</v>
      </c>
      <c r="E419" s="215"/>
      <c r="F419" s="215"/>
      <c r="G419" s="215"/>
      <c r="H419" s="215"/>
      <c r="I419" s="215"/>
      <c r="J419" s="215"/>
      <c r="K419" s="215"/>
      <c r="L419" s="215"/>
      <c r="M419" s="216"/>
      <c r="N419" s="213"/>
      <c r="O419" s="263"/>
      <c r="P419" s="263"/>
      <c r="Q419" s="263"/>
      <c r="R419" s="263"/>
      <c r="S419" s="263"/>
      <c r="T419" s="263"/>
      <c r="U419" s="263"/>
      <c r="V419" s="263"/>
      <c r="W419" s="263"/>
      <c r="X419" s="213"/>
      <c r="Y419" s="263"/>
      <c r="Z419" s="263"/>
      <c r="AA419" s="263"/>
      <c r="AB419" s="263"/>
      <c r="AC419" s="263"/>
      <c r="AD419" s="263"/>
      <c r="AE419" s="263"/>
      <c r="AF419" s="263"/>
      <c r="AG419" s="263"/>
      <c r="AH419" s="20"/>
    </row>
    <row r="420" spans="1:34" s="4" customFormat="1" ht="30" customHeight="1" x14ac:dyDescent="0.25">
      <c r="A420" s="3"/>
      <c r="D420" s="214" t="s">
        <v>163</v>
      </c>
      <c r="E420" s="215"/>
      <c r="F420" s="215"/>
      <c r="G420" s="215"/>
      <c r="H420" s="215"/>
      <c r="I420" s="215"/>
      <c r="J420" s="215"/>
      <c r="K420" s="215"/>
      <c r="L420" s="215"/>
      <c r="M420" s="216"/>
      <c r="N420" s="213"/>
      <c r="O420" s="263"/>
      <c r="P420" s="263"/>
      <c r="Q420" s="263"/>
      <c r="R420" s="263"/>
      <c r="S420" s="263"/>
      <c r="T420" s="263"/>
      <c r="U420" s="263"/>
      <c r="V420" s="263"/>
      <c r="W420" s="263"/>
      <c r="X420" s="213"/>
      <c r="Y420" s="263"/>
      <c r="Z420" s="263"/>
      <c r="AA420" s="263"/>
      <c r="AB420" s="263"/>
      <c r="AC420" s="263"/>
      <c r="AD420" s="263"/>
      <c r="AE420" s="263"/>
      <c r="AF420" s="263"/>
      <c r="AG420" s="263"/>
      <c r="AH420" s="20"/>
    </row>
    <row r="421" spans="1:34" s="4" customFormat="1" ht="30" customHeight="1" thickBot="1" x14ac:dyDescent="0.3">
      <c r="A421" s="3"/>
      <c r="D421" s="293" t="s">
        <v>27</v>
      </c>
      <c r="E421" s="294"/>
      <c r="F421" s="294"/>
      <c r="G421" s="294"/>
      <c r="H421" s="294"/>
      <c r="I421" s="294"/>
      <c r="J421" s="294"/>
      <c r="K421" s="294"/>
      <c r="L421" s="294"/>
      <c r="M421" s="295"/>
      <c r="N421" s="379">
        <f>SUM(N417:W420)</f>
        <v>92070.92</v>
      </c>
      <c r="O421" s="362"/>
      <c r="P421" s="362"/>
      <c r="Q421" s="362"/>
      <c r="R421" s="362"/>
      <c r="S421" s="362"/>
      <c r="T421" s="362"/>
      <c r="U421" s="362"/>
      <c r="V421" s="362"/>
      <c r="W421" s="362"/>
      <c r="X421" s="379">
        <f>SUM(X417:AG420)</f>
        <v>169379</v>
      </c>
      <c r="Y421" s="362"/>
      <c r="Z421" s="362"/>
      <c r="AA421" s="362"/>
      <c r="AB421" s="362"/>
      <c r="AC421" s="362"/>
      <c r="AD421" s="362"/>
      <c r="AE421" s="362"/>
      <c r="AF421" s="362"/>
      <c r="AG421" s="362"/>
      <c r="AH421" s="20"/>
    </row>
    <row r="422" spans="1:34" s="4" customFormat="1" ht="13.5" customHeight="1" x14ac:dyDescent="0.25">
      <c r="A422" s="3"/>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row>
    <row r="423" spans="1:34" ht="14.25" customHeight="1" x14ac:dyDescent="0.25">
      <c r="D423" s="41" t="s">
        <v>384</v>
      </c>
      <c r="E423" s="33"/>
      <c r="F423" s="33"/>
      <c r="G423" s="33"/>
      <c r="H423" s="33"/>
      <c r="I423" s="33"/>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row>
    <row r="424" spans="1:34" ht="14.25" customHeight="1" x14ac:dyDescent="0.2">
      <c r="D424" s="33"/>
      <c r="E424" s="33"/>
      <c r="F424" s="33"/>
      <c r="G424" s="33"/>
      <c r="H424" s="33"/>
      <c r="I424" s="33"/>
      <c r="J424" s="33"/>
      <c r="K424" s="33"/>
      <c r="L424" s="33"/>
      <c r="M424" s="33"/>
      <c r="N424" s="33"/>
      <c r="O424" s="33"/>
      <c r="P424" s="33"/>
      <c r="Q424" s="33"/>
      <c r="R424" s="33"/>
      <c r="S424" s="33"/>
      <c r="T424" s="33"/>
      <c r="U424" s="33"/>
      <c r="V424" s="33"/>
      <c r="W424" s="33"/>
      <c r="X424" s="33"/>
      <c r="Y424" s="33"/>
      <c r="Z424" s="33"/>
      <c r="AA424" s="33"/>
      <c r="AB424" s="33"/>
      <c r="AC424" s="33"/>
      <c r="AD424" s="33"/>
      <c r="AE424" s="33"/>
      <c r="AF424" s="33"/>
      <c r="AG424" s="33"/>
    </row>
    <row r="425" spans="1:34" ht="14.25" customHeight="1" x14ac:dyDescent="0.2">
      <c r="D425" s="364" t="s">
        <v>164</v>
      </c>
      <c r="E425" s="364"/>
      <c r="F425" s="364"/>
      <c r="G425" s="364"/>
      <c r="H425" s="364"/>
      <c r="I425" s="364"/>
      <c r="J425" s="364"/>
      <c r="K425" s="364"/>
      <c r="L425" s="364"/>
      <c r="M425" s="364"/>
      <c r="N425" s="364"/>
      <c r="O425" s="364"/>
      <c r="P425" s="364"/>
      <c r="Q425" s="364"/>
      <c r="R425" s="364"/>
      <c r="S425" s="364"/>
      <c r="T425" s="364"/>
      <c r="U425" s="364"/>
      <c r="V425" s="364"/>
      <c r="W425" s="364"/>
      <c r="X425" s="364"/>
      <c r="Y425" s="364"/>
      <c r="Z425" s="364"/>
      <c r="AA425" s="364"/>
      <c r="AB425" s="364"/>
      <c r="AC425" s="364"/>
      <c r="AD425" s="364"/>
      <c r="AE425" s="364"/>
      <c r="AF425" s="364"/>
      <c r="AG425" s="364"/>
    </row>
    <row r="426" spans="1:34" ht="14.25" customHeight="1" thickBot="1" x14ac:dyDescent="0.25">
      <c r="D426" s="33"/>
      <c r="E426" s="33"/>
      <c r="F426" s="33"/>
      <c r="G426" s="33"/>
      <c r="H426" s="33"/>
      <c r="I426" s="33"/>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row>
    <row r="427" spans="1:34" ht="28.5" customHeight="1" thickBot="1" x14ac:dyDescent="0.25">
      <c r="D427" s="365" t="s">
        <v>165</v>
      </c>
      <c r="E427" s="366"/>
      <c r="F427" s="366"/>
      <c r="G427" s="366"/>
      <c r="H427" s="366"/>
      <c r="I427" s="366"/>
      <c r="J427" s="366"/>
      <c r="K427" s="366"/>
      <c r="L427" s="366"/>
      <c r="M427" s="366"/>
      <c r="N427" s="366"/>
      <c r="O427" s="367"/>
      <c r="P427" s="365" t="s">
        <v>16</v>
      </c>
      <c r="Q427" s="366"/>
      <c r="R427" s="366"/>
      <c r="S427" s="366"/>
      <c r="T427" s="366"/>
      <c r="U427" s="366"/>
      <c r="V427" s="366"/>
      <c r="W427" s="366"/>
      <c r="X427" s="367"/>
      <c r="Y427" s="365" t="s">
        <v>17</v>
      </c>
      <c r="Z427" s="366"/>
      <c r="AA427" s="366"/>
      <c r="AB427" s="366"/>
      <c r="AC427" s="366"/>
      <c r="AD427" s="366"/>
      <c r="AE427" s="366"/>
      <c r="AF427" s="366"/>
      <c r="AG427" s="367"/>
    </row>
    <row r="428" spans="1:34" ht="14.25" customHeight="1" thickBot="1" x14ac:dyDescent="0.25">
      <c r="D428" s="373" t="s">
        <v>166</v>
      </c>
      <c r="E428" s="374"/>
      <c r="F428" s="374"/>
      <c r="G428" s="374"/>
      <c r="H428" s="374"/>
      <c r="I428" s="374"/>
      <c r="J428" s="374"/>
      <c r="K428" s="374"/>
      <c r="L428" s="374"/>
      <c r="M428" s="374"/>
      <c r="N428" s="374"/>
      <c r="O428" s="375"/>
      <c r="P428" s="376">
        <v>0</v>
      </c>
      <c r="Q428" s="377"/>
      <c r="R428" s="377"/>
      <c r="S428" s="377"/>
      <c r="T428" s="377"/>
      <c r="U428" s="377"/>
      <c r="V428" s="377"/>
      <c r="W428" s="377"/>
      <c r="X428" s="378"/>
      <c r="Y428" s="376">
        <v>0</v>
      </c>
      <c r="Z428" s="377"/>
      <c r="AA428" s="377"/>
      <c r="AB428" s="377"/>
      <c r="AC428" s="377"/>
      <c r="AD428" s="377"/>
      <c r="AE428" s="377"/>
      <c r="AF428" s="377"/>
      <c r="AG428" s="378"/>
    </row>
    <row r="429" spans="1:34" ht="16.5" customHeight="1" thickBot="1" x14ac:dyDescent="0.25">
      <c r="D429" s="373" t="s">
        <v>167</v>
      </c>
      <c r="E429" s="374"/>
      <c r="F429" s="374"/>
      <c r="G429" s="374"/>
      <c r="H429" s="374"/>
      <c r="I429" s="374"/>
      <c r="J429" s="374"/>
      <c r="K429" s="374"/>
      <c r="L429" s="374"/>
      <c r="M429" s="374"/>
      <c r="N429" s="374"/>
      <c r="O429" s="375"/>
      <c r="P429" s="376">
        <f>SUM(P430:X430)</f>
        <v>17961.46</v>
      </c>
      <c r="Q429" s="377"/>
      <c r="R429" s="377"/>
      <c r="S429" s="377"/>
      <c r="T429" s="377"/>
      <c r="U429" s="377"/>
      <c r="V429" s="377"/>
      <c r="W429" s="377"/>
      <c r="X429" s="378"/>
      <c r="Y429" s="376">
        <f>SUM(Y430:AG430)</f>
        <v>20862</v>
      </c>
      <c r="Z429" s="377"/>
      <c r="AA429" s="377"/>
      <c r="AB429" s="377"/>
      <c r="AC429" s="377"/>
      <c r="AD429" s="377"/>
      <c r="AE429" s="377"/>
      <c r="AF429" s="377"/>
      <c r="AG429" s="378"/>
    </row>
    <row r="430" spans="1:34" ht="16.5" customHeight="1" thickBot="1" x14ac:dyDescent="0.25">
      <c r="D430" s="351" t="s">
        <v>168</v>
      </c>
      <c r="E430" s="352"/>
      <c r="F430" s="352"/>
      <c r="G430" s="352"/>
      <c r="H430" s="352"/>
      <c r="I430" s="352"/>
      <c r="J430" s="352"/>
      <c r="K430" s="352"/>
      <c r="L430" s="352"/>
      <c r="M430" s="352"/>
      <c r="N430" s="352"/>
      <c r="O430" s="353"/>
      <c r="P430" s="380">
        <f>VLOOKUP(381999,'Účtovná osnova'!$A$1:$I$1068,6,FALSE)</f>
        <v>17961.46</v>
      </c>
      <c r="Q430" s="381"/>
      <c r="R430" s="381"/>
      <c r="S430" s="381"/>
      <c r="T430" s="381"/>
      <c r="U430" s="381"/>
      <c r="V430" s="381"/>
      <c r="W430" s="381"/>
      <c r="X430" s="382"/>
      <c r="Y430" s="380">
        <v>20862</v>
      </c>
      <c r="Z430" s="381"/>
      <c r="AA430" s="381"/>
      <c r="AB430" s="381"/>
      <c r="AC430" s="381"/>
      <c r="AD430" s="381"/>
      <c r="AE430" s="381"/>
      <c r="AF430" s="381"/>
      <c r="AG430" s="382"/>
    </row>
    <row r="431" spans="1:34" ht="16.5" customHeight="1" thickBot="1" x14ac:dyDescent="0.25">
      <c r="D431" s="373" t="s">
        <v>169</v>
      </c>
      <c r="E431" s="374"/>
      <c r="F431" s="374"/>
      <c r="G431" s="374"/>
      <c r="H431" s="374"/>
      <c r="I431" s="374"/>
      <c r="J431" s="374"/>
      <c r="K431" s="374"/>
      <c r="L431" s="374"/>
      <c r="M431" s="374"/>
      <c r="N431" s="374"/>
      <c r="O431" s="375"/>
      <c r="P431" s="376"/>
      <c r="Q431" s="377"/>
      <c r="R431" s="377"/>
      <c r="S431" s="377"/>
      <c r="T431" s="377"/>
      <c r="U431" s="377"/>
      <c r="V431" s="377"/>
      <c r="W431" s="377"/>
      <c r="X431" s="378"/>
      <c r="Y431" s="376"/>
      <c r="Z431" s="377"/>
      <c r="AA431" s="377"/>
      <c r="AB431" s="377"/>
      <c r="AC431" s="377"/>
      <c r="AD431" s="377"/>
      <c r="AE431" s="377"/>
      <c r="AF431" s="377"/>
      <c r="AG431" s="378"/>
    </row>
    <row r="432" spans="1:34" ht="16.5" customHeight="1" thickBot="1" x14ac:dyDescent="0.25">
      <c r="D432" s="373" t="s">
        <v>170</v>
      </c>
      <c r="E432" s="374"/>
      <c r="F432" s="374"/>
      <c r="G432" s="374"/>
      <c r="H432" s="374"/>
      <c r="I432" s="374"/>
      <c r="J432" s="374"/>
      <c r="K432" s="374"/>
      <c r="L432" s="374"/>
      <c r="M432" s="374"/>
      <c r="N432" s="374"/>
      <c r="O432" s="375"/>
      <c r="P432" s="376">
        <f>SUM(P433:X434)</f>
        <v>38129</v>
      </c>
      <c r="Q432" s="377"/>
      <c r="R432" s="377"/>
      <c r="S432" s="377"/>
      <c r="T432" s="377"/>
      <c r="U432" s="377"/>
      <c r="V432" s="377"/>
      <c r="W432" s="377"/>
      <c r="X432" s="378"/>
      <c r="Y432" s="376">
        <f>SUM(Y433:AG434)</f>
        <v>35119</v>
      </c>
      <c r="Z432" s="377"/>
      <c r="AA432" s="377"/>
      <c r="AB432" s="377"/>
      <c r="AC432" s="377"/>
      <c r="AD432" s="377"/>
      <c r="AE432" s="377"/>
      <c r="AF432" s="377"/>
      <c r="AG432" s="378"/>
    </row>
    <row r="433" spans="1:33" ht="16.5" customHeight="1" x14ac:dyDescent="0.2">
      <c r="D433" s="351" t="s">
        <v>171</v>
      </c>
      <c r="E433" s="352"/>
      <c r="F433" s="352"/>
      <c r="G433" s="352"/>
      <c r="H433" s="352"/>
      <c r="I433" s="352"/>
      <c r="J433" s="352"/>
      <c r="K433" s="352"/>
      <c r="L433" s="352"/>
      <c r="M433" s="352"/>
      <c r="N433" s="352"/>
      <c r="O433" s="353"/>
      <c r="P433" s="380">
        <f>VLOOKUP(385998,'Účtovná osnova'!$A$1:$I$1068,6,FALSE)-P434</f>
        <v>17507</v>
      </c>
      <c r="Q433" s="381"/>
      <c r="R433" s="381"/>
      <c r="S433" s="381"/>
      <c r="T433" s="381"/>
      <c r="U433" s="381"/>
      <c r="V433" s="381"/>
      <c r="W433" s="381"/>
      <c r="X433" s="382"/>
      <c r="Y433" s="380">
        <v>23141</v>
      </c>
      <c r="Z433" s="381"/>
      <c r="AA433" s="381"/>
      <c r="AB433" s="381"/>
      <c r="AC433" s="381"/>
      <c r="AD433" s="381"/>
      <c r="AE433" s="381"/>
      <c r="AF433" s="381"/>
      <c r="AG433" s="382"/>
    </row>
    <row r="434" spans="1:33" ht="16.5" customHeight="1" thickBot="1" x14ac:dyDescent="0.25">
      <c r="D434" s="386" t="s">
        <v>172</v>
      </c>
      <c r="E434" s="386"/>
      <c r="F434" s="386"/>
      <c r="G434" s="386"/>
      <c r="H434" s="386"/>
      <c r="I434" s="386"/>
      <c r="J434" s="386"/>
      <c r="K434" s="386"/>
      <c r="L434" s="386"/>
      <c r="M434" s="386"/>
      <c r="N434" s="386"/>
      <c r="O434" s="386"/>
      <c r="P434" s="387">
        <f>VLOOKUP(385100,'Účtovná osnova'!$A$1:$I$1068,6,FALSE)</f>
        <v>20622</v>
      </c>
      <c r="Q434" s="387"/>
      <c r="R434" s="387"/>
      <c r="S434" s="387"/>
      <c r="T434" s="387"/>
      <c r="U434" s="387"/>
      <c r="V434" s="387"/>
      <c r="W434" s="387"/>
      <c r="X434" s="388"/>
      <c r="Y434" s="387">
        <v>11978</v>
      </c>
      <c r="Z434" s="387"/>
      <c r="AA434" s="387"/>
      <c r="AB434" s="387"/>
      <c r="AC434" s="387"/>
      <c r="AD434" s="387"/>
      <c r="AE434" s="387"/>
      <c r="AF434" s="387"/>
      <c r="AG434" s="388"/>
    </row>
    <row r="435" spans="1:33" ht="16.5" customHeight="1" x14ac:dyDescent="0.2">
      <c r="D435" s="33"/>
      <c r="E435" s="33"/>
      <c r="F435" s="33"/>
      <c r="G435" s="33"/>
      <c r="H435" s="33"/>
      <c r="I435" s="33"/>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row>
    <row r="436" spans="1:33" ht="16.5" customHeight="1" x14ac:dyDescent="0.2">
      <c r="D436" s="33"/>
      <c r="E436" s="33"/>
      <c r="F436" s="33"/>
      <c r="G436" s="33"/>
      <c r="H436" s="33"/>
      <c r="I436" s="33"/>
      <c r="J436" s="33"/>
      <c r="K436" s="33"/>
      <c r="L436" s="33"/>
      <c r="M436" s="33"/>
      <c r="N436" s="33"/>
      <c r="O436" s="33"/>
      <c r="P436" s="33"/>
      <c r="Q436" s="33"/>
      <c r="R436" s="33"/>
      <c r="S436" s="33"/>
      <c r="T436" s="33"/>
      <c r="U436" s="33"/>
      <c r="V436" s="33"/>
      <c r="W436" s="33"/>
      <c r="X436" s="33"/>
      <c r="Y436" s="33"/>
      <c r="Z436" s="33"/>
      <c r="AA436" s="33"/>
      <c r="AB436" s="33"/>
      <c r="AC436" s="33"/>
      <c r="AD436" s="33"/>
      <c r="AE436" s="33"/>
      <c r="AF436" s="33"/>
      <c r="AG436" s="33"/>
    </row>
    <row r="437" spans="1:33" ht="14.25" customHeight="1" x14ac:dyDescent="0.25">
      <c r="D437" s="41" t="s">
        <v>385</v>
      </c>
      <c r="E437" s="33"/>
      <c r="F437" s="33"/>
      <c r="G437" s="33"/>
      <c r="H437" s="33"/>
      <c r="I437" s="33"/>
      <c r="J437" s="33"/>
      <c r="K437" s="33"/>
      <c r="L437" s="33"/>
      <c r="M437" s="33"/>
      <c r="N437" s="33"/>
      <c r="O437" s="33"/>
      <c r="P437" s="33"/>
      <c r="Q437" s="33"/>
      <c r="R437" s="33"/>
      <c r="S437" s="33"/>
      <c r="T437" s="33"/>
      <c r="U437" s="33"/>
      <c r="V437" s="33"/>
      <c r="W437" s="33"/>
      <c r="X437" s="33"/>
      <c r="Y437" s="33"/>
      <c r="Z437" s="33"/>
      <c r="AA437" s="33"/>
      <c r="AB437" s="33"/>
      <c r="AC437" s="33"/>
      <c r="AD437" s="33"/>
      <c r="AE437" s="33"/>
      <c r="AF437" s="33"/>
      <c r="AG437" s="33"/>
    </row>
    <row r="438" spans="1:33" ht="14.25" customHeight="1" x14ac:dyDescent="0.2">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c r="AB438" s="33"/>
      <c r="AC438" s="33"/>
      <c r="AD438" s="33"/>
      <c r="AE438" s="33"/>
      <c r="AF438" s="33"/>
      <c r="AG438" s="33"/>
    </row>
    <row r="439" spans="1:33" ht="14.25" customHeight="1" x14ac:dyDescent="0.2">
      <c r="D439" s="324" t="s">
        <v>173</v>
      </c>
      <c r="E439" s="324"/>
      <c r="F439" s="324"/>
      <c r="G439" s="324"/>
      <c r="H439" s="324"/>
      <c r="I439" s="324"/>
      <c r="J439" s="324"/>
      <c r="K439" s="324"/>
      <c r="L439" s="324"/>
      <c r="M439" s="324"/>
      <c r="N439" s="324"/>
      <c r="O439" s="324"/>
      <c r="P439" s="324"/>
      <c r="Q439" s="324"/>
      <c r="R439" s="324"/>
      <c r="S439" s="324"/>
      <c r="T439" s="324"/>
      <c r="U439" s="324"/>
      <c r="V439" s="324"/>
      <c r="W439" s="324"/>
      <c r="X439" s="324"/>
      <c r="Y439" s="324"/>
      <c r="Z439" s="324"/>
      <c r="AA439" s="324"/>
      <c r="AB439" s="324"/>
      <c r="AC439" s="324"/>
      <c r="AD439" s="324"/>
      <c r="AE439" s="324"/>
      <c r="AF439" s="324"/>
      <c r="AG439" s="324"/>
    </row>
    <row r="440" spans="1:33" ht="14.25" customHeight="1" thickBot="1" x14ac:dyDescent="0.25">
      <c r="D440" s="33"/>
      <c r="E440" s="33"/>
      <c r="F440" s="33"/>
      <c r="G440" s="33"/>
      <c r="H440" s="33"/>
      <c r="I440" s="33"/>
      <c r="J440" s="33"/>
      <c r="K440" s="33"/>
      <c r="L440" s="33"/>
      <c r="M440" s="33"/>
      <c r="N440" s="33"/>
      <c r="O440" s="33"/>
      <c r="P440" s="33"/>
      <c r="Q440" s="33"/>
      <c r="R440" s="33"/>
      <c r="S440" s="33"/>
      <c r="T440" s="33"/>
      <c r="U440" s="33"/>
      <c r="V440" s="33"/>
      <c r="W440" s="33"/>
      <c r="X440" s="33"/>
      <c r="Y440" s="33"/>
      <c r="Z440" s="33"/>
      <c r="AA440" s="33"/>
      <c r="AB440" s="33"/>
      <c r="AC440" s="33"/>
      <c r="AD440" s="33"/>
      <c r="AE440" s="33"/>
      <c r="AF440" s="33"/>
      <c r="AG440" s="33"/>
    </row>
    <row r="441" spans="1:33" ht="14.25" customHeight="1" thickBot="1" x14ac:dyDescent="0.25">
      <c r="D441" s="322" t="s">
        <v>145</v>
      </c>
      <c r="E441" s="322"/>
      <c r="F441" s="322"/>
      <c r="G441" s="322"/>
      <c r="H441" s="322"/>
      <c r="I441" s="322"/>
      <c r="J441" s="322"/>
      <c r="K441" s="322"/>
      <c r="L441" s="322"/>
      <c r="M441" s="322"/>
      <c r="N441" s="322"/>
      <c r="O441" s="322"/>
      <c r="P441" s="322"/>
      <c r="Q441" s="322"/>
      <c r="R441" s="322" t="s">
        <v>17</v>
      </c>
      <c r="S441" s="322"/>
      <c r="T441" s="322"/>
      <c r="U441" s="322"/>
      <c r="V441" s="322"/>
      <c r="W441" s="322"/>
      <c r="X441" s="322"/>
      <c r="Y441" s="322"/>
      <c r="Z441" s="322"/>
      <c r="AA441" s="322"/>
      <c r="AB441" s="322"/>
      <c r="AC441" s="322"/>
      <c r="AD441" s="322"/>
      <c r="AE441" s="322"/>
      <c r="AF441" s="322"/>
      <c r="AG441" s="322"/>
    </row>
    <row r="442" spans="1:33" ht="14.25" customHeight="1" thickBot="1" x14ac:dyDescent="0.25">
      <c r="D442" s="361" t="s">
        <v>659</v>
      </c>
      <c r="E442" s="361"/>
      <c r="F442" s="361"/>
      <c r="G442" s="361"/>
      <c r="H442" s="361"/>
      <c r="I442" s="361"/>
      <c r="J442" s="361"/>
      <c r="K442" s="361"/>
      <c r="L442" s="361"/>
      <c r="M442" s="361"/>
      <c r="N442" s="361"/>
      <c r="O442" s="361"/>
      <c r="P442" s="361"/>
      <c r="Q442" s="361"/>
      <c r="R442" s="383">
        <f>R449</f>
        <v>580517.94999999995</v>
      </c>
      <c r="S442" s="383"/>
      <c r="T442" s="383"/>
      <c r="U442" s="383"/>
      <c r="V442" s="383"/>
      <c r="W442" s="383"/>
      <c r="X442" s="383"/>
      <c r="Y442" s="383"/>
      <c r="Z442" s="383"/>
      <c r="AA442" s="383"/>
      <c r="AB442" s="383"/>
      <c r="AC442" s="383"/>
      <c r="AD442" s="383"/>
      <c r="AE442" s="383"/>
      <c r="AF442" s="383"/>
      <c r="AG442" s="383"/>
    </row>
    <row r="443" spans="1:33" ht="15.75" customHeight="1" thickBot="1" x14ac:dyDescent="0.25">
      <c r="A443" s="3" t="s">
        <v>174</v>
      </c>
      <c r="D443" s="361" t="s">
        <v>175</v>
      </c>
      <c r="E443" s="361"/>
      <c r="F443" s="361"/>
      <c r="G443" s="361"/>
      <c r="H443" s="361"/>
      <c r="I443" s="361"/>
      <c r="J443" s="361"/>
      <c r="K443" s="361"/>
      <c r="L443" s="361"/>
      <c r="M443" s="361"/>
      <c r="N443" s="361"/>
      <c r="O443" s="361"/>
      <c r="P443" s="361"/>
      <c r="Q443" s="361"/>
      <c r="R443" s="322" t="s">
        <v>16</v>
      </c>
      <c r="S443" s="322"/>
      <c r="T443" s="322"/>
      <c r="U443" s="322"/>
      <c r="V443" s="322"/>
      <c r="W443" s="322"/>
      <c r="X443" s="322"/>
      <c r="Y443" s="322"/>
      <c r="Z443" s="322"/>
      <c r="AA443" s="322"/>
      <c r="AB443" s="322"/>
      <c r="AC443" s="322"/>
      <c r="AD443" s="322"/>
      <c r="AE443" s="322"/>
      <c r="AF443" s="322"/>
      <c r="AG443" s="322"/>
    </row>
    <row r="444" spans="1:33" ht="15.75" customHeight="1" x14ac:dyDescent="0.2">
      <c r="D444" s="384" t="s">
        <v>176</v>
      </c>
      <c r="E444" s="384"/>
      <c r="F444" s="384"/>
      <c r="G444" s="384"/>
      <c r="H444" s="384"/>
      <c r="I444" s="384"/>
      <c r="J444" s="384"/>
      <c r="K444" s="384"/>
      <c r="L444" s="384"/>
      <c r="M444" s="384"/>
      <c r="N444" s="384"/>
      <c r="O444" s="384"/>
      <c r="P444" s="384"/>
      <c r="Q444" s="384"/>
      <c r="R444" s="385"/>
      <c r="S444" s="385"/>
      <c r="T444" s="385"/>
      <c r="U444" s="385"/>
      <c r="V444" s="385"/>
      <c r="W444" s="385"/>
      <c r="X444" s="385"/>
      <c r="Y444" s="385"/>
      <c r="Z444" s="385"/>
      <c r="AA444" s="385"/>
      <c r="AB444" s="385"/>
      <c r="AC444" s="385"/>
      <c r="AD444" s="385"/>
      <c r="AE444" s="385"/>
      <c r="AF444" s="385"/>
      <c r="AG444" s="385"/>
    </row>
    <row r="445" spans="1:33" ht="15.75" customHeight="1" x14ac:dyDescent="0.2">
      <c r="D445" s="262" t="s">
        <v>177</v>
      </c>
      <c r="E445" s="262"/>
      <c r="F445" s="262"/>
      <c r="G445" s="262"/>
      <c r="H445" s="262"/>
      <c r="I445" s="262"/>
      <c r="J445" s="262"/>
      <c r="K445" s="262"/>
      <c r="L445" s="262"/>
      <c r="M445" s="262"/>
      <c r="N445" s="262"/>
      <c r="O445" s="262"/>
      <c r="P445" s="262"/>
      <c r="Q445" s="262"/>
      <c r="R445" s="383"/>
      <c r="S445" s="383"/>
      <c r="T445" s="383"/>
      <c r="U445" s="383"/>
      <c r="V445" s="383"/>
      <c r="W445" s="383"/>
      <c r="X445" s="383"/>
      <c r="Y445" s="383"/>
      <c r="Z445" s="383"/>
      <c r="AA445" s="383"/>
      <c r="AB445" s="383"/>
      <c r="AC445" s="383"/>
      <c r="AD445" s="383"/>
      <c r="AE445" s="383"/>
      <c r="AF445" s="383"/>
      <c r="AG445" s="383"/>
    </row>
    <row r="446" spans="1:33" ht="15.75" customHeight="1" x14ac:dyDescent="0.2">
      <c r="D446" s="262" t="s">
        <v>178</v>
      </c>
      <c r="E446" s="262"/>
      <c r="F446" s="262"/>
      <c r="G446" s="262"/>
      <c r="H446" s="262"/>
      <c r="I446" s="262"/>
      <c r="J446" s="262"/>
      <c r="K446" s="262"/>
      <c r="L446" s="262"/>
      <c r="M446" s="262"/>
      <c r="N446" s="262"/>
      <c r="O446" s="262"/>
      <c r="P446" s="262"/>
      <c r="Q446" s="262"/>
      <c r="R446" s="383"/>
      <c r="S446" s="383"/>
      <c r="T446" s="383"/>
      <c r="U446" s="383"/>
      <c r="V446" s="383"/>
      <c r="W446" s="383"/>
      <c r="X446" s="383"/>
      <c r="Y446" s="383"/>
      <c r="Z446" s="383"/>
      <c r="AA446" s="383"/>
      <c r="AB446" s="383"/>
      <c r="AC446" s="383"/>
      <c r="AD446" s="383"/>
      <c r="AE446" s="383"/>
      <c r="AF446" s="383"/>
      <c r="AG446" s="383"/>
    </row>
    <row r="447" spans="1:33" ht="15.75" customHeight="1" x14ac:dyDescent="0.2">
      <c r="D447" s="262" t="s">
        <v>179</v>
      </c>
      <c r="E447" s="262"/>
      <c r="F447" s="262"/>
      <c r="G447" s="262"/>
      <c r="H447" s="262"/>
      <c r="I447" s="262"/>
      <c r="J447" s="262"/>
      <c r="K447" s="262"/>
      <c r="L447" s="262"/>
      <c r="M447" s="262"/>
      <c r="N447" s="262"/>
      <c r="O447" s="262"/>
      <c r="P447" s="262"/>
      <c r="Q447" s="262"/>
      <c r="R447" s="383"/>
      <c r="S447" s="383"/>
      <c r="T447" s="383"/>
      <c r="U447" s="383"/>
      <c r="V447" s="383"/>
      <c r="W447" s="383"/>
      <c r="X447" s="383"/>
      <c r="Y447" s="383"/>
      <c r="Z447" s="383"/>
      <c r="AA447" s="383"/>
      <c r="AB447" s="383"/>
      <c r="AC447" s="383"/>
      <c r="AD447" s="383"/>
      <c r="AE447" s="383"/>
      <c r="AF447" s="383"/>
      <c r="AG447" s="383"/>
    </row>
    <row r="448" spans="1:33" ht="15.75" customHeight="1" x14ac:dyDescent="0.2">
      <c r="D448" s="262" t="s">
        <v>180</v>
      </c>
      <c r="E448" s="262"/>
      <c r="F448" s="262"/>
      <c r="G448" s="262"/>
      <c r="H448" s="262"/>
      <c r="I448" s="262"/>
      <c r="J448" s="262"/>
      <c r="K448" s="262"/>
      <c r="L448" s="262"/>
      <c r="M448" s="262"/>
      <c r="N448" s="262"/>
      <c r="O448" s="262"/>
      <c r="P448" s="262"/>
      <c r="Q448" s="262"/>
      <c r="R448" s="383"/>
      <c r="S448" s="383"/>
      <c r="T448" s="383"/>
      <c r="U448" s="383"/>
      <c r="V448" s="383"/>
      <c r="W448" s="383"/>
      <c r="X448" s="383"/>
      <c r="Y448" s="383"/>
      <c r="Z448" s="383"/>
      <c r="AA448" s="383"/>
      <c r="AB448" s="383"/>
      <c r="AC448" s="383"/>
      <c r="AD448" s="383"/>
      <c r="AE448" s="383"/>
      <c r="AF448" s="383"/>
      <c r="AG448" s="383"/>
    </row>
    <row r="449" spans="1:34" ht="15.75" customHeight="1" x14ac:dyDescent="0.2">
      <c r="D449" s="262" t="s">
        <v>181</v>
      </c>
      <c r="E449" s="262"/>
      <c r="F449" s="262"/>
      <c r="G449" s="262"/>
      <c r="H449" s="262"/>
      <c r="I449" s="262"/>
      <c r="J449" s="262"/>
      <c r="K449" s="262"/>
      <c r="L449" s="262"/>
      <c r="M449" s="262"/>
      <c r="N449" s="262"/>
      <c r="O449" s="262"/>
      <c r="P449" s="262"/>
      <c r="Q449" s="262"/>
      <c r="R449" s="383">
        <f>VLOOKUP(428100,'Účtovná osnova'!$A$1:$I$1068,9,FALSE)</f>
        <v>580517.94999999995</v>
      </c>
      <c r="S449" s="383"/>
      <c r="T449" s="383"/>
      <c r="U449" s="383"/>
      <c r="V449" s="383"/>
      <c r="W449" s="383"/>
      <c r="X449" s="383"/>
      <c r="Y449" s="383"/>
      <c r="Z449" s="383"/>
      <c r="AA449" s="383"/>
      <c r="AB449" s="383"/>
      <c r="AC449" s="383"/>
      <c r="AD449" s="383"/>
      <c r="AE449" s="383"/>
      <c r="AF449" s="383"/>
      <c r="AG449" s="383"/>
      <c r="AH449" s="166"/>
    </row>
    <row r="450" spans="1:34" ht="15.75" customHeight="1" x14ac:dyDescent="0.2">
      <c r="D450" s="262" t="s">
        <v>182</v>
      </c>
      <c r="E450" s="262"/>
      <c r="F450" s="262"/>
      <c r="G450" s="262"/>
      <c r="H450" s="262"/>
      <c r="I450" s="262"/>
      <c r="J450" s="262"/>
      <c r="K450" s="262"/>
      <c r="L450" s="262"/>
      <c r="M450" s="262"/>
      <c r="N450" s="262"/>
      <c r="O450" s="262"/>
      <c r="P450" s="262"/>
      <c r="Q450" s="262"/>
      <c r="R450" s="383"/>
      <c r="S450" s="383"/>
      <c r="T450" s="383"/>
      <c r="U450" s="383"/>
      <c r="V450" s="383"/>
      <c r="W450" s="383"/>
      <c r="X450" s="383"/>
      <c r="Y450" s="383"/>
      <c r="Z450" s="383"/>
      <c r="AA450" s="383"/>
      <c r="AB450" s="383"/>
      <c r="AC450" s="383"/>
      <c r="AD450" s="383"/>
      <c r="AE450" s="383"/>
      <c r="AF450" s="383"/>
      <c r="AG450" s="383"/>
    </row>
    <row r="451" spans="1:34" ht="15.75" customHeight="1" x14ac:dyDescent="0.2">
      <c r="D451" s="262" t="s">
        <v>183</v>
      </c>
      <c r="E451" s="262"/>
      <c r="F451" s="262"/>
      <c r="G451" s="262"/>
      <c r="H451" s="262"/>
      <c r="I451" s="262"/>
      <c r="J451" s="262"/>
      <c r="K451" s="262"/>
      <c r="L451" s="262"/>
      <c r="M451" s="262"/>
      <c r="N451" s="262"/>
      <c r="O451" s="262"/>
      <c r="P451" s="262"/>
      <c r="Q451" s="262"/>
      <c r="R451" s="383"/>
      <c r="S451" s="383"/>
      <c r="T451" s="383"/>
      <c r="U451" s="383"/>
      <c r="V451" s="383"/>
      <c r="W451" s="383"/>
      <c r="X451" s="383"/>
      <c r="Y451" s="383"/>
      <c r="Z451" s="383"/>
      <c r="AA451" s="383"/>
      <c r="AB451" s="383"/>
      <c r="AC451" s="383"/>
      <c r="AD451" s="383"/>
      <c r="AE451" s="383"/>
      <c r="AF451" s="383"/>
      <c r="AG451" s="383"/>
    </row>
    <row r="452" spans="1:34" ht="15.75" customHeight="1" thickBot="1" x14ac:dyDescent="0.25">
      <c r="D452" s="389" t="s">
        <v>27</v>
      </c>
      <c r="E452" s="389"/>
      <c r="F452" s="389"/>
      <c r="G452" s="389"/>
      <c r="H452" s="389"/>
      <c r="I452" s="389"/>
      <c r="J452" s="389"/>
      <c r="K452" s="389"/>
      <c r="L452" s="389"/>
      <c r="M452" s="389"/>
      <c r="N452" s="389"/>
      <c r="O452" s="389"/>
      <c r="P452" s="389"/>
      <c r="Q452" s="389"/>
      <c r="R452" s="390">
        <f>SUM(R444:AG451)</f>
        <v>580517.94999999995</v>
      </c>
      <c r="S452" s="391"/>
      <c r="T452" s="391"/>
      <c r="U452" s="391"/>
      <c r="V452" s="391"/>
      <c r="W452" s="391"/>
      <c r="X452" s="391"/>
      <c r="Y452" s="391"/>
      <c r="Z452" s="391"/>
      <c r="AA452" s="391"/>
      <c r="AB452" s="391"/>
      <c r="AC452" s="391"/>
      <c r="AD452" s="391"/>
      <c r="AE452" s="391"/>
      <c r="AF452" s="391"/>
      <c r="AG452" s="392"/>
    </row>
    <row r="453" spans="1:34" ht="15.75" customHeight="1" x14ac:dyDescent="0.2">
      <c r="D453" s="33"/>
      <c r="E453" s="33"/>
      <c r="F453" s="33"/>
      <c r="G453" s="33"/>
      <c r="H453" s="33"/>
      <c r="I453" s="33"/>
      <c r="J453" s="33"/>
      <c r="K453" s="33"/>
      <c r="L453" s="33"/>
      <c r="M453" s="33"/>
      <c r="N453" s="33"/>
      <c r="O453" s="33"/>
      <c r="P453" s="33"/>
      <c r="Q453" s="33"/>
      <c r="R453" s="33"/>
      <c r="S453" s="33"/>
      <c r="T453" s="33"/>
      <c r="U453" s="33"/>
      <c r="V453" s="33"/>
      <c r="W453" s="33"/>
      <c r="X453" s="33"/>
      <c r="Y453" s="33"/>
      <c r="Z453" s="33"/>
      <c r="AA453" s="33"/>
      <c r="AB453" s="33"/>
      <c r="AC453" s="33"/>
      <c r="AD453" s="33"/>
      <c r="AE453" s="33"/>
      <c r="AF453" s="33"/>
      <c r="AG453" s="33"/>
    </row>
    <row r="454" spans="1:34" s="69" customFormat="1" ht="15.75" hidden="1" customHeight="1" thickBot="1" x14ac:dyDescent="0.25">
      <c r="A454" s="67"/>
      <c r="D454" s="77"/>
      <c r="E454" s="77"/>
      <c r="F454" s="77"/>
      <c r="G454" s="77"/>
      <c r="H454" s="77"/>
      <c r="I454" s="77"/>
      <c r="J454" s="77"/>
      <c r="K454" s="77"/>
      <c r="L454" s="77"/>
      <c r="M454" s="77"/>
      <c r="N454" s="77"/>
      <c r="O454" s="77"/>
      <c r="P454" s="77"/>
      <c r="Q454" s="77"/>
      <c r="R454" s="77"/>
      <c r="S454" s="77"/>
      <c r="T454" s="77"/>
      <c r="U454" s="77"/>
      <c r="V454" s="77"/>
      <c r="W454" s="77"/>
      <c r="X454" s="77"/>
      <c r="Y454" s="77"/>
      <c r="Z454" s="77"/>
      <c r="AA454" s="77"/>
      <c r="AB454" s="77"/>
      <c r="AC454" s="77"/>
      <c r="AD454" s="77"/>
      <c r="AE454" s="77"/>
      <c r="AF454" s="77"/>
      <c r="AG454" s="77"/>
      <c r="AH454" s="77"/>
    </row>
    <row r="455" spans="1:34" ht="15.75" hidden="1" customHeight="1" thickBot="1" x14ac:dyDescent="0.25">
      <c r="D455" s="393" t="s">
        <v>145</v>
      </c>
      <c r="E455" s="394"/>
      <c r="F455" s="394"/>
      <c r="G455" s="394"/>
      <c r="H455" s="394"/>
      <c r="I455" s="394"/>
      <c r="J455" s="394"/>
      <c r="K455" s="394"/>
      <c r="L455" s="394"/>
      <c r="M455" s="394"/>
      <c r="N455" s="394"/>
      <c r="O455" s="394"/>
      <c r="P455" s="394"/>
      <c r="Q455" s="395"/>
      <c r="R455" s="322" t="s">
        <v>17</v>
      </c>
      <c r="S455" s="322"/>
      <c r="T455" s="322"/>
      <c r="U455" s="322"/>
      <c r="V455" s="322"/>
      <c r="W455" s="322"/>
      <c r="X455" s="322"/>
      <c r="Y455" s="322"/>
      <c r="Z455" s="322"/>
      <c r="AA455" s="322"/>
      <c r="AB455" s="322"/>
      <c r="AC455" s="322"/>
      <c r="AD455" s="322"/>
      <c r="AE455" s="322"/>
      <c r="AF455" s="322"/>
      <c r="AG455" s="322"/>
    </row>
    <row r="456" spans="1:34" ht="14.25" hidden="1" customHeight="1" thickBot="1" x14ac:dyDescent="0.25">
      <c r="D456" s="405" t="s">
        <v>659</v>
      </c>
      <c r="E456" s="406"/>
      <c r="F456" s="406"/>
      <c r="G456" s="406"/>
      <c r="H456" s="406"/>
      <c r="I456" s="406"/>
      <c r="J456" s="406"/>
      <c r="K456" s="406"/>
      <c r="L456" s="406"/>
      <c r="M456" s="406"/>
      <c r="N456" s="406"/>
      <c r="O456" s="406"/>
      <c r="P456" s="406"/>
      <c r="Q456" s="407"/>
      <c r="R456" s="383">
        <v>658369</v>
      </c>
      <c r="S456" s="383"/>
      <c r="T456" s="383"/>
      <c r="U456" s="383"/>
      <c r="V456" s="383"/>
      <c r="W456" s="383"/>
      <c r="X456" s="383"/>
      <c r="Y456" s="383"/>
      <c r="Z456" s="383"/>
      <c r="AA456" s="383"/>
      <c r="AB456" s="383"/>
      <c r="AC456" s="383"/>
      <c r="AD456" s="383"/>
      <c r="AE456" s="383"/>
      <c r="AF456" s="383"/>
      <c r="AG456" s="383"/>
    </row>
    <row r="457" spans="1:34" ht="15.75" hidden="1" customHeight="1" thickBot="1" x14ac:dyDescent="0.25">
      <c r="A457" s="3" t="s">
        <v>184</v>
      </c>
      <c r="D457" s="361" t="s">
        <v>175</v>
      </c>
      <c r="E457" s="361"/>
      <c r="F457" s="361"/>
      <c r="G457" s="361"/>
      <c r="H457" s="361"/>
      <c r="I457" s="361"/>
      <c r="J457" s="361"/>
      <c r="K457" s="361"/>
      <c r="L457" s="361"/>
      <c r="M457" s="361"/>
      <c r="N457" s="361"/>
      <c r="O457" s="361"/>
      <c r="P457" s="361"/>
      <c r="Q457" s="361"/>
      <c r="R457" s="408" t="s">
        <v>16</v>
      </c>
      <c r="S457" s="409"/>
      <c r="T457" s="409"/>
      <c r="U457" s="409"/>
      <c r="V457" s="409"/>
      <c r="W457" s="409"/>
      <c r="X457" s="409"/>
      <c r="Y457" s="409"/>
      <c r="Z457" s="409"/>
      <c r="AA457" s="409"/>
      <c r="AB457" s="409"/>
      <c r="AC457" s="409"/>
      <c r="AD457" s="409"/>
      <c r="AE457" s="409"/>
      <c r="AF457" s="409"/>
      <c r="AG457" s="410"/>
    </row>
    <row r="458" spans="1:34" ht="15.75" hidden="1" customHeight="1" x14ac:dyDescent="0.2">
      <c r="D458" s="411" t="s">
        <v>185</v>
      </c>
      <c r="E458" s="412"/>
      <c r="F458" s="412"/>
      <c r="G458" s="412"/>
      <c r="H458" s="412"/>
      <c r="I458" s="412"/>
      <c r="J458" s="412"/>
      <c r="K458" s="412"/>
      <c r="L458" s="412"/>
      <c r="M458" s="412"/>
      <c r="N458" s="412"/>
      <c r="O458" s="412"/>
      <c r="P458" s="412"/>
      <c r="Q458" s="413"/>
      <c r="R458" s="414"/>
      <c r="S458" s="415"/>
      <c r="T458" s="415"/>
      <c r="U458" s="415"/>
      <c r="V458" s="415"/>
      <c r="W458" s="415"/>
      <c r="X458" s="415"/>
      <c r="Y458" s="415"/>
      <c r="Z458" s="415"/>
      <c r="AA458" s="415"/>
      <c r="AB458" s="415"/>
      <c r="AC458" s="415"/>
      <c r="AD458" s="415"/>
      <c r="AE458" s="415"/>
      <c r="AF458" s="415"/>
      <c r="AG458" s="416"/>
    </row>
    <row r="459" spans="1:34" ht="15.75" hidden="1" customHeight="1" x14ac:dyDescent="0.2">
      <c r="D459" s="399" t="s">
        <v>186</v>
      </c>
      <c r="E459" s="400"/>
      <c r="F459" s="400"/>
      <c r="G459" s="400"/>
      <c r="H459" s="400"/>
      <c r="I459" s="400"/>
      <c r="J459" s="400"/>
      <c r="K459" s="400"/>
      <c r="L459" s="400"/>
      <c r="M459" s="400"/>
      <c r="N459" s="400"/>
      <c r="O459" s="400"/>
      <c r="P459" s="400"/>
      <c r="Q459" s="401"/>
      <c r="R459" s="396"/>
      <c r="S459" s="397"/>
      <c r="T459" s="397"/>
      <c r="U459" s="397"/>
      <c r="V459" s="397"/>
      <c r="W459" s="397"/>
      <c r="X459" s="397"/>
      <c r="Y459" s="397"/>
      <c r="Z459" s="397"/>
      <c r="AA459" s="397"/>
      <c r="AB459" s="397"/>
      <c r="AC459" s="397"/>
      <c r="AD459" s="397"/>
      <c r="AE459" s="397"/>
      <c r="AF459" s="397"/>
      <c r="AG459" s="398"/>
    </row>
    <row r="460" spans="1:34" ht="15.75" hidden="1" customHeight="1" x14ac:dyDescent="0.2">
      <c r="D460" s="399" t="s">
        <v>187</v>
      </c>
      <c r="E460" s="400"/>
      <c r="F460" s="400"/>
      <c r="G460" s="400"/>
      <c r="H460" s="400"/>
      <c r="I460" s="400"/>
      <c r="J460" s="400"/>
      <c r="K460" s="400"/>
      <c r="L460" s="400"/>
      <c r="M460" s="400"/>
      <c r="N460" s="400"/>
      <c r="O460" s="400"/>
      <c r="P460" s="400"/>
      <c r="Q460" s="401"/>
      <c r="R460" s="396"/>
      <c r="S460" s="397"/>
      <c r="T460" s="397"/>
      <c r="U460" s="397"/>
      <c r="V460" s="397"/>
      <c r="W460" s="397"/>
      <c r="X460" s="397"/>
      <c r="Y460" s="397"/>
      <c r="Z460" s="397"/>
      <c r="AA460" s="397"/>
      <c r="AB460" s="397"/>
      <c r="AC460" s="397"/>
      <c r="AD460" s="397"/>
      <c r="AE460" s="397"/>
      <c r="AF460" s="397"/>
      <c r="AG460" s="398"/>
    </row>
    <row r="461" spans="1:34" ht="15.75" hidden="1" customHeight="1" x14ac:dyDescent="0.2">
      <c r="D461" s="399" t="s">
        <v>188</v>
      </c>
      <c r="E461" s="400"/>
      <c r="F461" s="400"/>
      <c r="G461" s="400"/>
      <c r="H461" s="400"/>
      <c r="I461" s="400"/>
      <c r="J461" s="400"/>
      <c r="K461" s="400"/>
      <c r="L461" s="400"/>
      <c r="M461" s="400"/>
      <c r="N461" s="400"/>
      <c r="O461" s="400"/>
      <c r="P461" s="400"/>
      <c r="Q461" s="401"/>
      <c r="R461" s="396"/>
      <c r="S461" s="397"/>
      <c r="T461" s="397"/>
      <c r="U461" s="397"/>
      <c r="V461" s="397"/>
      <c r="W461" s="397"/>
      <c r="X461" s="397"/>
      <c r="Y461" s="397"/>
      <c r="Z461" s="397"/>
      <c r="AA461" s="397"/>
      <c r="AB461" s="397"/>
      <c r="AC461" s="397"/>
      <c r="AD461" s="397"/>
      <c r="AE461" s="397"/>
      <c r="AF461" s="397"/>
      <c r="AG461" s="398"/>
    </row>
    <row r="462" spans="1:34" ht="15.75" hidden="1" customHeight="1" x14ac:dyDescent="0.2">
      <c r="D462" s="262" t="s">
        <v>181</v>
      </c>
      <c r="E462" s="262"/>
      <c r="F462" s="262"/>
      <c r="G462" s="262"/>
      <c r="H462" s="262"/>
      <c r="I462" s="262"/>
      <c r="J462" s="262"/>
      <c r="K462" s="262"/>
      <c r="L462" s="262"/>
      <c r="M462" s="262"/>
      <c r="N462" s="262"/>
      <c r="O462" s="262"/>
      <c r="P462" s="262"/>
      <c r="Q462" s="262"/>
      <c r="R462" s="396">
        <f>+R456</f>
        <v>658369</v>
      </c>
      <c r="S462" s="397"/>
      <c r="T462" s="397"/>
      <c r="U462" s="397"/>
      <c r="V462" s="397"/>
      <c r="W462" s="397"/>
      <c r="X462" s="397"/>
      <c r="Y462" s="397"/>
      <c r="Z462" s="397"/>
      <c r="AA462" s="397"/>
      <c r="AB462" s="397"/>
      <c r="AC462" s="397"/>
      <c r="AD462" s="397"/>
      <c r="AE462" s="397"/>
      <c r="AF462" s="397"/>
      <c r="AG462" s="398"/>
    </row>
    <row r="463" spans="1:34" ht="15.75" hidden="1" customHeight="1" x14ac:dyDescent="0.2">
      <c r="D463" s="399" t="s">
        <v>183</v>
      </c>
      <c r="E463" s="400"/>
      <c r="F463" s="400"/>
      <c r="G463" s="400"/>
      <c r="H463" s="400"/>
      <c r="I463" s="400"/>
      <c r="J463" s="400"/>
      <c r="K463" s="400"/>
      <c r="L463" s="400"/>
      <c r="M463" s="400"/>
      <c r="N463" s="400"/>
      <c r="O463" s="400"/>
      <c r="P463" s="400"/>
      <c r="Q463" s="401"/>
      <c r="R463" s="396"/>
      <c r="S463" s="397"/>
      <c r="T463" s="397"/>
      <c r="U463" s="397"/>
      <c r="V463" s="397"/>
      <c r="W463" s="397"/>
      <c r="X463" s="397"/>
      <c r="Y463" s="397"/>
      <c r="Z463" s="397"/>
      <c r="AA463" s="397"/>
      <c r="AB463" s="397"/>
      <c r="AC463" s="397"/>
      <c r="AD463" s="397"/>
      <c r="AE463" s="397"/>
      <c r="AF463" s="397"/>
      <c r="AG463" s="398"/>
    </row>
    <row r="464" spans="1:34" ht="15.75" hidden="1" customHeight="1" thickBot="1" x14ac:dyDescent="0.25">
      <c r="D464" s="402" t="s">
        <v>189</v>
      </c>
      <c r="E464" s="403"/>
      <c r="F464" s="403"/>
      <c r="G464" s="403"/>
      <c r="H464" s="403"/>
      <c r="I464" s="403"/>
      <c r="J464" s="403"/>
      <c r="K464" s="403"/>
      <c r="L464" s="403"/>
      <c r="M464" s="403"/>
      <c r="N464" s="403"/>
      <c r="O464" s="403"/>
      <c r="P464" s="403"/>
      <c r="Q464" s="404"/>
      <c r="R464" s="396">
        <f>SUM(R458:AG463)</f>
        <v>658369</v>
      </c>
      <c r="S464" s="397"/>
      <c r="T464" s="397"/>
      <c r="U464" s="397"/>
      <c r="V464" s="397"/>
      <c r="W464" s="397"/>
      <c r="X464" s="397"/>
      <c r="Y464" s="397"/>
      <c r="Z464" s="397"/>
      <c r="AA464" s="397"/>
      <c r="AB464" s="397"/>
      <c r="AC464" s="397"/>
      <c r="AD464" s="397"/>
      <c r="AE464" s="397"/>
      <c r="AF464" s="397"/>
      <c r="AG464" s="398"/>
    </row>
    <row r="465" spans="1:35" ht="15.75" hidden="1" customHeight="1" x14ac:dyDescent="0.2">
      <c r="D465" s="33"/>
      <c r="E465" s="33"/>
      <c r="F465" s="33"/>
      <c r="G465" s="33"/>
      <c r="H465" s="33"/>
      <c r="I465" s="33"/>
      <c r="J465" s="33"/>
      <c r="K465" s="33"/>
      <c r="L465" s="33"/>
      <c r="M465" s="33"/>
      <c r="N465" s="33"/>
      <c r="O465" s="33"/>
      <c r="P465" s="33"/>
      <c r="Q465" s="33"/>
      <c r="R465" s="77"/>
      <c r="S465" s="77"/>
      <c r="T465" s="77"/>
      <c r="U465" s="77"/>
      <c r="V465" s="77"/>
      <c r="W465" s="77"/>
      <c r="X465" s="77"/>
      <c r="Y465" s="77"/>
      <c r="Z465" s="77"/>
      <c r="AA465" s="77"/>
      <c r="AB465" s="77"/>
      <c r="AC465" s="77"/>
      <c r="AD465" s="77"/>
      <c r="AE465" s="77"/>
      <c r="AF465" s="77"/>
      <c r="AG465" s="77"/>
    </row>
    <row r="466" spans="1:35" ht="15.75" customHeight="1" x14ac:dyDescent="0.25">
      <c r="D466" s="41" t="s">
        <v>386</v>
      </c>
      <c r="E466" s="77"/>
      <c r="F466" s="77"/>
      <c r="G466" s="77"/>
      <c r="H466" s="77"/>
      <c r="I466" s="77"/>
      <c r="J466" s="77"/>
      <c r="K466" s="77"/>
      <c r="L466" s="77"/>
      <c r="M466" s="77"/>
      <c r="N466" s="77"/>
      <c r="O466" s="77"/>
      <c r="P466" s="77"/>
      <c r="Q466" s="77"/>
      <c r="R466" s="77"/>
      <c r="S466" s="77"/>
      <c r="T466" s="77"/>
      <c r="U466" s="77"/>
      <c r="V466" s="77"/>
      <c r="W466" s="77"/>
      <c r="X466" s="77"/>
      <c r="Y466" s="77"/>
      <c r="Z466" s="77"/>
      <c r="AA466" s="77"/>
      <c r="AB466" s="77"/>
      <c r="AC466" s="77"/>
      <c r="AD466" s="77"/>
      <c r="AE466" s="77"/>
      <c r="AF466" s="77"/>
      <c r="AG466" s="77"/>
    </row>
    <row r="467" spans="1:35" ht="14.25" customHeight="1" x14ac:dyDescent="0.2">
      <c r="D467" s="77"/>
      <c r="E467" s="77"/>
      <c r="F467" s="77"/>
      <c r="G467" s="77"/>
      <c r="H467" s="77"/>
      <c r="I467" s="77"/>
      <c r="J467" s="77"/>
      <c r="K467" s="77"/>
      <c r="L467" s="77"/>
      <c r="M467" s="77"/>
      <c r="N467" s="77"/>
      <c r="O467" s="77"/>
      <c r="P467" s="77"/>
      <c r="Q467" s="77"/>
      <c r="R467" s="77"/>
      <c r="S467" s="77"/>
      <c r="T467" s="77"/>
      <c r="U467" s="77"/>
      <c r="V467" s="77"/>
      <c r="W467" s="77"/>
      <c r="X467" s="77"/>
      <c r="Y467" s="77"/>
      <c r="Z467" s="77"/>
      <c r="AA467" s="77"/>
      <c r="AB467" s="77"/>
      <c r="AC467" s="77"/>
      <c r="AD467" s="77"/>
      <c r="AE467" s="77"/>
      <c r="AF467" s="77"/>
      <c r="AG467" s="77"/>
    </row>
    <row r="468" spans="1:35" ht="14.25" customHeight="1" x14ac:dyDescent="0.2">
      <c r="D468" s="364" t="s">
        <v>190</v>
      </c>
      <c r="E468" s="364"/>
      <c r="F468" s="364"/>
      <c r="G468" s="364"/>
      <c r="H468" s="364"/>
      <c r="I468" s="364"/>
      <c r="J468" s="364"/>
      <c r="K468" s="364"/>
      <c r="L468" s="364"/>
      <c r="M468" s="364"/>
      <c r="N468" s="364"/>
      <c r="O468" s="364"/>
      <c r="P468" s="364"/>
      <c r="Q468" s="364"/>
      <c r="R468" s="364"/>
      <c r="S468" s="364"/>
      <c r="T468" s="364"/>
      <c r="U468" s="364"/>
      <c r="V468" s="364"/>
      <c r="W468" s="364"/>
      <c r="X468" s="364"/>
      <c r="Y468" s="364"/>
      <c r="Z468" s="364"/>
      <c r="AA468" s="364"/>
      <c r="AB468" s="364"/>
      <c r="AC468" s="364"/>
      <c r="AD468" s="364"/>
      <c r="AE468" s="364"/>
      <c r="AF468" s="364"/>
      <c r="AG468" s="364"/>
    </row>
    <row r="469" spans="1:35" ht="14.25" customHeight="1" thickBot="1" x14ac:dyDescent="0.25">
      <c r="D469" s="77"/>
      <c r="E469" s="77"/>
      <c r="F469" s="77"/>
      <c r="G469" s="77"/>
      <c r="H469" s="77"/>
      <c r="I469" s="77"/>
      <c r="J469" s="77"/>
      <c r="K469" s="77"/>
      <c r="L469" s="77"/>
      <c r="M469" s="77"/>
      <c r="N469" s="77"/>
      <c r="O469" s="77"/>
      <c r="P469" s="77"/>
      <c r="Q469" s="77"/>
      <c r="R469" s="77"/>
      <c r="S469" s="77"/>
      <c r="T469" s="77"/>
      <c r="U469" s="77"/>
      <c r="V469" s="77"/>
      <c r="W469" s="77"/>
      <c r="X469" s="77"/>
      <c r="Y469" s="77"/>
      <c r="Z469" s="77"/>
      <c r="AA469" s="77"/>
      <c r="AB469" s="77"/>
      <c r="AC469" s="77"/>
      <c r="AD469" s="77"/>
      <c r="AE469" s="77"/>
      <c r="AF469" s="77"/>
      <c r="AG469" s="77"/>
    </row>
    <row r="470" spans="1:35" ht="14.25" customHeight="1" x14ac:dyDescent="0.2">
      <c r="D470" s="419" t="s">
        <v>15</v>
      </c>
      <c r="E470" s="420"/>
      <c r="F470" s="420"/>
      <c r="G470" s="420"/>
      <c r="H470" s="420"/>
      <c r="I470" s="420" t="s">
        <v>16</v>
      </c>
      <c r="J470" s="420"/>
      <c r="K470" s="420"/>
      <c r="L470" s="420"/>
      <c r="M470" s="420"/>
      <c r="N470" s="420"/>
      <c r="O470" s="420"/>
      <c r="P470" s="420"/>
      <c r="Q470" s="420"/>
      <c r="R470" s="420"/>
      <c r="S470" s="420"/>
      <c r="T470" s="420"/>
      <c r="U470" s="420"/>
      <c r="V470" s="420"/>
      <c r="W470" s="420"/>
      <c r="X470" s="420"/>
      <c r="Y470" s="420"/>
      <c r="Z470" s="420"/>
      <c r="AA470" s="420"/>
      <c r="AB470" s="420"/>
      <c r="AC470" s="420"/>
      <c r="AD470" s="420"/>
      <c r="AE470" s="420"/>
      <c r="AF470" s="420"/>
      <c r="AG470" s="423"/>
    </row>
    <row r="471" spans="1:35" ht="36.75" customHeight="1" x14ac:dyDescent="0.2">
      <c r="D471" s="421"/>
      <c r="E471" s="422"/>
      <c r="F471" s="422"/>
      <c r="G471" s="422"/>
      <c r="H471" s="422"/>
      <c r="I471" s="424" t="s">
        <v>93</v>
      </c>
      <c r="J471" s="424"/>
      <c r="K471" s="424"/>
      <c r="L471" s="424"/>
      <c r="M471" s="424"/>
      <c r="N471" s="424" t="s">
        <v>191</v>
      </c>
      <c r="O471" s="424"/>
      <c r="P471" s="424"/>
      <c r="Q471" s="424"/>
      <c r="R471" s="424"/>
      <c r="S471" s="424" t="s">
        <v>192</v>
      </c>
      <c r="T471" s="424"/>
      <c r="U471" s="424"/>
      <c r="V471" s="424"/>
      <c r="W471" s="424"/>
      <c r="X471" s="424" t="s">
        <v>193</v>
      </c>
      <c r="Y471" s="424"/>
      <c r="Z471" s="424"/>
      <c r="AA471" s="424"/>
      <c r="AB471" s="424"/>
      <c r="AC471" s="424" t="s">
        <v>91</v>
      </c>
      <c r="AD471" s="424"/>
      <c r="AE471" s="424"/>
      <c r="AF471" s="424"/>
      <c r="AG471" s="425"/>
    </row>
    <row r="472" spans="1:35" ht="34.5" customHeight="1" x14ac:dyDescent="0.2">
      <c r="A472" s="3" t="s">
        <v>194</v>
      </c>
      <c r="D472" s="417" t="s">
        <v>195</v>
      </c>
      <c r="E472" s="418"/>
      <c r="F472" s="418"/>
      <c r="G472" s="418"/>
      <c r="H472" s="418"/>
      <c r="I472" s="221">
        <v>0</v>
      </c>
      <c r="J472" s="221"/>
      <c r="K472" s="221"/>
      <c r="L472" s="221"/>
      <c r="M472" s="221"/>
      <c r="N472" s="221"/>
      <c r="O472" s="221"/>
      <c r="P472" s="221"/>
      <c r="Q472" s="221"/>
      <c r="R472" s="221"/>
      <c r="S472" s="221"/>
      <c r="T472" s="221"/>
      <c r="U472" s="221"/>
      <c r="V472" s="221"/>
      <c r="W472" s="221"/>
      <c r="X472" s="221"/>
      <c r="Y472" s="221"/>
      <c r="Z472" s="221"/>
      <c r="AA472" s="221"/>
      <c r="AB472" s="221"/>
      <c r="AC472" s="221">
        <f t="shared" ref="AC472" si="19">SUM(I472:AB472)</f>
        <v>0</v>
      </c>
      <c r="AD472" s="221"/>
      <c r="AE472" s="221"/>
      <c r="AF472" s="221"/>
      <c r="AG472" s="343"/>
    </row>
    <row r="473" spans="1:35" ht="21.75" customHeight="1" x14ac:dyDescent="0.2">
      <c r="D473" s="417" t="s">
        <v>196</v>
      </c>
      <c r="E473" s="418"/>
      <c r="F473" s="418"/>
      <c r="G473" s="418"/>
      <c r="H473" s="418"/>
      <c r="I473" s="221">
        <f>SUM(I474:M478)</f>
        <v>379170</v>
      </c>
      <c r="J473" s="221"/>
      <c r="K473" s="221"/>
      <c r="L473" s="221"/>
      <c r="M473" s="221"/>
      <c r="N473" s="221">
        <f>SUM(N474:R478)</f>
        <v>391255.11</v>
      </c>
      <c r="O473" s="221"/>
      <c r="P473" s="221"/>
      <c r="Q473" s="221"/>
      <c r="R473" s="221"/>
      <c r="S473" s="221">
        <f>SUM(S474:W478)</f>
        <v>-379170</v>
      </c>
      <c r="T473" s="221"/>
      <c r="U473" s="221"/>
      <c r="V473" s="221"/>
      <c r="W473" s="221"/>
      <c r="X473" s="221">
        <f>SUM(X474:AB478)</f>
        <v>0</v>
      </c>
      <c r="Y473" s="221"/>
      <c r="Z473" s="221"/>
      <c r="AA473" s="221"/>
      <c r="AB473" s="221"/>
      <c r="AC473" s="221">
        <f>SUM(AC474:AG478)</f>
        <v>391255.11</v>
      </c>
      <c r="AD473" s="221"/>
      <c r="AE473" s="221"/>
      <c r="AF473" s="221"/>
      <c r="AG473" s="343"/>
    </row>
    <row r="474" spans="1:35" ht="21.75" customHeight="1" x14ac:dyDescent="0.2">
      <c r="D474" s="426" t="s">
        <v>197</v>
      </c>
      <c r="E474" s="427"/>
      <c r="F474" s="427"/>
      <c r="G474" s="427"/>
      <c r="H474" s="427"/>
      <c r="I474" s="221">
        <f>AC485</f>
        <v>132553</v>
      </c>
      <c r="J474" s="221"/>
      <c r="K474" s="221"/>
      <c r="L474" s="221"/>
      <c r="M474" s="221"/>
      <c r="N474" s="221">
        <f>-VLOOKUP(323450,'Účtovná osnova'!$A$1:$I$1068,6,FALSE)</f>
        <v>113112.54</v>
      </c>
      <c r="O474" s="221"/>
      <c r="P474" s="221"/>
      <c r="Q474" s="221"/>
      <c r="R474" s="221"/>
      <c r="S474" s="221">
        <f>-I474</f>
        <v>-132553</v>
      </c>
      <c r="T474" s="221"/>
      <c r="U474" s="221"/>
      <c r="V474" s="221"/>
      <c r="W474" s="221"/>
      <c r="X474" s="221"/>
      <c r="Y474" s="221"/>
      <c r="Z474" s="221"/>
      <c r="AA474" s="221"/>
      <c r="AB474" s="221"/>
      <c r="AC474" s="221">
        <f t="shared" ref="AC474" si="20">SUM(I474:AB474)</f>
        <v>113112.53999999998</v>
      </c>
      <c r="AD474" s="221"/>
      <c r="AE474" s="221"/>
      <c r="AF474" s="221"/>
      <c r="AG474" s="343"/>
    </row>
    <row r="475" spans="1:35" ht="28.5" customHeight="1" x14ac:dyDescent="0.2">
      <c r="D475" s="426" t="s">
        <v>198</v>
      </c>
      <c r="E475" s="427"/>
      <c r="F475" s="427"/>
      <c r="G475" s="427"/>
      <c r="H475" s="427"/>
      <c r="I475" s="221">
        <f>AC486</f>
        <v>0</v>
      </c>
      <c r="J475" s="221"/>
      <c r="K475" s="221"/>
      <c r="L475" s="221"/>
      <c r="M475" s="221"/>
      <c r="N475" s="221"/>
      <c r="O475" s="221"/>
      <c r="P475" s="221"/>
      <c r="Q475" s="221"/>
      <c r="R475" s="221"/>
      <c r="S475" s="221">
        <f>-I475</f>
        <v>0</v>
      </c>
      <c r="T475" s="221"/>
      <c r="U475" s="221"/>
      <c r="V475" s="221"/>
      <c r="W475" s="221"/>
      <c r="X475" s="221"/>
      <c r="Y475" s="221"/>
      <c r="Z475" s="221"/>
      <c r="AA475" s="221"/>
      <c r="AB475" s="221"/>
      <c r="AC475" s="221">
        <f t="shared" ref="AC475:AC478" si="21">SUM(I475:AB475)</f>
        <v>0</v>
      </c>
      <c r="AD475" s="221"/>
      <c r="AE475" s="221"/>
      <c r="AF475" s="221"/>
      <c r="AG475" s="343"/>
    </row>
    <row r="476" spans="1:35" ht="21.75" customHeight="1" x14ac:dyDescent="0.2">
      <c r="D476" s="426" t="s">
        <v>199</v>
      </c>
      <c r="E476" s="427"/>
      <c r="F476" s="427"/>
      <c r="G476" s="427"/>
      <c r="H476" s="427"/>
      <c r="I476" s="221">
        <f>AC487</f>
        <v>8563</v>
      </c>
      <c r="J476" s="221"/>
      <c r="K476" s="221"/>
      <c r="L476" s="221"/>
      <c r="M476" s="221"/>
      <c r="N476" s="221">
        <f>-SUBTOTAL(9,'[4]Vecné položky'!$K$9:$K$47)</f>
        <v>26930.57</v>
      </c>
      <c r="O476" s="221"/>
      <c r="P476" s="221"/>
      <c r="Q476" s="221"/>
      <c r="R476" s="221"/>
      <c r="S476" s="221">
        <f>-I476</f>
        <v>-8563</v>
      </c>
      <c r="T476" s="221"/>
      <c r="U476" s="221"/>
      <c r="V476" s="221"/>
      <c r="W476" s="221"/>
      <c r="X476" s="221"/>
      <c r="Y476" s="221"/>
      <c r="Z476" s="221"/>
      <c r="AA476" s="221"/>
      <c r="AB476" s="221"/>
      <c r="AC476" s="221">
        <f t="shared" si="21"/>
        <v>26930.57</v>
      </c>
      <c r="AD476" s="221"/>
      <c r="AE476" s="221"/>
      <c r="AF476" s="221"/>
      <c r="AG476" s="343"/>
    </row>
    <row r="477" spans="1:35" ht="21.75" customHeight="1" x14ac:dyDescent="0.2">
      <c r="D477" s="426" t="s">
        <v>447</v>
      </c>
      <c r="E477" s="427"/>
      <c r="F477" s="427"/>
      <c r="G477" s="427"/>
      <c r="H477" s="427"/>
      <c r="I477" s="221">
        <f>AC488</f>
        <v>51020</v>
      </c>
      <c r="J477" s="221"/>
      <c r="K477" s="221"/>
      <c r="L477" s="221"/>
      <c r="M477" s="221"/>
      <c r="N477" s="221">
        <f>-VLOOKUP(323100,'Účtovná osnova'!$A$1:$I$1068,6,FALSE)-N476</f>
        <v>35171</v>
      </c>
      <c r="O477" s="221"/>
      <c r="P477" s="221"/>
      <c r="Q477" s="221"/>
      <c r="R477" s="221"/>
      <c r="S477" s="221">
        <f>-I477</f>
        <v>-51020</v>
      </c>
      <c r="T477" s="221"/>
      <c r="U477" s="221"/>
      <c r="V477" s="221"/>
      <c r="W477" s="221"/>
      <c r="X477" s="221"/>
      <c r="Y477" s="221"/>
      <c r="Z477" s="221"/>
      <c r="AA477" s="221"/>
      <c r="AB477" s="221"/>
      <c r="AC477" s="221">
        <f t="shared" si="21"/>
        <v>35171</v>
      </c>
      <c r="AD477" s="221"/>
      <c r="AE477" s="221"/>
      <c r="AF477" s="221"/>
      <c r="AG477" s="343"/>
    </row>
    <row r="478" spans="1:35" ht="21.75" customHeight="1" thickBot="1" x14ac:dyDescent="0.25">
      <c r="D478" s="428" t="s">
        <v>200</v>
      </c>
      <c r="E478" s="429"/>
      <c r="F478" s="429"/>
      <c r="G478" s="429"/>
      <c r="H478" s="429"/>
      <c r="I478" s="430">
        <f>AC489</f>
        <v>187034</v>
      </c>
      <c r="J478" s="430"/>
      <c r="K478" s="430"/>
      <c r="L478" s="430"/>
      <c r="M478" s="430"/>
      <c r="N478" s="430">
        <f>-VLOOKUP(323500,'Účtovná osnova'!$A$1:$I$1068,6,FALSE)-VLOOKUP(323600,'Účtovná osnova'!$A$1:$I$1068,6,FALSE)</f>
        <v>216041</v>
      </c>
      <c r="O478" s="430"/>
      <c r="P478" s="430"/>
      <c r="Q478" s="430"/>
      <c r="R478" s="430"/>
      <c r="S478" s="430">
        <f>-I478</f>
        <v>-187034</v>
      </c>
      <c r="T478" s="430"/>
      <c r="U478" s="430"/>
      <c r="V478" s="430"/>
      <c r="W478" s="430"/>
      <c r="X478" s="430"/>
      <c r="Y478" s="430"/>
      <c r="Z478" s="430"/>
      <c r="AA478" s="430"/>
      <c r="AB478" s="430"/>
      <c r="AC478" s="430">
        <f t="shared" si="21"/>
        <v>216041</v>
      </c>
      <c r="AD478" s="430"/>
      <c r="AE478" s="430"/>
      <c r="AF478" s="430"/>
      <c r="AG478" s="431"/>
      <c r="AI478" s="82"/>
    </row>
    <row r="479" spans="1:35" ht="21.75" customHeight="1" x14ac:dyDescent="0.2">
      <c r="D479" s="166" t="s">
        <v>1684</v>
      </c>
      <c r="E479" s="77"/>
      <c r="F479" s="77"/>
      <c r="G479" s="77"/>
      <c r="H479" s="77"/>
      <c r="I479" s="77"/>
      <c r="J479" s="77"/>
      <c r="K479" s="77"/>
      <c r="L479" s="77"/>
      <c r="M479" s="77"/>
      <c r="N479" s="77"/>
      <c r="O479" s="77"/>
      <c r="P479" s="77"/>
      <c r="Q479" s="77"/>
      <c r="R479" s="77"/>
      <c r="S479" s="77"/>
      <c r="T479" s="77"/>
      <c r="U479" s="77"/>
      <c r="V479" s="77"/>
      <c r="W479" s="77"/>
      <c r="X479" s="77"/>
      <c r="Y479" s="77"/>
      <c r="Z479" s="77"/>
      <c r="AA479" s="77"/>
      <c r="AB479" s="77"/>
      <c r="AC479" s="77"/>
      <c r="AD479" s="77"/>
      <c r="AE479" s="77"/>
      <c r="AF479" s="77"/>
      <c r="AG479" s="77"/>
    </row>
    <row r="480" spans="1:35" ht="21.75" customHeight="1" thickBot="1" x14ac:dyDescent="0.25">
      <c r="A480" s="25"/>
      <c r="D480" s="77"/>
      <c r="E480" s="77"/>
      <c r="F480" s="77"/>
      <c r="G480" s="77"/>
      <c r="H480" s="77"/>
      <c r="I480" s="77"/>
      <c r="J480" s="77"/>
      <c r="K480" s="77"/>
      <c r="L480" s="77"/>
      <c r="M480" s="77"/>
      <c r="N480" s="77"/>
      <c r="O480" s="77"/>
      <c r="P480" s="77"/>
      <c r="Q480" s="77"/>
      <c r="R480" s="77"/>
      <c r="S480" s="77"/>
      <c r="T480" s="77"/>
      <c r="U480" s="77"/>
      <c r="V480" s="77"/>
      <c r="W480" s="77"/>
      <c r="X480" s="77"/>
      <c r="Y480" s="77"/>
      <c r="Z480" s="77"/>
      <c r="AA480" s="77"/>
      <c r="AB480" s="77"/>
      <c r="AC480" s="77"/>
      <c r="AD480" s="77"/>
      <c r="AE480" s="77"/>
      <c r="AF480" s="77"/>
      <c r="AG480" s="77"/>
    </row>
    <row r="481" spans="1:33" ht="14.25" customHeight="1" x14ac:dyDescent="0.2">
      <c r="D481" s="419" t="s">
        <v>15</v>
      </c>
      <c r="E481" s="420"/>
      <c r="F481" s="420"/>
      <c r="G481" s="420"/>
      <c r="H481" s="420"/>
      <c r="I481" s="420" t="s">
        <v>17</v>
      </c>
      <c r="J481" s="420"/>
      <c r="K481" s="420"/>
      <c r="L481" s="420"/>
      <c r="M481" s="420"/>
      <c r="N481" s="420"/>
      <c r="O481" s="420"/>
      <c r="P481" s="420"/>
      <c r="Q481" s="420"/>
      <c r="R481" s="420"/>
      <c r="S481" s="420"/>
      <c r="T481" s="420"/>
      <c r="U481" s="420"/>
      <c r="V481" s="420"/>
      <c r="W481" s="420"/>
      <c r="X481" s="420"/>
      <c r="Y481" s="420"/>
      <c r="Z481" s="420"/>
      <c r="AA481" s="420"/>
      <c r="AB481" s="420"/>
      <c r="AC481" s="420"/>
      <c r="AD481" s="420"/>
      <c r="AE481" s="420"/>
      <c r="AF481" s="420"/>
      <c r="AG481" s="423"/>
    </row>
    <row r="482" spans="1:33" ht="29.25" customHeight="1" x14ac:dyDescent="0.2">
      <c r="D482" s="421"/>
      <c r="E482" s="422"/>
      <c r="F482" s="422"/>
      <c r="G482" s="422"/>
      <c r="H482" s="422"/>
      <c r="I482" s="424" t="s">
        <v>93</v>
      </c>
      <c r="J482" s="424"/>
      <c r="K482" s="424"/>
      <c r="L482" s="424"/>
      <c r="M482" s="424"/>
      <c r="N482" s="424" t="s">
        <v>191</v>
      </c>
      <c r="O482" s="424"/>
      <c r="P482" s="424"/>
      <c r="Q482" s="424"/>
      <c r="R482" s="424"/>
      <c r="S482" s="424" t="s">
        <v>192</v>
      </c>
      <c r="T482" s="424"/>
      <c r="U482" s="424"/>
      <c r="V482" s="424"/>
      <c r="W482" s="424"/>
      <c r="X482" s="424" t="s">
        <v>193</v>
      </c>
      <c r="Y482" s="424"/>
      <c r="Z482" s="424"/>
      <c r="AA482" s="424"/>
      <c r="AB482" s="424"/>
      <c r="AC482" s="424" t="s">
        <v>91</v>
      </c>
      <c r="AD482" s="424"/>
      <c r="AE482" s="424"/>
      <c r="AF482" s="424"/>
      <c r="AG482" s="425"/>
    </row>
    <row r="483" spans="1:33" ht="33.75" customHeight="1" x14ac:dyDescent="0.2">
      <c r="A483" s="3" t="s">
        <v>201</v>
      </c>
      <c r="D483" s="417" t="s">
        <v>195</v>
      </c>
      <c r="E483" s="418"/>
      <c r="F483" s="418"/>
      <c r="G483" s="418"/>
      <c r="H483" s="418"/>
      <c r="I483" s="432">
        <v>0</v>
      </c>
      <c r="J483" s="432"/>
      <c r="K483" s="432"/>
      <c r="L483" s="432"/>
      <c r="M483" s="432"/>
      <c r="N483" s="432"/>
      <c r="O483" s="432"/>
      <c r="P483" s="432"/>
      <c r="Q483" s="432"/>
      <c r="R483" s="432"/>
      <c r="S483" s="432"/>
      <c r="T483" s="432"/>
      <c r="U483" s="432"/>
      <c r="V483" s="432"/>
      <c r="W483" s="432"/>
      <c r="X483" s="432"/>
      <c r="Y483" s="432"/>
      <c r="Z483" s="432"/>
      <c r="AA483" s="432"/>
      <c r="AB483" s="432"/>
      <c r="AC483" s="432">
        <v>0</v>
      </c>
      <c r="AD483" s="432"/>
      <c r="AE483" s="432"/>
      <c r="AF483" s="432"/>
      <c r="AG483" s="433"/>
    </row>
    <row r="484" spans="1:33" ht="21.75" customHeight="1" x14ac:dyDescent="0.2">
      <c r="D484" s="417" t="s">
        <v>196</v>
      </c>
      <c r="E484" s="418"/>
      <c r="F484" s="418"/>
      <c r="G484" s="418"/>
      <c r="H484" s="418"/>
      <c r="I484" s="435">
        <f>SUM(I485:M489)</f>
        <v>331491</v>
      </c>
      <c r="J484" s="436"/>
      <c r="K484" s="436"/>
      <c r="L484" s="436"/>
      <c r="M484" s="437"/>
      <c r="N484" s="432">
        <f>SUM(N485:R489)</f>
        <v>379170</v>
      </c>
      <c r="O484" s="432"/>
      <c r="P484" s="432"/>
      <c r="Q484" s="432"/>
      <c r="R484" s="432"/>
      <c r="S484" s="432">
        <f>SUM(S485:W489)</f>
        <v>-331491</v>
      </c>
      <c r="T484" s="432"/>
      <c r="U484" s="432"/>
      <c r="V484" s="432"/>
      <c r="W484" s="432"/>
      <c r="X484" s="432">
        <f>SUM(X485:AB489)</f>
        <v>0</v>
      </c>
      <c r="Y484" s="432"/>
      <c r="Z484" s="432"/>
      <c r="AA484" s="432"/>
      <c r="AB484" s="432"/>
      <c r="AC484" s="432">
        <f t="shared" ref="AC484:AC489" si="22">SUM(I484:AB484)</f>
        <v>379170</v>
      </c>
      <c r="AD484" s="432"/>
      <c r="AE484" s="432"/>
      <c r="AF484" s="432"/>
      <c r="AG484" s="433"/>
    </row>
    <row r="485" spans="1:33" ht="21.75" customHeight="1" x14ac:dyDescent="0.2">
      <c r="D485" s="426" t="s">
        <v>197</v>
      </c>
      <c r="E485" s="427"/>
      <c r="F485" s="427"/>
      <c r="G485" s="427"/>
      <c r="H485" s="427"/>
      <c r="I485" s="434">
        <v>109776</v>
      </c>
      <c r="J485" s="434"/>
      <c r="K485" s="434"/>
      <c r="L485" s="434"/>
      <c r="M485" s="434"/>
      <c r="N485" s="434">
        <v>132553</v>
      </c>
      <c r="O485" s="434"/>
      <c r="P485" s="434"/>
      <c r="Q485" s="434"/>
      <c r="R485" s="434"/>
      <c r="S485" s="432">
        <f>-I485</f>
        <v>-109776</v>
      </c>
      <c r="T485" s="432"/>
      <c r="U485" s="432"/>
      <c r="V485" s="432"/>
      <c r="W485" s="432"/>
      <c r="X485" s="432"/>
      <c r="Y485" s="432"/>
      <c r="Z485" s="432"/>
      <c r="AA485" s="432"/>
      <c r="AB485" s="432"/>
      <c r="AC485" s="432">
        <f t="shared" si="22"/>
        <v>132553</v>
      </c>
      <c r="AD485" s="432"/>
      <c r="AE485" s="432"/>
      <c r="AF485" s="432"/>
      <c r="AG485" s="433"/>
    </row>
    <row r="486" spans="1:33" ht="28.5" customHeight="1" x14ac:dyDescent="0.2">
      <c r="D486" s="426" t="s">
        <v>198</v>
      </c>
      <c r="E486" s="427"/>
      <c r="F486" s="427"/>
      <c r="G486" s="427"/>
      <c r="H486" s="427"/>
      <c r="I486" s="432">
        <v>0</v>
      </c>
      <c r="J486" s="432"/>
      <c r="K486" s="432"/>
      <c r="L486" s="432"/>
      <c r="M486" s="432"/>
      <c r="N486" s="432"/>
      <c r="O486" s="432"/>
      <c r="P486" s="432"/>
      <c r="Q486" s="432"/>
      <c r="R486" s="432"/>
      <c r="S486" s="432">
        <f>-I486</f>
        <v>0</v>
      </c>
      <c r="T486" s="432"/>
      <c r="U486" s="432"/>
      <c r="V486" s="432"/>
      <c r="W486" s="432"/>
      <c r="X486" s="432"/>
      <c r="Y486" s="432"/>
      <c r="Z486" s="432"/>
      <c r="AA486" s="432"/>
      <c r="AB486" s="432"/>
      <c r="AC486" s="432">
        <f t="shared" si="22"/>
        <v>0</v>
      </c>
      <c r="AD486" s="432"/>
      <c r="AE486" s="432"/>
      <c r="AF486" s="432"/>
      <c r="AG486" s="433"/>
    </row>
    <row r="487" spans="1:33" ht="21.75" customHeight="1" x14ac:dyDescent="0.2">
      <c r="D487" s="426" t="s">
        <v>199</v>
      </c>
      <c r="E487" s="427"/>
      <c r="F487" s="427"/>
      <c r="G487" s="427"/>
      <c r="H487" s="427"/>
      <c r="I487" s="434">
        <v>8983</v>
      </c>
      <c r="J487" s="434"/>
      <c r="K487" s="434"/>
      <c r="L487" s="434"/>
      <c r="M487" s="434"/>
      <c r="N487" s="434">
        <v>8563</v>
      </c>
      <c r="O487" s="434"/>
      <c r="P487" s="434"/>
      <c r="Q487" s="434"/>
      <c r="R487" s="434"/>
      <c r="S487" s="432">
        <f>-I487</f>
        <v>-8983</v>
      </c>
      <c r="T487" s="432"/>
      <c r="U487" s="432"/>
      <c r="V487" s="432"/>
      <c r="W487" s="432"/>
      <c r="X487" s="432"/>
      <c r="Y487" s="432"/>
      <c r="Z487" s="432"/>
      <c r="AA487" s="432"/>
      <c r="AB487" s="432"/>
      <c r="AC487" s="432">
        <f>SUM(I487:AB487)</f>
        <v>8563</v>
      </c>
      <c r="AD487" s="432"/>
      <c r="AE487" s="432"/>
      <c r="AF487" s="432"/>
      <c r="AG487" s="433"/>
    </row>
    <row r="488" spans="1:33" ht="21.75" customHeight="1" x14ac:dyDescent="0.2">
      <c r="D488" s="426" t="s">
        <v>202</v>
      </c>
      <c r="E488" s="427"/>
      <c r="F488" s="427"/>
      <c r="G488" s="427"/>
      <c r="H488" s="427"/>
      <c r="I488" s="434">
        <v>41041</v>
      </c>
      <c r="J488" s="434"/>
      <c r="K488" s="434"/>
      <c r="L488" s="434"/>
      <c r="M488" s="434"/>
      <c r="N488" s="434">
        <v>51020</v>
      </c>
      <c r="O488" s="434"/>
      <c r="P488" s="434"/>
      <c r="Q488" s="434"/>
      <c r="R488" s="434"/>
      <c r="S488" s="432">
        <f>-I488</f>
        <v>-41041</v>
      </c>
      <c r="T488" s="432"/>
      <c r="U488" s="432"/>
      <c r="V488" s="432"/>
      <c r="W488" s="432"/>
      <c r="X488" s="432"/>
      <c r="Y488" s="432"/>
      <c r="Z488" s="432"/>
      <c r="AA488" s="432"/>
      <c r="AB488" s="432"/>
      <c r="AC488" s="432">
        <f t="shared" si="22"/>
        <v>51020</v>
      </c>
      <c r="AD488" s="432"/>
      <c r="AE488" s="432"/>
      <c r="AF488" s="432"/>
      <c r="AG488" s="433"/>
    </row>
    <row r="489" spans="1:33" ht="21.75" customHeight="1" thickBot="1" x14ac:dyDescent="0.25">
      <c r="D489" s="428" t="s">
        <v>200</v>
      </c>
      <c r="E489" s="429"/>
      <c r="F489" s="429"/>
      <c r="G489" s="429"/>
      <c r="H489" s="429"/>
      <c r="I489" s="438">
        <v>171691</v>
      </c>
      <c r="J489" s="438"/>
      <c r="K489" s="438"/>
      <c r="L489" s="438"/>
      <c r="M489" s="438"/>
      <c r="N489" s="438">
        <v>187034</v>
      </c>
      <c r="O489" s="438"/>
      <c r="P489" s="438"/>
      <c r="Q489" s="438"/>
      <c r="R489" s="438"/>
      <c r="S489" s="439">
        <f>-I489</f>
        <v>-171691</v>
      </c>
      <c r="T489" s="439"/>
      <c r="U489" s="439"/>
      <c r="V489" s="439"/>
      <c r="W489" s="439"/>
      <c r="X489" s="439"/>
      <c r="Y489" s="439"/>
      <c r="Z489" s="439"/>
      <c r="AA489" s="439"/>
      <c r="AB489" s="439"/>
      <c r="AC489" s="439">
        <f t="shared" si="22"/>
        <v>187034</v>
      </c>
      <c r="AD489" s="439"/>
      <c r="AE489" s="439"/>
      <c r="AF489" s="439"/>
      <c r="AG489" s="440"/>
    </row>
    <row r="490" spans="1:33" ht="15" customHeight="1" x14ac:dyDescent="0.2">
      <c r="D490" s="77"/>
      <c r="E490" s="77"/>
      <c r="F490" s="77"/>
      <c r="G490" s="77"/>
      <c r="H490" s="77"/>
      <c r="I490" s="77"/>
      <c r="J490" s="77"/>
      <c r="K490" s="77"/>
      <c r="L490" s="77"/>
      <c r="M490" s="77"/>
      <c r="N490" s="77"/>
      <c r="O490" s="77"/>
      <c r="P490" s="77"/>
      <c r="Q490" s="77"/>
      <c r="R490" s="77"/>
      <c r="S490" s="77"/>
      <c r="T490" s="77"/>
      <c r="U490" s="77"/>
      <c r="V490" s="77"/>
      <c r="W490" s="77"/>
      <c r="X490" s="77"/>
      <c r="Y490" s="77"/>
      <c r="Z490" s="77"/>
      <c r="AA490" s="77"/>
      <c r="AB490" s="77"/>
      <c r="AC490" s="77"/>
      <c r="AD490" s="77"/>
      <c r="AE490" s="77"/>
      <c r="AF490" s="77"/>
      <c r="AG490" s="77"/>
    </row>
    <row r="491" spans="1:33" ht="14.25" customHeight="1" x14ac:dyDescent="0.25">
      <c r="D491" s="41" t="s">
        <v>387</v>
      </c>
      <c r="E491" s="33"/>
      <c r="F491" s="33"/>
      <c r="G491" s="33"/>
      <c r="H491" s="33"/>
      <c r="I491" s="33"/>
      <c r="J491" s="33"/>
      <c r="K491" s="33"/>
      <c r="L491" s="33"/>
      <c r="M491" s="33"/>
      <c r="N491" s="33"/>
      <c r="O491" s="33"/>
      <c r="P491" s="33"/>
      <c r="Q491" s="33"/>
      <c r="R491" s="33"/>
      <c r="S491" s="33"/>
      <c r="T491" s="33"/>
      <c r="U491" s="33"/>
      <c r="V491" s="33"/>
      <c r="W491" s="33"/>
      <c r="X491" s="33"/>
      <c r="Y491" s="33"/>
      <c r="Z491" s="33"/>
      <c r="AA491" s="33"/>
      <c r="AB491" s="33"/>
      <c r="AC491" s="33"/>
      <c r="AD491" s="33"/>
      <c r="AE491" s="33"/>
      <c r="AF491" s="33"/>
      <c r="AG491" s="33"/>
    </row>
    <row r="492" spans="1:33" ht="9.75" customHeight="1" x14ac:dyDescent="0.2">
      <c r="D492" s="33"/>
      <c r="E492" s="33"/>
      <c r="F492" s="33"/>
      <c r="G492" s="33"/>
      <c r="H492" s="33"/>
      <c r="I492" s="33"/>
      <c r="J492" s="33"/>
      <c r="K492" s="33"/>
      <c r="L492" s="33"/>
      <c r="M492" s="33"/>
      <c r="N492" s="33"/>
      <c r="O492" s="33"/>
      <c r="P492" s="33"/>
      <c r="Q492" s="33"/>
      <c r="R492" s="33"/>
      <c r="S492" s="33"/>
      <c r="T492" s="33"/>
      <c r="U492" s="33"/>
      <c r="V492" s="33"/>
      <c r="W492" s="33"/>
      <c r="X492" s="33"/>
      <c r="Y492" s="33"/>
      <c r="Z492" s="33"/>
      <c r="AA492" s="33"/>
      <c r="AB492" s="33"/>
      <c r="AC492" s="33"/>
      <c r="AD492" s="33"/>
      <c r="AE492" s="33"/>
      <c r="AF492" s="33"/>
      <c r="AG492" s="33"/>
    </row>
    <row r="493" spans="1:33" ht="14.25" customHeight="1" thickBot="1" x14ac:dyDescent="0.25">
      <c r="D493" s="364" t="s">
        <v>203</v>
      </c>
      <c r="E493" s="364"/>
      <c r="F493" s="364"/>
      <c r="G493" s="364"/>
      <c r="H493" s="364"/>
      <c r="I493" s="364"/>
      <c r="J493" s="364"/>
      <c r="K493" s="364"/>
      <c r="L493" s="364"/>
      <c r="M493" s="364"/>
      <c r="N493" s="364"/>
      <c r="O493" s="364"/>
      <c r="P493" s="364"/>
      <c r="Q493" s="364"/>
      <c r="R493" s="364"/>
      <c r="S493" s="364"/>
      <c r="T493" s="364"/>
      <c r="U493" s="364"/>
      <c r="V493" s="364"/>
      <c r="W493" s="364"/>
      <c r="X493" s="364"/>
      <c r="Y493" s="364"/>
      <c r="Z493" s="364"/>
      <c r="AA493" s="364"/>
      <c r="AB493" s="364"/>
      <c r="AC493" s="364"/>
      <c r="AD493" s="364"/>
      <c r="AE493" s="364"/>
      <c r="AF493" s="364"/>
      <c r="AG493" s="364"/>
    </row>
    <row r="494" spans="1:33" ht="24.75" customHeight="1" thickBot="1" x14ac:dyDescent="0.25">
      <c r="D494" s="365" t="s">
        <v>145</v>
      </c>
      <c r="E494" s="366"/>
      <c r="F494" s="366"/>
      <c r="G494" s="366"/>
      <c r="H494" s="366"/>
      <c r="I494" s="366"/>
      <c r="J494" s="366"/>
      <c r="K494" s="366"/>
      <c r="L494" s="366"/>
      <c r="M494" s="367"/>
      <c r="N494" s="365" t="s">
        <v>16</v>
      </c>
      <c r="O494" s="366"/>
      <c r="P494" s="366"/>
      <c r="Q494" s="366"/>
      <c r="R494" s="366"/>
      <c r="S494" s="366"/>
      <c r="T494" s="366"/>
      <c r="U494" s="366"/>
      <c r="V494" s="366"/>
      <c r="W494" s="367"/>
      <c r="X494" s="365" t="s">
        <v>17</v>
      </c>
      <c r="Y494" s="366"/>
      <c r="Z494" s="366"/>
      <c r="AA494" s="366"/>
      <c r="AB494" s="366"/>
      <c r="AC494" s="366"/>
      <c r="AD494" s="366"/>
      <c r="AE494" s="366"/>
      <c r="AF494" s="366"/>
      <c r="AG494" s="367"/>
    </row>
    <row r="495" spans="1:33" ht="14.25" customHeight="1" thickBot="1" x14ac:dyDescent="0.25">
      <c r="D495" s="293" t="s">
        <v>204</v>
      </c>
      <c r="E495" s="294"/>
      <c r="F495" s="294"/>
      <c r="G495" s="294"/>
      <c r="H495" s="294"/>
      <c r="I495" s="294"/>
      <c r="J495" s="294"/>
      <c r="K495" s="294"/>
      <c r="L495" s="294"/>
      <c r="M495" s="295"/>
      <c r="N495" s="379">
        <f>SUM(N496:W497)</f>
        <v>358.16</v>
      </c>
      <c r="O495" s="362"/>
      <c r="P495" s="362"/>
      <c r="Q495" s="362"/>
      <c r="R495" s="362"/>
      <c r="S495" s="362"/>
      <c r="T495" s="362"/>
      <c r="U495" s="362"/>
      <c r="V495" s="362"/>
      <c r="W495" s="362"/>
      <c r="X495" s="379">
        <f>SUM(X496:AG497)</f>
        <v>168</v>
      </c>
      <c r="Y495" s="362"/>
      <c r="Z495" s="362"/>
      <c r="AA495" s="362"/>
      <c r="AB495" s="362"/>
      <c r="AC495" s="362"/>
      <c r="AD495" s="362"/>
      <c r="AE495" s="362"/>
      <c r="AF495" s="362"/>
      <c r="AG495" s="362"/>
    </row>
    <row r="496" spans="1:33" ht="28.5" customHeight="1" x14ac:dyDescent="0.2">
      <c r="A496" s="3">
        <v>26</v>
      </c>
      <c r="D496" s="214" t="s">
        <v>205</v>
      </c>
      <c r="E496" s="215"/>
      <c r="F496" s="215"/>
      <c r="G496" s="215"/>
      <c r="H496" s="215"/>
      <c r="I496" s="215"/>
      <c r="J496" s="215"/>
      <c r="K496" s="215"/>
      <c r="L496" s="215"/>
      <c r="M496" s="216"/>
      <c r="N496" s="213"/>
      <c r="O496" s="263"/>
      <c r="P496" s="263"/>
      <c r="Q496" s="263"/>
      <c r="R496" s="263"/>
      <c r="S496" s="263"/>
      <c r="T496" s="263"/>
      <c r="U496" s="263"/>
      <c r="V496" s="263"/>
      <c r="W496" s="263"/>
      <c r="X496" s="213"/>
      <c r="Y496" s="263"/>
      <c r="Z496" s="263"/>
      <c r="AA496" s="263"/>
      <c r="AB496" s="263"/>
      <c r="AC496" s="263"/>
      <c r="AD496" s="263"/>
      <c r="AE496" s="263"/>
      <c r="AF496" s="263"/>
      <c r="AG496" s="263"/>
    </row>
    <row r="497" spans="1:34" ht="28.5" customHeight="1" x14ac:dyDescent="0.2">
      <c r="D497" s="368" t="s">
        <v>206</v>
      </c>
      <c r="E497" s="369"/>
      <c r="F497" s="369"/>
      <c r="G497" s="369"/>
      <c r="H497" s="369"/>
      <c r="I497" s="369"/>
      <c r="J497" s="369"/>
      <c r="K497" s="369"/>
      <c r="L497" s="369"/>
      <c r="M497" s="370"/>
      <c r="N497" s="213">
        <f>-VLOOKUP(472999,'Účtovná osnova'!$A$1:$I$1068,6,FALSE)</f>
        <v>358.16</v>
      </c>
      <c r="O497" s="263"/>
      <c r="P497" s="263"/>
      <c r="Q497" s="263"/>
      <c r="R497" s="263"/>
      <c r="S497" s="263"/>
      <c r="T497" s="263"/>
      <c r="U497" s="263"/>
      <c r="V497" s="263"/>
      <c r="W497" s="263"/>
      <c r="X497" s="213">
        <v>168</v>
      </c>
      <c r="Y497" s="263"/>
      <c r="Z497" s="263"/>
      <c r="AA497" s="263"/>
      <c r="AB497" s="263"/>
      <c r="AC497" s="263"/>
      <c r="AD497" s="263"/>
      <c r="AE497" s="263"/>
      <c r="AF497" s="263"/>
      <c r="AG497" s="263"/>
    </row>
    <row r="498" spans="1:34" ht="28.5" customHeight="1" thickBot="1" x14ac:dyDescent="0.25">
      <c r="D498" s="293" t="s">
        <v>207</v>
      </c>
      <c r="E498" s="294"/>
      <c r="F498" s="294"/>
      <c r="G498" s="294"/>
      <c r="H498" s="294"/>
      <c r="I498" s="294"/>
      <c r="J498" s="294"/>
      <c r="K498" s="294"/>
      <c r="L498" s="294"/>
      <c r="M498" s="295"/>
      <c r="N498" s="379">
        <f>SUM(N499:W500)</f>
        <v>4436575.26</v>
      </c>
      <c r="O498" s="362"/>
      <c r="P498" s="362"/>
      <c r="Q498" s="362"/>
      <c r="R498" s="362"/>
      <c r="S498" s="362"/>
      <c r="T498" s="362"/>
      <c r="U498" s="362"/>
      <c r="V498" s="362"/>
      <c r="W498" s="362"/>
      <c r="X498" s="379">
        <f>SUM(X499:AG500)</f>
        <v>7760498</v>
      </c>
      <c r="Y498" s="362"/>
      <c r="Z498" s="362"/>
      <c r="AA498" s="362"/>
      <c r="AB498" s="362"/>
      <c r="AC498" s="362"/>
      <c r="AD498" s="362"/>
      <c r="AE498" s="362"/>
      <c r="AF498" s="362"/>
      <c r="AG498" s="362"/>
    </row>
    <row r="499" spans="1:34" ht="28.5" customHeight="1" x14ac:dyDescent="0.2">
      <c r="D499" s="214" t="s">
        <v>208</v>
      </c>
      <c r="E499" s="215"/>
      <c r="F499" s="215"/>
      <c r="G499" s="215"/>
      <c r="H499" s="215"/>
      <c r="I499" s="215"/>
      <c r="J499" s="215"/>
      <c r="K499" s="215"/>
      <c r="L499" s="215"/>
      <c r="M499" s="216"/>
      <c r="N499" s="213">
        <f>-VLOOKUP(329999,'Účtovná osnova'!$A$1:$I$1068,6,FALSE)+VLOOKUP(323999,'Účtovná osnova'!$A$1:$I$1068,6,FALSE)-VLOOKUP(336999,'Účtovná osnova'!$A$1:$I$1068,6,FALSE)+VLOOKUP(335100,'Účtovná osnova'!$A$1:$I$1068,6,FALSE)-VLOOKUP(349999,'Účtovná osnova'!$A$1:$I$1068,6,FALSE)-VLOOKUP(379998,'Účtovná osnova'!$A$1:$I$1068,6,FALSE)</f>
        <v>4436575.26</v>
      </c>
      <c r="O499" s="263"/>
      <c r="P499" s="263"/>
      <c r="Q499" s="263"/>
      <c r="R499" s="263"/>
      <c r="S499" s="263"/>
      <c r="T499" s="263"/>
      <c r="U499" s="263"/>
      <c r="V499" s="263"/>
      <c r="W499" s="263"/>
      <c r="X499" s="213">
        <v>7760498</v>
      </c>
      <c r="Y499" s="263"/>
      <c r="Z499" s="263"/>
      <c r="AA499" s="263"/>
      <c r="AB499" s="263"/>
      <c r="AC499" s="263"/>
      <c r="AD499" s="263"/>
      <c r="AE499" s="263"/>
      <c r="AF499" s="263"/>
      <c r="AG499" s="263"/>
      <c r="AH499" s="166"/>
    </row>
    <row r="500" spans="1:34" ht="28.5" customHeight="1" thickBot="1" x14ac:dyDescent="0.25">
      <c r="D500" s="225" t="s">
        <v>209</v>
      </c>
      <c r="E500" s="226"/>
      <c r="F500" s="226"/>
      <c r="G500" s="226"/>
      <c r="H500" s="226"/>
      <c r="I500" s="226"/>
      <c r="J500" s="226"/>
      <c r="K500" s="226"/>
      <c r="L500" s="226"/>
      <c r="M500" s="227"/>
      <c r="N500" s="219">
        <v>0</v>
      </c>
      <c r="O500" s="510"/>
      <c r="P500" s="510"/>
      <c r="Q500" s="510"/>
      <c r="R500" s="510"/>
      <c r="S500" s="510"/>
      <c r="T500" s="510"/>
      <c r="U500" s="510"/>
      <c r="V500" s="510"/>
      <c r="W500" s="510"/>
      <c r="X500" s="219">
        <v>0</v>
      </c>
      <c r="Y500" s="510"/>
      <c r="Z500" s="510"/>
      <c r="AA500" s="510"/>
      <c r="AB500" s="510"/>
      <c r="AC500" s="510"/>
      <c r="AD500" s="510"/>
      <c r="AE500" s="510"/>
      <c r="AF500" s="510"/>
      <c r="AG500" s="510"/>
    </row>
    <row r="501" spans="1:34" ht="14.25" customHeight="1" x14ac:dyDescent="0.2">
      <c r="D501" s="33"/>
      <c r="E501" s="33"/>
      <c r="F501" s="33"/>
      <c r="G501" s="33"/>
      <c r="H501" s="33"/>
      <c r="I501" s="33"/>
      <c r="J501" s="33"/>
      <c r="K501" s="33"/>
      <c r="L501" s="33"/>
      <c r="M501" s="33"/>
      <c r="N501" s="33"/>
      <c r="O501" s="33"/>
      <c r="P501" s="33"/>
      <c r="Q501" s="33"/>
      <c r="R501" s="33"/>
      <c r="S501" s="33"/>
      <c r="T501" s="33"/>
      <c r="U501" s="33"/>
      <c r="V501" s="33"/>
      <c r="W501" s="33"/>
      <c r="X501" s="33"/>
      <c r="Y501" s="33"/>
      <c r="Z501" s="33"/>
      <c r="AA501" s="33"/>
      <c r="AB501" s="33"/>
      <c r="AC501" s="33"/>
      <c r="AD501" s="33"/>
      <c r="AE501" s="33"/>
      <c r="AF501" s="33"/>
      <c r="AG501" s="33"/>
    </row>
    <row r="502" spans="1:34" s="69" customFormat="1" ht="14.25" customHeight="1" x14ac:dyDescent="0.2">
      <c r="A502" s="67"/>
      <c r="D502" s="77"/>
      <c r="E502" s="77"/>
      <c r="F502" s="77"/>
      <c r="G502" s="77"/>
      <c r="H502" s="77"/>
      <c r="I502" s="77"/>
      <c r="J502" s="77"/>
      <c r="K502" s="77"/>
      <c r="L502" s="77"/>
      <c r="M502" s="77"/>
      <c r="N502" s="77"/>
      <c r="O502" s="77"/>
      <c r="P502" s="77"/>
      <c r="Q502" s="77"/>
      <c r="R502" s="77"/>
      <c r="S502" s="77"/>
      <c r="T502" s="77"/>
      <c r="U502" s="77"/>
      <c r="V502" s="77"/>
      <c r="W502" s="77"/>
      <c r="X502" s="77"/>
      <c r="Y502" s="77"/>
      <c r="Z502" s="77"/>
      <c r="AA502" s="77"/>
      <c r="AB502" s="77"/>
      <c r="AC502" s="77"/>
      <c r="AD502" s="77"/>
      <c r="AE502" s="77"/>
      <c r="AF502" s="77"/>
      <c r="AG502" s="77"/>
      <c r="AH502" s="77"/>
    </row>
    <row r="503" spans="1:34" s="69" customFormat="1" ht="14.25" customHeight="1" x14ac:dyDescent="0.2">
      <c r="A503" s="67"/>
      <c r="D503" s="77"/>
      <c r="E503" s="77"/>
      <c r="F503" s="77"/>
      <c r="G503" s="77"/>
      <c r="H503" s="77"/>
      <c r="I503" s="77"/>
      <c r="J503" s="77"/>
      <c r="K503" s="77"/>
      <c r="L503" s="77"/>
      <c r="M503" s="77"/>
      <c r="N503" s="77"/>
      <c r="O503" s="77"/>
      <c r="P503" s="77"/>
      <c r="Q503" s="77"/>
      <c r="R503" s="77"/>
      <c r="S503" s="77"/>
      <c r="T503" s="77"/>
      <c r="U503" s="77"/>
      <c r="V503" s="77"/>
      <c r="W503" s="77"/>
      <c r="X503" s="77"/>
      <c r="Y503" s="77"/>
      <c r="Z503" s="77"/>
      <c r="AA503" s="77"/>
      <c r="AB503" s="77"/>
      <c r="AC503" s="77"/>
      <c r="AD503" s="77"/>
      <c r="AE503" s="77"/>
      <c r="AF503" s="77"/>
      <c r="AG503" s="77"/>
      <c r="AH503" s="77"/>
    </row>
    <row r="504" spans="1:34" ht="14.25" customHeight="1" x14ac:dyDescent="0.25">
      <c r="D504" s="41" t="s">
        <v>388</v>
      </c>
      <c r="E504" s="77"/>
      <c r="F504" s="77"/>
      <c r="G504" s="77"/>
      <c r="H504" s="77"/>
      <c r="I504" s="77"/>
      <c r="J504" s="77"/>
      <c r="K504" s="77"/>
      <c r="L504" s="77"/>
      <c r="M504" s="77"/>
      <c r="N504" s="77"/>
      <c r="O504" s="77"/>
      <c r="P504" s="77"/>
      <c r="Q504" s="77"/>
      <c r="R504" s="77"/>
      <c r="S504" s="77"/>
      <c r="T504" s="77"/>
      <c r="U504" s="77"/>
      <c r="V504" s="77"/>
      <c r="W504" s="77"/>
      <c r="X504" s="77"/>
      <c r="Y504" s="77"/>
      <c r="Z504" s="77"/>
      <c r="AA504" s="77"/>
      <c r="AB504" s="77"/>
      <c r="AC504" s="77"/>
      <c r="AD504" s="77"/>
      <c r="AE504" s="77"/>
      <c r="AF504" s="77"/>
      <c r="AG504" s="77"/>
    </row>
    <row r="505" spans="1:34" ht="14.25" customHeight="1" x14ac:dyDescent="0.2">
      <c r="D505" s="77"/>
      <c r="E505" s="77"/>
      <c r="F505" s="77"/>
      <c r="G505" s="77"/>
      <c r="H505" s="77"/>
      <c r="I505" s="77"/>
      <c r="J505" s="77"/>
      <c r="K505" s="77"/>
      <c r="L505" s="77"/>
      <c r="M505" s="77"/>
      <c r="N505" s="77"/>
      <c r="O505" s="77"/>
      <c r="P505" s="77"/>
      <c r="Q505" s="77"/>
      <c r="R505" s="77"/>
      <c r="S505" s="77"/>
      <c r="T505" s="77"/>
      <c r="U505" s="77"/>
      <c r="V505" s="77"/>
      <c r="W505" s="77"/>
      <c r="X505" s="77"/>
      <c r="Y505" s="77"/>
      <c r="Z505" s="77"/>
      <c r="AA505" s="77"/>
      <c r="AB505" s="77"/>
      <c r="AC505" s="77"/>
      <c r="AD505" s="77"/>
      <c r="AE505" s="77"/>
      <c r="AF505" s="77"/>
      <c r="AG505" s="77"/>
    </row>
    <row r="506" spans="1:34" ht="14.25" customHeight="1" thickBot="1" x14ac:dyDescent="0.25">
      <c r="D506" s="364" t="s">
        <v>210</v>
      </c>
      <c r="E506" s="364"/>
      <c r="F506" s="364"/>
      <c r="G506" s="364"/>
      <c r="H506" s="364"/>
      <c r="I506" s="364"/>
      <c r="J506" s="364"/>
      <c r="K506" s="364"/>
      <c r="L506" s="364"/>
      <c r="M506" s="364"/>
      <c r="N506" s="364"/>
      <c r="O506" s="364"/>
      <c r="P506" s="364"/>
      <c r="Q506" s="364"/>
      <c r="R506" s="364"/>
      <c r="S506" s="364"/>
      <c r="T506" s="364"/>
      <c r="U506" s="364"/>
      <c r="V506" s="364"/>
      <c r="W506" s="364"/>
      <c r="X506" s="364"/>
      <c r="Y506" s="364"/>
      <c r="Z506" s="364"/>
      <c r="AA506" s="364"/>
      <c r="AB506" s="364"/>
      <c r="AC506" s="364"/>
      <c r="AD506" s="364"/>
      <c r="AE506" s="364"/>
      <c r="AF506" s="364"/>
      <c r="AG506" s="364"/>
    </row>
    <row r="507" spans="1:34" ht="31.5" customHeight="1" thickBot="1" x14ac:dyDescent="0.25">
      <c r="D507" s="278" t="s">
        <v>145</v>
      </c>
      <c r="E507" s="278"/>
      <c r="F507" s="278"/>
      <c r="G507" s="278"/>
      <c r="H507" s="278"/>
      <c r="I507" s="278"/>
      <c r="J507" s="278"/>
      <c r="K507" s="278"/>
      <c r="L507" s="278"/>
      <c r="M507" s="278"/>
      <c r="N507" s="278" t="s">
        <v>16</v>
      </c>
      <c r="O507" s="278"/>
      <c r="P507" s="278"/>
      <c r="Q507" s="278"/>
      <c r="R507" s="278"/>
      <c r="S507" s="278"/>
      <c r="T507" s="278"/>
      <c r="U507" s="278"/>
      <c r="V507" s="278"/>
      <c r="W507" s="278"/>
      <c r="X507" s="278" t="s">
        <v>17</v>
      </c>
      <c r="Y507" s="278"/>
      <c r="Z507" s="278"/>
      <c r="AA507" s="278"/>
      <c r="AB507" s="278"/>
      <c r="AC507" s="278"/>
      <c r="AD507" s="278"/>
      <c r="AE507" s="278"/>
      <c r="AF507" s="278"/>
      <c r="AG507" s="278"/>
    </row>
    <row r="508" spans="1:34" ht="39.75" customHeight="1" x14ac:dyDescent="0.2">
      <c r="D508" s="279" t="s">
        <v>211</v>
      </c>
      <c r="E508" s="279"/>
      <c r="F508" s="279"/>
      <c r="G508" s="279"/>
      <c r="H508" s="279"/>
      <c r="I508" s="279"/>
      <c r="J508" s="279"/>
      <c r="K508" s="279"/>
      <c r="L508" s="279"/>
      <c r="M508" s="279"/>
      <c r="N508" s="441">
        <f>N509</f>
        <v>511253.80000000016</v>
      </c>
      <c r="O508" s="441"/>
      <c r="P508" s="441"/>
      <c r="Q508" s="441"/>
      <c r="R508" s="441"/>
      <c r="S508" s="441"/>
      <c r="T508" s="441"/>
      <c r="U508" s="441"/>
      <c r="V508" s="441"/>
      <c r="W508" s="441"/>
      <c r="X508" s="441">
        <f>+X509</f>
        <v>448460.36</v>
      </c>
      <c r="Y508" s="441"/>
      <c r="Z508" s="441"/>
      <c r="AA508" s="441"/>
      <c r="AB508" s="441"/>
      <c r="AC508" s="441"/>
      <c r="AD508" s="441"/>
      <c r="AE508" s="441"/>
      <c r="AF508" s="441"/>
      <c r="AG508" s="441"/>
    </row>
    <row r="509" spans="1:34" ht="20.25" customHeight="1" x14ac:dyDescent="0.2">
      <c r="D509" s="249" t="s">
        <v>212</v>
      </c>
      <c r="E509" s="249"/>
      <c r="F509" s="249"/>
      <c r="G509" s="249"/>
      <c r="H509" s="249"/>
      <c r="I509" s="249"/>
      <c r="J509" s="249"/>
      <c r="K509" s="249"/>
      <c r="L509" s="249"/>
      <c r="M509" s="249"/>
      <c r="N509" s="263">
        <f>SUM('[5]Odložená daň'!$B$121:$B$124)</f>
        <v>511253.80000000016</v>
      </c>
      <c r="O509" s="263"/>
      <c r="P509" s="263"/>
      <c r="Q509" s="263"/>
      <c r="R509" s="263"/>
      <c r="S509" s="263"/>
      <c r="T509" s="263"/>
      <c r="U509" s="263"/>
      <c r="V509" s="263"/>
      <c r="W509" s="263"/>
      <c r="X509" s="263">
        <f>177621+270839.36</f>
        <v>448460.36</v>
      </c>
      <c r="Y509" s="263"/>
      <c r="Z509" s="263"/>
      <c r="AA509" s="263"/>
      <c r="AB509" s="263"/>
      <c r="AC509" s="263"/>
      <c r="AD509" s="263"/>
      <c r="AE509" s="263"/>
      <c r="AF509" s="263"/>
      <c r="AG509" s="263"/>
    </row>
    <row r="510" spans="1:34" ht="19.5" customHeight="1" x14ac:dyDescent="0.2">
      <c r="D510" s="249" t="s">
        <v>213</v>
      </c>
      <c r="E510" s="249"/>
      <c r="F510" s="249"/>
      <c r="G510" s="249"/>
      <c r="H510" s="249"/>
      <c r="I510" s="249"/>
      <c r="J510" s="249"/>
      <c r="K510" s="249"/>
      <c r="L510" s="249"/>
      <c r="M510" s="249"/>
      <c r="N510" s="263"/>
      <c r="O510" s="263"/>
      <c r="P510" s="263"/>
      <c r="Q510" s="263"/>
      <c r="R510" s="263"/>
      <c r="S510" s="263"/>
      <c r="T510" s="263"/>
      <c r="U510" s="263"/>
      <c r="V510" s="263"/>
      <c r="W510" s="263"/>
      <c r="X510" s="263"/>
      <c r="Y510" s="263"/>
      <c r="Z510" s="263"/>
      <c r="AA510" s="263"/>
      <c r="AB510" s="263"/>
      <c r="AC510" s="263"/>
      <c r="AD510" s="263"/>
      <c r="AE510" s="263"/>
      <c r="AF510" s="263"/>
      <c r="AG510" s="263"/>
    </row>
    <row r="511" spans="1:34" ht="38.25" customHeight="1" x14ac:dyDescent="0.2">
      <c r="D511" s="257" t="s">
        <v>214</v>
      </c>
      <c r="E511" s="257"/>
      <c r="F511" s="257"/>
      <c r="G511" s="257"/>
      <c r="H511" s="257"/>
      <c r="I511" s="257"/>
      <c r="J511" s="257"/>
      <c r="K511" s="257"/>
      <c r="L511" s="257"/>
      <c r="M511" s="257"/>
      <c r="N511" s="442">
        <f>+N512-N513</f>
        <v>554552.75</v>
      </c>
      <c r="O511" s="442"/>
      <c r="P511" s="442"/>
      <c r="Q511" s="442"/>
      <c r="R511" s="442"/>
      <c r="S511" s="442"/>
      <c r="T511" s="442"/>
      <c r="U511" s="442"/>
      <c r="V511" s="442"/>
      <c r="W511" s="442"/>
      <c r="X511" s="442">
        <f>+X512-X513</f>
        <v>505813</v>
      </c>
      <c r="Y511" s="442"/>
      <c r="Z511" s="442"/>
      <c r="AA511" s="442"/>
      <c r="AB511" s="442"/>
      <c r="AC511" s="442"/>
      <c r="AD511" s="442"/>
      <c r="AE511" s="442"/>
      <c r="AF511" s="442"/>
      <c r="AG511" s="442"/>
    </row>
    <row r="512" spans="1:34" ht="14.25" customHeight="1" x14ac:dyDescent="0.2">
      <c r="D512" s="249" t="s">
        <v>212</v>
      </c>
      <c r="E512" s="249"/>
      <c r="F512" s="249"/>
      <c r="G512" s="249"/>
      <c r="H512" s="249"/>
      <c r="I512" s="249"/>
      <c r="J512" s="249"/>
      <c r="K512" s="249"/>
      <c r="L512" s="249"/>
      <c r="M512" s="249"/>
      <c r="N512" s="263">
        <f>SUM('[5]Odložená daň'!$B$125:$B$126)</f>
        <v>554552.75</v>
      </c>
      <c r="O512" s="263"/>
      <c r="P512" s="263"/>
      <c r="Q512" s="263"/>
      <c r="R512" s="263"/>
      <c r="S512" s="263"/>
      <c r="T512" s="263"/>
      <c r="U512" s="263"/>
      <c r="V512" s="263"/>
      <c r="W512" s="263"/>
      <c r="X512" s="263">
        <f>45770+246617+74347+139079</f>
        <v>505813</v>
      </c>
      <c r="Y512" s="263"/>
      <c r="Z512" s="263"/>
      <c r="AA512" s="263"/>
      <c r="AB512" s="263"/>
      <c r="AC512" s="263"/>
      <c r="AD512" s="263"/>
      <c r="AE512" s="263"/>
      <c r="AF512" s="263"/>
      <c r="AG512" s="263"/>
    </row>
    <row r="513" spans="1:34" ht="20.25" customHeight="1" x14ac:dyDescent="0.2">
      <c r="D513" s="249" t="s">
        <v>213</v>
      </c>
      <c r="E513" s="249"/>
      <c r="F513" s="249"/>
      <c r="G513" s="249"/>
      <c r="H513" s="249"/>
      <c r="I513" s="249"/>
      <c r="J513" s="249"/>
      <c r="K513" s="249"/>
      <c r="L513" s="249"/>
      <c r="M513" s="249"/>
      <c r="N513" s="263"/>
      <c r="O513" s="263"/>
      <c r="P513" s="263"/>
      <c r="Q513" s="263"/>
      <c r="R513" s="263"/>
      <c r="S513" s="263"/>
      <c r="T513" s="263"/>
      <c r="U513" s="263"/>
      <c r="V513" s="263"/>
      <c r="W513" s="263"/>
      <c r="X513" s="263"/>
      <c r="Y513" s="263"/>
      <c r="Z513" s="263"/>
      <c r="AA513" s="263"/>
      <c r="AB513" s="263"/>
      <c r="AC513" s="263"/>
      <c r="AD513" s="263"/>
      <c r="AE513" s="263"/>
      <c r="AF513" s="263"/>
      <c r="AG513" s="263"/>
    </row>
    <row r="514" spans="1:34" ht="22.5" customHeight="1" x14ac:dyDescent="0.2">
      <c r="D514" s="257" t="s">
        <v>215</v>
      </c>
      <c r="E514" s="257"/>
      <c r="F514" s="257"/>
      <c r="G514" s="257"/>
      <c r="H514" s="257"/>
      <c r="I514" s="257"/>
      <c r="J514" s="257"/>
      <c r="K514" s="257"/>
      <c r="L514" s="257"/>
      <c r="M514" s="257"/>
      <c r="N514" s="442"/>
      <c r="O514" s="442"/>
      <c r="P514" s="442"/>
      <c r="Q514" s="442"/>
      <c r="R514" s="442"/>
      <c r="S514" s="442"/>
      <c r="T514" s="442"/>
      <c r="U514" s="442"/>
      <c r="V514" s="442"/>
      <c r="W514" s="442"/>
      <c r="X514" s="442"/>
      <c r="Y514" s="442"/>
      <c r="Z514" s="442"/>
      <c r="AA514" s="442"/>
      <c r="AB514" s="442"/>
      <c r="AC514" s="442"/>
      <c r="AD514" s="442"/>
      <c r="AE514" s="442"/>
      <c r="AF514" s="442"/>
      <c r="AG514" s="442"/>
    </row>
    <row r="515" spans="1:34" ht="30.75" customHeight="1" x14ac:dyDescent="0.2">
      <c r="D515" s="257" t="s">
        <v>216</v>
      </c>
      <c r="E515" s="257"/>
      <c r="F515" s="257"/>
      <c r="G515" s="257"/>
      <c r="H515" s="257"/>
      <c r="I515" s="257"/>
      <c r="J515" s="257"/>
      <c r="K515" s="257"/>
      <c r="L515" s="257"/>
      <c r="M515" s="257"/>
      <c r="N515" s="442"/>
      <c r="O515" s="442"/>
      <c r="P515" s="442"/>
      <c r="Q515" s="442"/>
      <c r="R515" s="442"/>
      <c r="S515" s="442"/>
      <c r="T515" s="442"/>
      <c r="U515" s="442"/>
      <c r="V515" s="442"/>
      <c r="W515" s="442"/>
      <c r="X515" s="442"/>
      <c r="Y515" s="442"/>
      <c r="Z515" s="442"/>
      <c r="AA515" s="442"/>
      <c r="AB515" s="442"/>
      <c r="AC515" s="442"/>
      <c r="AD515" s="442"/>
      <c r="AE515" s="442"/>
      <c r="AF515" s="442"/>
      <c r="AG515" s="442"/>
    </row>
    <row r="516" spans="1:34" ht="24" customHeight="1" x14ac:dyDescent="0.2">
      <c r="D516" s="257" t="s">
        <v>217</v>
      </c>
      <c r="E516" s="257"/>
      <c r="F516" s="257"/>
      <c r="G516" s="257"/>
      <c r="H516" s="257"/>
      <c r="I516" s="257"/>
      <c r="J516" s="257"/>
      <c r="K516" s="257"/>
      <c r="L516" s="257"/>
      <c r="M516" s="257"/>
      <c r="N516" s="443">
        <v>0.21</v>
      </c>
      <c r="O516" s="443"/>
      <c r="P516" s="443"/>
      <c r="Q516" s="443"/>
      <c r="R516" s="443"/>
      <c r="S516" s="443"/>
      <c r="T516" s="443"/>
      <c r="U516" s="443"/>
      <c r="V516" s="443"/>
      <c r="W516" s="443"/>
      <c r="X516" s="443">
        <v>0.21</v>
      </c>
      <c r="Y516" s="443"/>
      <c r="Z516" s="443"/>
      <c r="AA516" s="443"/>
      <c r="AB516" s="443"/>
      <c r="AC516" s="443"/>
      <c r="AD516" s="443"/>
      <c r="AE516" s="443"/>
      <c r="AF516" s="443"/>
      <c r="AG516" s="443"/>
    </row>
    <row r="517" spans="1:34" ht="14.25" customHeight="1" x14ac:dyDescent="0.2">
      <c r="D517" s="257" t="s">
        <v>218</v>
      </c>
      <c r="E517" s="257"/>
      <c r="F517" s="257"/>
      <c r="G517" s="257"/>
      <c r="H517" s="257"/>
      <c r="I517" s="257"/>
      <c r="J517" s="257"/>
      <c r="K517" s="257"/>
      <c r="L517" s="257"/>
      <c r="M517" s="257"/>
      <c r="N517" s="442">
        <f>ROUND((N508+N511+N514)*N516,0)</f>
        <v>223819</v>
      </c>
      <c r="O517" s="442"/>
      <c r="P517" s="442"/>
      <c r="Q517" s="442"/>
      <c r="R517" s="442"/>
      <c r="S517" s="442"/>
      <c r="T517" s="442"/>
      <c r="U517" s="442"/>
      <c r="V517" s="442"/>
      <c r="W517" s="442"/>
      <c r="X517" s="442">
        <f>ROUND((X508+X511+X514)*X516,0)</f>
        <v>200397</v>
      </c>
      <c r="Y517" s="442"/>
      <c r="Z517" s="442"/>
      <c r="AA517" s="442"/>
      <c r="AB517" s="442"/>
      <c r="AC517" s="442"/>
      <c r="AD517" s="442"/>
      <c r="AE517" s="442"/>
      <c r="AF517" s="442"/>
      <c r="AG517" s="442"/>
    </row>
    <row r="518" spans="1:34" ht="14.25" customHeight="1" x14ac:dyDescent="0.2">
      <c r="D518" s="257" t="s">
        <v>219</v>
      </c>
      <c r="E518" s="257"/>
      <c r="F518" s="257"/>
      <c r="G518" s="257"/>
      <c r="H518" s="257"/>
      <c r="I518" s="257"/>
      <c r="J518" s="257"/>
      <c r="K518" s="257"/>
      <c r="L518" s="257"/>
      <c r="M518" s="257"/>
      <c r="N518" s="442">
        <f>N517</f>
        <v>223819</v>
      </c>
      <c r="O518" s="442"/>
      <c r="P518" s="442"/>
      <c r="Q518" s="442"/>
      <c r="R518" s="442"/>
      <c r="S518" s="442"/>
      <c r="T518" s="442"/>
      <c r="U518" s="442"/>
      <c r="V518" s="442"/>
      <c r="W518" s="442"/>
      <c r="X518" s="442">
        <f>X517</f>
        <v>200397</v>
      </c>
      <c r="Y518" s="442"/>
      <c r="Z518" s="442"/>
      <c r="AA518" s="442"/>
      <c r="AB518" s="442"/>
      <c r="AC518" s="442"/>
      <c r="AD518" s="442"/>
      <c r="AE518" s="442"/>
      <c r="AF518" s="442"/>
      <c r="AG518" s="442"/>
    </row>
    <row r="519" spans="1:34" ht="14.25" customHeight="1" x14ac:dyDescent="0.2">
      <c r="D519" s="249" t="s">
        <v>220</v>
      </c>
      <c r="E519" s="249"/>
      <c r="F519" s="249"/>
      <c r="G519" s="249"/>
      <c r="H519" s="249"/>
      <c r="I519" s="249"/>
      <c r="J519" s="249"/>
      <c r="K519" s="249"/>
      <c r="L519" s="249"/>
      <c r="M519" s="249"/>
      <c r="N519" s="263">
        <f>X518-N518</f>
        <v>-23422</v>
      </c>
      <c r="O519" s="263"/>
      <c r="P519" s="263"/>
      <c r="Q519" s="263"/>
      <c r="R519" s="263"/>
      <c r="S519" s="263"/>
      <c r="T519" s="263"/>
      <c r="U519" s="263"/>
      <c r="V519" s="263"/>
      <c r="W519" s="263"/>
      <c r="X519" s="263">
        <v>-6458</v>
      </c>
      <c r="Y519" s="263"/>
      <c r="Z519" s="263"/>
      <c r="AA519" s="263"/>
      <c r="AB519" s="263"/>
      <c r="AC519" s="263"/>
      <c r="AD519" s="263"/>
      <c r="AE519" s="263"/>
      <c r="AF519" s="263"/>
      <c r="AG519" s="263"/>
    </row>
    <row r="520" spans="1:34" ht="14.25" customHeight="1" x14ac:dyDescent="0.2">
      <c r="D520" s="249" t="s">
        <v>221</v>
      </c>
      <c r="E520" s="249"/>
      <c r="F520" s="249"/>
      <c r="G520" s="249"/>
      <c r="H520" s="249"/>
      <c r="I520" s="249"/>
      <c r="J520" s="249"/>
      <c r="K520" s="249"/>
      <c r="L520" s="249"/>
      <c r="M520" s="249"/>
      <c r="N520" s="263"/>
      <c r="O520" s="263"/>
      <c r="P520" s="263"/>
      <c r="Q520" s="263"/>
      <c r="R520" s="263"/>
      <c r="S520" s="263"/>
      <c r="T520" s="263"/>
      <c r="U520" s="263"/>
      <c r="V520" s="263"/>
      <c r="W520" s="263"/>
      <c r="X520" s="263"/>
      <c r="Y520" s="263"/>
      <c r="Z520" s="263"/>
      <c r="AA520" s="263"/>
      <c r="AB520" s="263"/>
      <c r="AC520" s="263"/>
      <c r="AD520" s="263"/>
      <c r="AE520" s="263"/>
      <c r="AF520" s="263"/>
      <c r="AG520" s="263"/>
    </row>
    <row r="521" spans="1:34" ht="14.25" customHeight="1" x14ac:dyDescent="0.2">
      <c r="D521" s="257" t="s">
        <v>222</v>
      </c>
      <c r="E521" s="257"/>
      <c r="F521" s="257"/>
      <c r="G521" s="257"/>
      <c r="H521" s="257"/>
      <c r="I521" s="257"/>
      <c r="J521" s="257"/>
      <c r="K521" s="257"/>
      <c r="L521" s="257"/>
      <c r="M521" s="257"/>
      <c r="N521" s="442"/>
      <c r="O521" s="442"/>
      <c r="P521" s="442"/>
      <c r="Q521" s="442"/>
      <c r="R521" s="442"/>
      <c r="S521" s="442"/>
      <c r="T521" s="442"/>
      <c r="U521" s="442"/>
      <c r="V521" s="442"/>
      <c r="W521" s="442"/>
      <c r="X521" s="442"/>
      <c r="Y521" s="442"/>
      <c r="Z521" s="442"/>
      <c r="AA521" s="442"/>
      <c r="AB521" s="442"/>
      <c r="AC521" s="442"/>
      <c r="AD521" s="442"/>
      <c r="AE521" s="442"/>
      <c r="AF521" s="442"/>
      <c r="AG521" s="442"/>
    </row>
    <row r="522" spans="1:34" ht="14.25" customHeight="1" x14ac:dyDescent="0.2">
      <c r="D522" s="257" t="s">
        <v>223</v>
      </c>
      <c r="E522" s="257"/>
      <c r="F522" s="257"/>
      <c r="G522" s="257"/>
      <c r="H522" s="257"/>
      <c r="I522" s="257"/>
      <c r="J522" s="257"/>
      <c r="K522" s="257"/>
      <c r="L522" s="257"/>
      <c r="M522" s="257"/>
      <c r="N522" s="442"/>
      <c r="O522" s="442"/>
      <c r="P522" s="442"/>
      <c r="Q522" s="442"/>
      <c r="R522" s="442"/>
      <c r="S522" s="442"/>
      <c r="T522" s="442"/>
      <c r="U522" s="442"/>
      <c r="V522" s="442"/>
      <c r="W522" s="442"/>
      <c r="X522" s="442"/>
      <c r="Y522" s="442"/>
      <c r="Z522" s="442"/>
      <c r="AA522" s="442"/>
      <c r="AB522" s="442"/>
      <c r="AC522" s="442"/>
      <c r="AD522" s="442"/>
      <c r="AE522" s="442"/>
      <c r="AF522" s="442"/>
      <c r="AG522" s="442"/>
    </row>
    <row r="523" spans="1:34" ht="14.25" customHeight="1" x14ac:dyDescent="0.2">
      <c r="D523" s="249" t="s">
        <v>224</v>
      </c>
      <c r="E523" s="249"/>
      <c r="F523" s="249"/>
      <c r="G523" s="249"/>
      <c r="H523" s="249"/>
      <c r="I523" s="249"/>
      <c r="J523" s="249"/>
      <c r="K523" s="249"/>
      <c r="L523" s="249"/>
      <c r="M523" s="249"/>
      <c r="N523" s="263"/>
      <c r="O523" s="263"/>
      <c r="P523" s="263"/>
      <c r="Q523" s="263"/>
      <c r="R523" s="263"/>
      <c r="S523" s="263"/>
      <c r="T523" s="263"/>
      <c r="U523" s="263"/>
      <c r="V523" s="263"/>
      <c r="W523" s="263"/>
      <c r="X523" s="263"/>
      <c r="Y523" s="263"/>
      <c r="Z523" s="263"/>
      <c r="AA523" s="263"/>
      <c r="AB523" s="263"/>
      <c r="AC523" s="263"/>
      <c r="AD523" s="263"/>
      <c r="AE523" s="263"/>
      <c r="AF523" s="263"/>
      <c r="AG523" s="263"/>
    </row>
    <row r="524" spans="1:34" ht="14.25" customHeight="1" x14ac:dyDescent="0.2">
      <c r="D524" s="249" t="s">
        <v>221</v>
      </c>
      <c r="E524" s="249"/>
      <c r="F524" s="249"/>
      <c r="G524" s="249"/>
      <c r="H524" s="249"/>
      <c r="I524" s="249"/>
      <c r="J524" s="249"/>
      <c r="K524" s="249"/>
      <c r="L524" s="249"/>
      <c r="M524" s="249"/>
      <c r="N524" s="263"/>
      <c r="O524" s="263"/>
      <c r="P524" s="263"/>
      <c r="Q524" s="263"/>
      <c r="R524" s="263"/>
      <c r="S524" s="263"/>
      <c r="T524" s="263"/>
      <c r="U524" s="263"/>
      <c r="V524" s="263"/>
      <c r="W524" s="263"/>
      <c r="X524" s="263"/>
      <c r="Y524" s="263"/>
      <c r="Z524" s="263"/>
      <c r="AA524" s="263"/>
      <c r="AB524" s="263"/>
      <c r="AC524" s="263"/>
      <c r="AD524" s="263"/>
      <c r="AE524" s="263"/>
      <c r="AF524" s="263"/>
      <c r="AG524" s="263"/>
    </row>
    <row r="525" spans="1:34" ht="14.25" customHeight="1" thickBot="1" x14ac:dyDescent="0.25">
      <c r="D525" s="360" t="s">
        <v>225</v>
      </c>
      <c r="E525" s="360"/>
      <c r="F525" s="360"/>
      <c r="G525" s="360"/>
      <c r="H525" s="360"/>
      <c r="I525" s="360"/>
      <c r="J525" s="360"/>
      <c r="K525" s="360"/>
      <c r="L525" s="360"/>
      <c r="M525" s="360"/>
      <c r="N525" s="261"/>
      <c r="O525" s="261"/>
      <c r="P525" s="261"/>
      <c r="Q525" s="261"/>
      <c r="R525" s="261"/>
      <c r="S525" s="261"/>
      <c r="T525" s="261"/>
      <c r="U525" s="261"/>
      <c r="V525" s="261"/>
      <c r="W525" s="261"/>
      <c r="X525" s="261"/>
      <c r="Y525" s="261"/>
      <c r="Z525" s="261"/>
      <c r="AA525" s="261"/>
      <c r="AB525" s="261"/>
      <c r="AC525" s="261"/>
      <c r="AD525" s="261"/>
      <c r="AE525" s="261"/>
      <c r="AF525" s="261"/>
      <c r="AG525" s="261"/>
    </row>
    <row r="526" spans="1:34" s="69" customFormat="1" ht="14.25" customHeight="1" x14ac:dyDescent="0.2">
      <c r="A526" s="67"/>
      <c r="D526" s="85"/>
      <c r="E526" s="85"/>
      <c r="F526" s="85"/>
      <c r="G526" s="85"/>
      <c r="H526" s="85"/>
      <c r="I526" s="85"/>
      <c r="J526" s="85"/>
      <c r="K526" s="85"/>
      <c r="L526" s="85"/>
      <c r="M526" s="85"/>
      <c r="N526" s="71"/>
      <c r="O526" s="71"/>
      <c r="P526" s="71"/>
      <c r="Q526" s="71"/>
      <c r="R526" s="71"/>
      <c r="S526" s="71"/>
      <c r="T526" s="71"/>
      <c r="U526" s="71"/>
      <c r="V526" s="71"/>
      <c r="W526" s="71"/>
      <c r="X526" s="71"/>
      <c r="Y526" s="71"/>
      <c r="Z526" s="71"/>
      <c r="AA526" s="71"/>
      <c r="AB526" s="71"/>
      <c r="AC526" s="71"/>
      <c r="AD526" s="71"/>
      <c r="AE526" s="71"/>
      <c r="AF526" s="71"/>
      <c r="AG526" s="71"/>
      <c r="AH526" s="77"/>
    </row>
    <row r="527" spans="1:34" ht="14.25" customHeight="1" x14ac:dyDescent="0.2">
      <c r="D527" s="444" t="s">
        <v>448</v>
      </c>
      <c r="E527" s="324"/>
      <c r="F527" s="324"/>
      <c r="G527" s="324"/>
      <c r="H527" s="324"/>
      <c r="I527" s="324"/>
      <c r="J527" s="324"/>
      <c r="K527" s="324"/>
      <c r="L527" s="324"/>
      <c r="M527" s="324"/>
      <c r="N527" s="324"/>
      <c r="O527" s="324"/>
      <c r="P527" s="324"/>
      <c r="Q527" s="324"/>
      <c r="R527" s="324"/>
      <c r="S527" s="324"/>
      <c r="T527" s="324"/>
      <c r="U527" s="324"/>
      <c r="V527" s="324"/>
      <c r="W527" s="324"/>
      <c r="X527" s="324"/>
      <c r="Y527" s="324"/>
      <c r="Z527" s="324"/>
      <c r="AA527" s="324"/>
      <c r="AB527" s="324"/>
      <c r="AC527" s="324"/>
      <c r="AD527" s="324"/>
      <c r="AE527" s="324"/>
      <c r="AF527" s="324"/>
      <c r="AG527" s="324"/>
    </row>
    <row r="528" spans="1:34" ht="14.25" customHeight="1" x14ac:dyDescent="0.2">
      <c r="D528" s="324"/>
      <c r="E528" s="324"/>
      <c r="F528" s="324"/>
      <c r="G528" s="324"/>
      <c r="H528" s="324"/>
      <c r="I528" s="324"/>
      <c r="J528" s="324"/>
      <c r="K528" s="324"/>
      <c r="L528" s="324"/>
      <c r="M528" s="324"/>
      <c r="N528" s="324"/>
      <c r="O528" s="324"/>
      <c r="P528" s="324"/>
      <c r="Q528" s="324"/>
      <c r="R528" s="324"/>
      <c r="S528" s="324"/>
      <c r="T528" s="324"/>
      <c r="U528" s="324"/>
      <c r="V528" s="324"/>
      <c r="W528" s="324"/>
      <c r="X528" s="324"/>
      <c r="Y528" s="324"/>
      <c r="Z528" s="324"/>
      <c r="AA528" s="324"/>
      <c r="AB528" s="324"/>
      <c r="AC528" s="324"/>
      <c r="AD528" s="324"/>
      <c r="AE528" s="324"/>
      <c r="AF528" s="324"/>
      <c r="AG528" s="324"/>
    </row>
    <row r="529" spans="1:34" ht="14.25" customHeight="1" x14ac:dyDescent="0.2">
      <c r="A529" s="25"/>
      <c r="D529" s="48"/>
      <c r="E529" s="48"/>
      <c r="F529" s="48"/>
      <c r="G529" s="48"/>
      <c r="H529" s="48"/>
      <c r="I529" s="48"/>
      <c r="J529" s="48"/>
      <c r="K529" s="48"/>
      <c r="L529" s="48"/>
      <c r="M529" s="48"/>
      <c r="N529" s="48"/>
      <c r="O529" s="48"/>
      <c r="P529" s="48"/>
      <c r="Q529" s="48"/>
      <c r="R529" s="48"/>
      <c r="S529" s="48"/>
      <c r="T529" s="48"/>
      <c r="U529" s="48"/>
      <c r="V529" s="48"/>
      <c r="W529" s="48"/>
      <c r="X529" s="48"/>
      <c r="Y529" s="48"/>
      <c r="Z529" s="48"/>
      <c r="AA529" s="48"/>
      <c r="AB529" s="48"/>
      <c r="AC529" s="48"/>
      <c r="AD529" s="48"/>
      <c r="AE529" s="48"/>
      <c r="AF529" s="48"/>
      <c r="AG529" s="48"/>
    </row>
    <row r="530" spans="1:34" ht="12" customHeight="1" x14ac:dyDescent="0.25">
      <c r="D530" s="41" t="s">
        <v>389</v>
      </c>
      <c r="E530" s="33"/>
      <c r="F530" s="33"/>
      <c r="G530" s="33"/>
      <c r="H530" s="33"/>
      <c r="I530" s="33"/>
      <c r="J530" s="33"/>
      <c r="K530" s="33"/>
      <c r="L530" s="33"/>
      <c r="M530" s="33"/>
      <c r="N530" s="33"/>
      <c r="O530" s="33"/>
      <c r="P530" s="33"/>
      <c r="Q530" s="33"/>
      <c r="R530" s="33"/>
      <c r="S530" s="33"/>
      <c r="T530" s="33"/>
      <c r="U530" s="33"/>
      <c r="V530" s="33"/>
      <c r="W530" s="33"/>
      <c r="X530" s="33"/>
      <c r="Y530" s="33"/>
      <c r="Z530" s="33"/>
      <c r="AA530" s="33"/>
      <c r="AB530" s="33"/>
      <c r="AC530" s="33"/>
      <c r="AD530" s="33"/>
      <c r="AE530" s="33"/>
      <c r="AF530" s="33"/>
      <c r="AG530" s="33"/>
    </row>
    <row r="531" spans="1:34" ht="14.25" customHeight="1" x14ac:dyDescent="0.2">
      <c r="D531" s="364"/>
      <c r="E531" s="364"/>
      <c r="F531" s="364"/>
      <c r="G531" s="364"/>
      <c r="H531" s="364"/>
      <c r="I531" s="364"/>
      <c r="J531" s="364"/>
      <c r="K531" s="364"/>
      <c r="L531" s="364"/>
      <c r="M531" s="364"/>
      <c r="N531" s="364"/>
      <c r="O531" s="364"/>
      <c r="P531" s="364"/>
      <c r="Q531" s="364"/>
      <c r="R531" s="364"/>
      <c r="S531" s="364"/>
      <c r="T531" s="364"/>
      <c r="U531" s="364"/>
      <c r="V531" s="364"/>
      <c r="W531" s="364"/>
      <c r="X531" s="364"/>
      <c r="Y531" s="364"/>
      <c r="Z531" s="364"/>
      <c r="AA531" s="364"/>
      <c r="AB531" s="364"/>
      <c r="AC531" s="364"/>
      <c r="AD531" s="364"/>
      <c r="AE531" s="364"/>
      <c r="AF531" s="364"/>
      <c r="AG531" s="364"/>
    </row>
    <row r="532" spans="1:34" ht="14.25" customHeight="1" x14ac:dyDescent="0.2">
      <c r="D532" s="364" t="s">
        <v>226</v>
      </c>
      <c r="E532" s="364"/>
      <c r="F532" s="364"/>
      <c r="G532" s="364"/>
      <c r="H532" s="364"/>
      <c r="I532" s="364"/>
      <c r="J532" s="364"/>
      <c r="K532" s="364"/>
      <c r="L532" s="364"/>
      <c r="M532" s="364"/>
      <c r="N532" s="364"/>
      <c r="O532" s="364"/>
      <c r="P532" s="364"/>
      <c r="Q532" s="364"/>
      <c r="R532" s="364"/>
      <c r="S532" s="364"/>
      <c r="T532" s="364"/>
      <c r="U532" s="364"/>
      <c r="V532" s="364"/>
      <c r="W532" s="364"/>
      <c r="X532" s="364"/>
      <c r="Y532" s="364"/>
      <c r="Z532" s="364"/>
      <c r="AA532" s="364"/>
      <c r="AB532" s="364"/>
      <c r="AC532" s="364"/>
      <c r="AD532" s="364"/>
      <c r="AE532" s="364"/>
      <c r="AF532" s="364"/>
      <c r="AG532" s="364"/>
    </row>
    <row r="533" spans="1:34" ht="14.25" customHeight="1" thickBot="1" x14ac:dyDescent="0.25">
      <c r="D533" s="33"/>
      <c r="E533" s="33"/>
      <c r="F533" s="33"/>
      <c r="G533" s="33"/>
      <c r="H533" s="33"/>
      <c r="I533" s="33"/>
      <c r="J533" s="33"/>
      <c r="K533" s="33"/>
      <c r="L533" s="33"/>
      <c r="M533" s="33"/>
      <c r="N533" s="33"/>
      <c r="O533" s="33"/>
      <c r="P533" s="33"/>
      <c r="Q533" s="33"/>
      <c r="R533" s="33"/>
      <c r="S533" s="33"/>
      <c r="T533" s="33"/>
      <c r="U533" s="33"/>
      <c r="V533" s="33"/>
      <c r="W533" s="33"/>
      <c r="X533" s="33"/>
      <c r="Y533" s="33"/>
      <c r="Z533" s="33"/>
      <c r="AA533" s="33"/>
      <c r="AB533" s="33"/>
      <c r="AC533" s="33"/>
      <c r="AD533" s="33"/>
      <c r="AE533" s="33"/>
      <c r="AF533" s="33"/>
      <c r="AG533" s="33"/>
    </row>
    <row r="534" spans="1:34" ht="30.75" customHeight="1" thickBot="1" x14ac:dyDescent="0.25">
      <c r="D534" s="365" t="s">
        <v>145</v>
      </c>
      <c r="E534" s="366"/>
      <c r="F534" s="366"/>
      <c r="G534" s="366"/>
      <c r="H534" s="366"/>
      <c r="I534" s="366"/>
      <c r="J534" s="366"/>
      <c r="K534" s="366"/>
      <c r="L534" s="366"/>
      <c r="M534" s="367"/>
      <c r="N534" s="365" t="s">
        <v>16</v>
      </c>
      <c r="O534" s="366"/>
      <c r="P534" s="366"/>
      <c r="Q534" s="366"/>
      <c r="R534" s="366"/>
      <c r="S534" s="366"/>
      <c r="T534" s="366"/>
      <c r="U534" s="366"/>
      <c r="V534" s="366"/>
      <c r="W534" s="367"/>
      <c r="X534" s="365" t="s">
        <v>17</v>
      </c>
      <c r="Y534" s="366"/>
      <c r="Z534" s="366"/>
      <c r="AA534" s="366"/>
      <c r="AB534" s="366"/>
      <c r="AC534" s="366"/>
      <c r="AD534" s="366"/>
      <c r="AE534" s="366"/>
      <c r="AF534" s="366"/>
      <c r="AG534" s="367"/>
    </row>
    <row r="535" spans="1:34" ht="18.600000000000001" customHeight="1" x14ac:dyDescent="0.2">
      <c r="D535" s="448" t="s">
        <v>227</v>
      </c>
      <c r="E535" s="449"/>
      <c r="F535" s="449"/>
      <c r="G535" s="449"/>
      <c r="H535" s="449"/>
      <c r="I535" s="449"/>
      <c r="J535" s="449"/>
      <c r="K535" s="449"/>
      <c r="L535" s="449"/>
      <c r="M535" s="450"/>
      <c r="N535" s="371">
        <f>X541</f>
        <v>168</v>
      </c>
      <c r="O535" s="372"/>
      <c r="P535" s="372"/>
      <c r="Q535" s="372"/>
      <c r="R535" s="372"/>
      <c r="S535" s="372"/>
      <c r="T535" s="372"/>
      <c r="U535" s="372"/>
      <c r="V535" s="372"/>
      <c r="W535" s="372"/>
      <c r="X535" s="271">
        <v>100</v>
      </c>
      <c r="Y535" s="272"/>
      <c r="Z535" s="272"/>
      <c r="AA535" s="272"/>
      <c r="AB535" s="272"/>
      <c r="AC535" s="272"/>
      <c r="AD535" s="272"/>
      <c r="AE535" s="272"/>
      <c r="AF535" s="272"/>
      <c r="AG535" s="273"/>
    </row>
    <row r="536" spans="1:34" ht="18.600000000000001" customHeight="1" x14ac:dyDescent="0.2">
      <c r="A536" s="3">
        <v>27</v>
      </c>
      <c r="D536" s="264" t="s">
        <v>228</v>
      </c>
      <c r="E536" s="265"/>
      <c r="F536" s="265"/>
      <c r="G536" s="265"/>
      <c r="H536" s="265"/>
      <c r="I536" s="265"/>
      <c r="J536" s="265"/>
      <c r="K536" s="265"/>
      <c r="L536" s="265"/>
      <c r="M536" s="266"/>
      <c r="N536" s="213">
        <f>VLOOKUP(472100,'Účtovná osnova'!$A$1:$I$1068,9,FALSE)</f>
        <v>39183.160000000003</v>
      </c>
      <c r="O536" s="263"/>
      <c r="P536" s="263"/>
      <c r="Q536" s="263"/>
      <c r="R536" s="263"/>
      <c r="S536" s="263"/>
      <c r="T536" s="263"/>
      <c r="U536" s="263"/>
      <c r="V536" s="263"/>
      <c r="W536" s="263"/>
      <c r="X536" s="213">
        <v>32537</v>
      </c>
      <c r="Y536" s="263"/>
      <c r="Z536" s="263"/>
      <c r="AA536" s="263"/>
      <c r="AB536" s="263"/>
      <c r="AC536" s="263"/>
      <c r="AD536" s="263"/>
      <c r="AE536" s="263"/>
      <c r="AF536" s="263"/>
      <c r="AG536" s="263"/>
    </row>
    <row r="537" spans="1:34" ht="18.75" customHeight="1" x14ac:dyDescent="0.2">
      <c r="D537" s="264" t="s">
        <v>229</v>
      </c>
      <c r="E537" s="265"/>
      <c r="F537" s="265"/>
      <c r="G537" s="265"/>
      <c r="H537" s="265"/>
      <c r="I537" s="265"/>
      <c r="J537" s="265"/>
      <c r="K537" s="265"/>
      <c r="L537" s="265"/>
      <c r="M537" s="266"/>
      <c r="N537" s="213"/>
      <c r="O537" s="263"/>
      <c r="P537" s="263"/>
      <c r="Q537" s="263"/>
      <c r="R537" s="263"/>
      <c r="S537" s="263"/>
      <c r="T537" s="263"/>
      <c r="U537" s="263"/>
      <c r="V537" s="263"/>
      <c r="W537" s="263"/>
      <c r="X537" s="213"/>
      <c r="Y537" s="263"/>
      <c r="Z537" s="263"/>
      <c r="AA537" s="263"/>
      <c r="AB537" s="263"/>
      <c r="AC537" s="263"/>
      <c r="AD537" s="263"/>
      <c r="AE537" s="263"/>
      <c r="AF537" s="263"/>
      <c r="AG537" s="263"/>
    </row>
    <row r="538" spans="1:34" ht="18.75" customHeight="1" x14ac:dyDescent="0.2">
      <c r="D538" s="264" t="s">
        <v>230</v>
      </c>
      <c r="E538" s="265"/>
      <c r="F538" s="265"/>
      <c r="G538" s="265"/>
      <c r="H538" s="265"/>
      <c r="I538" s="265"/>
      <c r="J538" s="265"/>
      <c r="K538" s="265"/>
      <c r="L538" s="265"/>
      <c r="M538" s="266"/>
      <c r="N538" s="213"/>
      <c r="O538" s="263"/>
      <c r="P538" s="263"/>
      <c r="Q538" s="263"/>
      <c r="R538" s="263"/>
      <c r="S538" s="263"/>
      <c r="T538" s="263"/>
      <c r="U538" s="263"/>
      <c r="V538" s="263"/>
      <c r="W538" s="263"/>
      <c r="X538" s="213"/>
      <c r="Y538" s="263"/>
      <c r="Z538" s="263"/>
      <c r="AA538" s="263"/>
      <c r="AB538" s="263"/>
      <c r="AC538" s="263"/>
      <c r="AD538" s="263"/>
      <c r="AE538" s="263"/>
      <c r="AF538" s="263"/>
      <c r="AG538" s="263"/>
    </row>
    <row r="539" spans="1:34" ht="18.75" customHeight="1" x14ac:dyDescent="0.2">
      <c r="D539" s="445" t="s">
        <v>231</v>
      </c>
      <c r="E539" s="446"/>
      <c r="F539" s="446"/>
      <c r="G539" s="446"/>
      <c r="H539" s="446"/>
      <c r="I539" s="446"/>
      <c r="J539" s="446"/>
      <c r="K539" s="446"/>
      <c r="L539" s="446"/>
      <c r="M539" s="447"/>
      <c r="N539" s="213">
        <f>SUM(N536:W538)</f>
        <v>39183.160000000003</v>
      </c>
      <c r="O539" s="263"/>
      <c r="P539" s="263"/>
      <c r="Q539" s="263"/>
      <c r="R539" s="263"/>
      <c r="S539" s="263"/>
      <c r="T539" s="263"/>
      <c r="U539" s="263"/>
      <c r="V539" s="263"/>
      <c r="W539" s="263"/>
      <c r="X539" s="213">
        <f>SUM(X536:AG538)</f>
        <v>32537</v>
      </c>
      <c r="Y539" s="263"/>
      <c r="Z539" s="263"/>
      <c r="AA539" s="263"/>
      <c r="AB539" s="263"/>
      <c r="AC539" s="263"/>
      <c r="AD539" s="263"/>
      <c r="AE539" s="263"/>
      <c r="AF539" s="263"/>
      <c r="AG539" s="263"/>
    </row>
    <row r="540" spans="1:34" ht="18.75" customHeight="1" x14ac:dyDescent="0.2">
      <c r="D540" s="445" t="s">
        <v>232</v>
      </c>
      <c r="E540" s="446"/>
      <c r="F540" s="446"/>
      <c r="G540" s="446"/>
      <c r="H540" s="446"/>
      <c r="I540" s="446"/>
      <c r="J540" s="446"/>
      <c r="K540" s="446"/>
      <c r="L540" s="446"/>
      <c r="M540" s="447"/>
      <c r="N540" s="213">
        <f>-VLOOKUP(472100,'Účtovná osnova'!$A$1:$I$1068,8,FALSE)</f>
        <v>-38992.99</v>
      </c>
      <c r="O540" s="263"/>
      <c r="P540" s="263"/>
      <c r="Q540" s="263"/>
      <c r="R540" s="263"/>
      <c r="S540" s="263"/>
      <c r="T540" s="263"/>
      <c r="U540" s="263"/>
      <c r="V540" s="263"/>
      <c r="W540" s="263"/>
      <c r="X540" s="213">
        <v>-32469</v>
      </c>
      <c r="Y540" s="263"/>
      <c r="Z540" s="263"/>
      <c r="AA540" s="263"/>
      <c r="AB540" s="263"/>
      <c r="AC540" s="263"/>
      <c r="AD540" s="263"/>
      <c r="AE540" s="263"/>
      <c r="AF540" s="263"/>
      <c r="AG540" s="263"/>
    </row>
    <row r="541" spans="1:34" ht="18.75" customHeight="1" thickBot="1" x14ac:dyDescent="0.25">
      <c r="D541" s="451" t="s">
        <v>233</v>
      </c>
      <c r="E541" s="452"/>
      <c r="F541" s="452"/>
      <c r="G541" s="452"/>
      <c r="H541" s="452"/>
      <c r="I541" s="452"/>
      <c r="J541" s="452"/>
      <c r="K541" s="452"/>
      <c r="L541" s="452"/>
      <c r="M541" s="453"/>
      <c r="N541" s="379">
        <f>N535+N539+N540</f>
        <v>358.17000000000553</v>
      </c>
      <c r="O541" s="362"/>
      <c r="P541" s="362"/>
      <c r="Q541" s="362"/>
      <c r="R541" s="362"/>
      <c r="S541" s="362"/>
      <c r="T541" s="362"/>
      <c r="U541" s="362"/>
      <c r="V541" s="362"/>
      <c r="W541" s="362"/>
      <c r="X541" s="379">
        <f>X535+X539+X540</f>
        <v>168</v>
      </c>
      <c r="Y541" s="362"/>
      <c r="Z541" s="362"/>
      <c r="AA541" s="362"/>
      <c r="AB541" s="362"/>
      <c r="AC541" s="362"/>
      <c r="AD541" s="362"/>
      <c r="AE541" s="362"/>
      <c r="AF541" s="362"/>
      <c r="AG541" s="362"/>
    </row>
    <row r="542" spans="1:34" ht="18.75" customHeight="1" x14ac:dyDescent="0.2">
      <c r="A542" s="25"/>
      <c r="D542" s="49"/>
      <c r="E542" s="49"/>
      <c r="F542" s="49"/>
      <c r="G542" s="49"/>
      <c r="H542" s="49"/>
      <c r="I542" s="49"/>
      <c r="J542" s="49"/>
      <c r="K542" s="49"/>
      <c r="L542" s="49"/>
      <c r="M542" s="49"/>
      <c r="N542" s="50"/>
      <c r="O542" s="50"/>
      <c r="P542" s="50"/>
      <c r="Q542" s="50"/>
      <c r="R542" s="50"/>
      <c r="S542" s="50"/>
      <c r="T542" s="50"/>
      <c r="U542" s="50"/>
      <c r="V542" s="50"/>
      <c r="W542" s="50"/>
      <c r="X542" s="50"/>
      <c r="Y542" s="50"/>
      <c r="Z542" s="50"/>
      <c r="AA542" s="50"/>
      <c r="AB542" s="50"/>
      <c r="AC542" s="50"/>
      <c r="AD542" s="50"/>
      <c r="AE542" s="50"/>
      <c r="AF542" s="50"/>
      <c r="AG542" s="50"/>
    </row>
    <row r="543" spans="1:34" s="69" customFormat="1" ht="18.75" customHeight="1" x14ac:dyDescent="0.2">
      <c r="A543" s="67"/>
      <c r="D543" s="49"/>
      <c r="E543" s="49"/>
      <c r="F543" s="49"/>
      <c r="G543" s="49"/>
      <c r="H543" s="49"/>
      <c r="I543" s="49"/>
      <c r="J543" s="49"/>
      <c r="K543" s="49"/>
      <c r="L543" s="49"/>
      <c r="M543" s="49"/>
      <c r="N543" s="73"/>
      <c r="O543" s="73"/>
      <c r="P543" s="73"/>
      <c r="Q543" s="73"/>
      <c r="R543" s="73"/>
      <c r="S543" s="73"/>
      <c r="T543" s="73"/>
      <c r="U543" s="73"/>
      <c r="V543" s="73"/>
      <c r="W543" s="73"/>
      <c r="X543" s="73"/>
      <c r="Y543" s="73"/>
      <c r="Z543" s="73"/>
      <c r="AA543" s="73"/>
      <c r="AB543" s="73"/>
      <c r="AC543" s="73"/>
      <c r="AD543" s="73"/>
      <c r="AE543" s="73"/>
      <c r="AF543" s="73"/>
      <c r="AG543" s="73"/>
      <c r="AH543" s="77"/>
    </row>
    <row r="544" spans="1:34" ht="14.25" customHeight="1" x14ac:dyDescent="0.25">
      <c r="D544" s="41" t="s">
        <v>390</v>
      </c>
      <c r="E544" s="33"/>
      <c r="F544" s="33"/>
      <c r="G544" s="33"/>
      <c r="H544" s="33"/>
      <c r="I544" s="33"/>
      <c r="J544" s="33"/>
      <c r="K544" s="33"/>
      <c r="L544" s="33"/>
      <c r="M544" s="33"/>
      <c r="N544" s="33"/>
      <c r="O544" s="33"/>
      <c r="P544" s="33"/>
      <c r="Q544" s="33"/>
      <c r="R544" s="33"/>
      <c r="S544" s="33"/>
      <c r="T544" s="33"/>
      <c r="U544" s="33"/>
      <c r="V544" s="33"/>
      <c r="W544" s="33"/>
      <c r="X544" s="33"/>
      <c r="Y544" s="33"/>
      <c r="Z544" s="33"/>
      <c r="AA544" s="33"/>
      <c r="AB544" s="33"/>
      <c r="AC544" s="33"/>
      <c r="AD544" s="33"/>
      <c r="AE544" s="33"/>
      <c r="AF544" s="33"/>
      <c r="AG544" s="33"/>
    </row>
    <row r="545" spans="1:33" ht="14.25" customHeight="1" x14ac:dyDescent="0.2">
      <c r="D545" s="33"/>
      <c r="E545" s="33"/>
      <c r="F545" s="33"/>
      <c r="G545" s="33"/>
      <c r="H545" s="33"/>
      <c r="I545" s="33"/>
      <c r="J545" s="33"/>
      <c r="K545" s="33"/>
      <c r="L545" s="33"/>
      <c r="M545" s="33"/>
      <c r="N545" s="33"/>
      <c r="O545" s="33"/>
      <c r="P545" s="33"/>
      <c r="Q545" s="33"/>
      <c r="R545" s="33"/>
      <c r="S545" s="33"/>
      <c r="T545" s="33"/>
      <c r="U545" s="33"/>
      <c r="V545" s="33"/>
      <c r="W545" s="33"/>
      <c r="X545" s="33"/>
      <c r="Y545" s="33"/>
      <c r="Z545" s="33"/>
      <c r="AA545" s="33"/>
      <c r="AB545" s="33"/>
      <c r="AC545" s="33"/>
      <c r="AD545" s="33"/>
      <c r="AE545" s="33"/>
      <c r="AF545" s="33"/>
      <c r="AG545" s="33"/>
    </row>
    <row r="546" spans="1:33" ht="14.25" customHeight="1" x14ac:dyDescent="0.2">
      <c r="D546" s="364" t="s">
        <v>234</v>
      </c>
      <c r="E546" s="364"/>
      <c r="F546" s="364"/>
      <c r="G546" s="364"/>
      <c r="H546" s="364"/>
      <c r="I546" s="364"/>
      <c r="J546" s="364"/>
      <c r="K546" s="364"/>
      <c r="L546" s="364"/>
      <c r="M546" s="364"/>
      <c r="N546" s="364"/>
      <c r="O546" s="364"/>
      <c r="P546" s="364"/>
      <c r="Q546" s="364"/>
      <c r="R546" s="364"/>
      <c r="S546" s="364"/>
      <c r="T546" s="364"/>
      <c r="U546" s="364"/>
      <c r="V546" s="364"/>
      <c r="W546" s="364"/>
      <c r="X546" s="364"/>
      <c r="Y546" s="364"/>
      <c r="Z546" s="364"/>
      <c r="AA546" s="364"/>
      <c r="AB546" s="364"/>
      <c r="AC546" s="364"/>
      <c r="AD546" s="364"/>
      <c r="AE546" s="364"/>
      <c r="AF546" s="364"/>
      <c r="AG546" s="364"/>
    </row>
    <row r="547" spans="1:33" ht="14.25" customHeight="1" thickBot="1" x14ac:dyDescent="0.25">
      <c r="D547" s="33"/>
      <c r="E547" s="33"/>
      <c r="F547" s="33"/>
      <c r="G547" s="33"/>
      <c r="H547" s="33"/>
      <c r="I547" s="33"/>
      <c r="J547" s="33"/>
      <c r="K547" s="33"/>
      <c r="L547" s="33"/>
      <c r="M547" s="33"/>
      <c r="N547" s="33"/>
      <c r="O547" s="33"/>
      <c r="P547" s="33"/>
      <c r="Q547" s="33"/>
      <c r="R547" s="33"/>
      <c r="S547" s="33"/>
      <c r="T547" s="33"/>
      <c r="U547" s="33"/>
      <c r="V547" s="33"/>
      <c r="W547" s="33"/>
      <c r="X547" s="33"/>
      <c r="Y547" s="33"/>
      <c r="Z547" s="33"/>
      <c r="AA547" s="33"/>
      <c r="AB547" s="33"/>
      <c r="AC547" s="33"/>
      <c r="AD547" s="33"/>
      <c r="AE547" s="33"/>
      <c r="AF547" s="33"/>
      <c r="AG547" s="33"/>
    </row>
    <row r="548" spans="1:33" ht="91.5" customHeight="1" thickBot="1" x14ac:dyDescent="0.25">
      <c r="D548" s="278" t="s">
        <v>145</v>
      </c>
      <c r="E548" s="278"/>
      <c r="F548" s="278"/>
      <c r="G548" s="278"/>
      <c r="H548" s="278"/>
      <c r="I548" s="278"/>
      <c r="J548" s="278"/>
      <c r="K548" s="278" t="s">
        <v>235</v>
      </c>
      <c r="L548" s="278"/>
      <c r="M548" s="278"/>
      <c r="N548" s="278" t="s">
        <v>236</v>
      </c>
      <c r="O548" s="278"/>
      <c r="P548" s="278"/>
      <c r="Q548" s="278"/>
      <c r="R548" s="278" t="s">
        <v>237</v>
      </c>
      <c r="S548" s="278"/>
      <c r="T548" s="278"/>
      <c r="U548" s="278"/>
      <c r="V548" s="365" t="s">
        <v>238</v>
      </c>
      <c r="W548" s="366"/>
      <c r="X548" s="366"/>
      <c r="Y548" s="366"/>
      <c r="Z548" s="365" t="s">
        <v>239</v>
      </c>
      <c r="AA548" s="366"/>
      <c r="AB548" s="366"/>
      <c r="AC548" s="367"/>
      <c r="AD548" s="278" t="s">
        <v>240</v>
      </c>
      <c r="AE548" s="278"/>
      <c r="AF548" s="278"/>
      <c r="AG548" s="278"/>
    </row>
    <row r="549" spans="1:33" ht="25.5" customHeight="1" thickBot="1" x14ac:dyDescent="0.25">
      <c r="D549" s="361" t="s">
        <v>241</v>
      </c>
      <c r="E549" s="361"/>
      <c r="F549" s="361"/>
      <c r="G549" s="361"/>
      <c r="H549" s="361"/>
      <c r="I549" s="361"/>
      <c r="J549" s="361"/>
      <c r="K549" s="361"/>
      <c r="L549" s="361"/>
      <c r="M549" s="361"/>
      <c r="N549" s="361"/>
      <c r="O549" s="361"/>
      <c r="P549" s="361"/>
      <c r="Q549" s="361"/>
      <c r="R549" s="361"/>
      <c r="S549" s="361"/>
      <c r="T549" s="361"/>
      <c r="U549" s="361"/>
      <c r="V549" s="361"/>
      <c r="W549" s="361"/>
      <c r="X549" s="361"/>
      <c r="Y549" s="361"/>
      <c r="Z549" s="361"/>
      <c r="AA549" s="361"/>
      <c r="AB549" s="361"/>
      <c r="AC549" s="361"/>
      <c r="AD549" s="361"/>
      <c r="AE549" s="361"/>
      <c r="AF549" s="361"/>
      <c r="AG549" s="361"/>
    </row>
    <row r="550" spans="1:33" ht="14.25" customHeight="1" x14ac:dyDescent="0.2">
      <c r="D550" s="454" t="s">
        <v>242</v>
      </c>
      <c r="E550" s="454"/>
      <c r="F550" s="454"/>
      <c r="G550" s="454"/>
      <c r="H550" s="454"/>
      <c r="I550" s="454"/>
      <c r="J550" s="454"/>
      <c r="K550" s="454"/>
      <c r="L550" s="454"/>
      <c r="M550" s="454"/>
      <c r="N550" s="454"/>
      <c r="O550" s="454"/>
      <c r="P550" s="454"/>
      <c r="Q550" s="454"/>
      <c r="R550" s="454"/>
      <c r="S550" s="454"/>
      <c r="T550" s="454"/>
      <c r="U550" s="454"/>
      <c r="V550" s="454"/>
      <c r="W550" s="454"/>
      <c r="X550" s="454"/>
      <c r="Y550" s="454"/>
      <c r="Z550" s="454"/>
      <c r="AA550" s="454"/>
      <c r="AB550" s="454"/>
      <c r="AC550" s="454"/>
      <c r="AD550" s="454"/>
      <c r="AE550" s="454"/>
      <c r="AF550" s="454"/>
      <c r="AG550" s="454"/>
    </row>
    <row r="551" spans="1:33" ht="40.5" customHeight="1" thickBot="1" x14ac:dyDescent="0.25">
      <c r="D551" s="582" t="s">
        <v>243</v>
      </c>
      <c r="E551" s="583"/>
      <c r="F551" s="583"/>
      <c r="G551" s="583"/>
      <c r="H551" s="583"/>
      <c r="I551" s="583"/>
      <c r="J551" s="583"/>
      <c r="K551" s="583" t="s">
        <v>244</v>
      </c>
      <c r="L551" s="583"/>
      <c r="M551" s="583"/>
      <c r="N551" s="584">
        <v>1.2</v>
      </c>
      <c r="O551" s="584"/>
      <c r="P551" s="584"/>
      <c r="Q551" s="584"/>
      <c r="R551" s="583" t="s">
        <v>654</v>
      </c>
      <c r="S551" s="583"/>
      <c r="T551" s="583"/>
      <c r="U551" s="583"/>
      <c r="V551" s="585">
        <f>-VLOOKUP(221200,'Účtovná osnova'!$A$1:$I$1068,6,FALSE)</f>
        <v>591495.77</v>
      </c>
      <c r="W551" s="585"/>
      <c r="X551" s="585"/>
      <c r="Y551" s="585"/>
      <c r="Z551" s="585">
        <f>-VLOOKUP(221200,'Účtovná osnova'!$A$1:$I$1068,6,FALSE)</f>
        <v>591495.77</v>
      </c>
      <c r="AA551" s="585"/>
      <c r="AB551" s="585"/>
      <c r="AC551" s="585"/>
      <c r="AD551" s="585">
        <v>82673</v>
      </c>
      <c r="AE551" s="585"/>
      <c r="AF551" s="585"/>
      <c r="AG551" s="586"/>
    </row>
    <row r="552" spans="1:33" ht="29.25" customHeight="1" x14ac:dyDescent="0.2">
      <c r="A552" s="25"/>
      <c r="D552" s="51"/>
      <c r="E552" s="51"/>
      <c r="F552" s="51"/>
      <c r="G552" s="51"/>
      <c r="H552" s="51"/>
      <c r="I552" s="51"/>
      <c r="J552" s="51"/>
      <c r="K552" s="52"/>
      <c r="L552" s="52"/>
      <c r="M552" s="52"/>
      <c r="N552" s="53"/>
      <c r="O552" s="53"/>
      <c r="P552" s="53"/>
      <c r="Q552" s="53"/>
      <c r="R552" s="52"/>
      <c r="S552" s="52"/>
      <c r="T552" s="52"/>
      <c r="U552" s="52"/>
      <c r="V552" s="54"/>
      <c r="W552" s="54"/>
      <c r="X552" s="54"/>
      <c r="Y552" s="54"/>
      <c r="Z552" s="54"/>
      <c r="AA552" s="54"/>
      <c r="AB552" s="54"/>
      <c r="AC552" s="54"/>
      <c r="AD552" s="55"/>
      <c r="AE552" s="55"/>
      <c r="AF552" s="55"/>
      <c r="AG552" s="55"/>
    </row>
    <row r="553" spans="1:33" ht="14.25" customHeight="1" x14ac:dyDescent="0.25">
      <c r="D553" s="41" t="s">
        <v>391</v>
      </c>
      <c r="E553" s="77"/>
      <c r="F553" s="77"/>
      <c r="G553" s="77"/>
      <c r="H553" s="77"/>
      <c r="I553" s="77"/>
      <c r="J553" s="77"/>
      <c r="K553" s="77"/>
      <c r="L553" s="77"/>
      <c r="M553" s="77"/>
      <c r="N553" s="77"/>
      <c r="O553" s="77"/>
      <c r="P553" s="77"/>
      <c r="Q553" s="77"/>
      <c r="R553" s="77"/>
      <c r="S553" s="77"/>
      <c r="T553" s="77"/>
      <c r="U553" s="77"/>
      <c r="V553" s="77"/>
      <c r="W553" s="77"/>
      <c r="X553" s="77"/>
      <c r="Y553" s="77"/>
      <c r="Z553" s="77"/>
      <c r="AA553" s="77"/>
      <c r="AB553" s="77"/>
      <c r="AC553" s="77"/>
      <c r="AD553" s="77"/>
      <c r="AE553" s="77"/>
      <c r="AF553" s="77"/>
      <c r="AG553" s="77"/>
    </row>
    <row r="554" spans="1:33" ht="14.25" customHeight="1" x14ac:dyDescent="0.2">
      <c r="D554" s="77"/>
      <c r="E554" s="77"/>
      <c r="F554" s="77"/>
      <c r="G554" s="77"/>
      <c r="H554" s="77"/>
      <c r="I554" s="77"/>
      <c r="J554" s="77"/>
      <c r="K554" s="77"/>
      <c r="L554" s="77"/>
      <c r="M554" s="77"/>
      <c r="N554" s="77"/>
      <c r="O554" s="77"/>
      <c r="P554" s="77"/>
      <c r="Q554" s="77"/>
      <c r="R554" s="77"/>
      <c r="S554" s="77"/>
      <c r="T554" s="77"/>
      <c r="U554" s="77"/>
      <c r="V554" s="77"/>
      <c r="W554" s="77"/>
      <c r="X554" s="77"/>
      <c r="Y554" s="77"/>
      <c r="Z554" s="77"/>
      <c r="AA554" s="77"/>
      <c r="AB554" s="77"/>
      <c r="AC554" s="77"/>
      <c r="AD554" s="77"/>
      <c r="AE554" s="77"/>
      <c r="AF554" s="77"/>
      <c r="AG554" s="77"/>
    </row>
    <row r="555" spans="1:33" ht="14.25" customHeight="1" x14ac:dyDescent="0.2">
      <c r="D555" s="364" t="s">
        <v>246</v>
      </c>
      <c r="E555" s="364"/>
      <c r="F555" s="364"/>
      <c r="G555" s="364"/>
      <c r="H555" s="364"/>
      <c r="I555" s="364"/>
      <c r="J555" s="364"/>
      <c r="K555" s="364"/>
      <c r="L555" s="364"/>
      <c r="M555" s="364"/>
      <c r="N555" s="364"/>
      <c r="O555" s="364"/>
      <c r="P555" s="364"/>
      <c r="Q555" s="364"/>
      <c r="R555" s="364"/>
      <c r="S555" s="364"/>
      <c r="T555" s="364"/>
      <c r="U555" s="364"/>
      <c r="V555" s="364"/>
      <c r="W555" s="364"/>
      <c r="X555" s="364"/>
      <c r="Y555" s="364"/>
      <c r="Z555" s="364"/>
      <c r="AA555" s="364"/>
      <c r="AB555" s="364"/>
      <c r="AC555" s="364"/>
      <c r="AD555" s="364"/>
      <c r="AE555" s="364"/>
      <c r="AF555" s="364"/>
      <c r="AG555" s="364"/>
    </row>
    <row r="556" spans="1:33" ht="14.25" customHeight="1" thickBot="1" x14ac:dyDescent="0.25">
      <c r="D556" s="77"/>
      <c r="E556" s="77"/>
      <c r="F556" s="77"/>
      <c r="G556" s="77"/>
      <c r="H556" s="77"/>
      <c r="I556" s="77"/>
      <c r="J556" s="77"/>
      <c r="K556" s="77"/>
      <c r="L556" s="77"/>
      <c r="M556" s="77"/>
      <c r="N556" s="77"/>
      <c r="O556" s="77"/>
      <c r="P556" s="77"/>
      <c r="Q556" s="77"/>
      <c r="R556" s="77"/>
      <c r="S556" s="77"/>
      <c r="T556" s="77"/>
      <c r="U556" s="77"/>
      <c r="V556" s="77"/>
      <c r="W556" s="77"/>
      <c r="X556" s="77"/>
      <c r="Y556" s="77"/>
      <c r="Z556" s="77"/>
      <c r="AA556" s="77"/>
      <c r="AB556" s="77"/>
      <c r="AC556" s="77"/>
      <c r="AD556" s="77"/>
      <c r="AE556" s="77"/>
      <c r="AF556" s="77"/>
      <c r="AG556" s="77"/>
    </row>
    <row r="557" spans="1:33" ht="30.75" customHeight="1" thickBot="1" x14ac:dyDescent="0.25">
      <c r="D557" s="455" t="s">
        <v>145</v>
      </c>
      <c r="E557" s="455"/>
      <c r="F557" s="455"/>
      <c r="G557" s="455"/>
      <c r="H557" s="455"/>
      <c r="I557" s="455"/>
      <c r="J557" s="455"/>
      <c r="K557" s="455"/>
      <c r="L557" s="455"/>
      <c r="M557" s="455"/>
      <c r="N557" s="455" t="s">
        <v>16</v>
      </c>
      <c r="O557" s="455"/>
      <c r="P557" s="455"/>
      <c r="Q557" s="455"/>
      <c r="R557" s="455"/>
      <c r="S557" s="455"/>
      <c r="T557" s="455"/>
      <c r="U557" s="455"/>
      <c r="V557" s="455"/>
      <c r="W557" s="455"/>
      <c r="X557" s="455" t="s">
        <v>17</v>
      </c>
      <c r="Y557" s="455"/>
      <c r="Z557" s="455"/>
      <c r="AA557" s="455"/>
      <c r="AB557" s="455"/>
      <c r="AC557" s="455"/>
      <c r="AD557" s="455"/>
      <c r="AE557" s="455"/>
      <c r="AF557" s="455"/>
      <c r="AG557" s="455"/>
    </row>
    <row r="558" spans="1:33" ht="25.5" customHeight="1" thickBot="1" x14ac:dyDescent="0.25">
      <c r="D558" s="347" t="s">
        <v>247</v>
      </c>
      <c r="E558" s="347"/>
      <c r="F558" s="347"/>
      <c r="G558" s="347"/>
      <c r="H558" s="347"/>
      <c r="I558" s="347"/>
      <c r="J558" s="347"/>
      <c r="K558" s="347"/>
      <c r="L558" s="347"/>
      <c r="M558" s="347"/>
      <c r="N558" s="456">
        <f>+N559+N560</f>
        <v>197.82</v>
      </c>
      <c r="O558" s="456"/>
      <c r="P558" s="456"/>
      <c r="Q558" s="456"/>
      <c r="R558" s="456"/>
      <c r="S558" s="456"/>
      <c r="T558" s="456"/>
      <c r="U558" s="456"/>
      <c r="V558" s="456"/>
      <c r="W558" s="456"/>
      <c r="X558" s="456">
        <f>+X559+X560</f>
        <v>54</v>
      </c>
      <c r="Y558" s="456"/>
      <c r="Z558" s="456"/>
      <c r="AA558" s="456"/>
      <c r="AB558" s="456"/>
      <c r="AC558" s="456"/>
      <c r="AD558" s="456"/>
      <c r="AE558" s="456"/>
      <c r="AF558" s="456"/>
      <c r="AG558" s="456"/>
    </row>
    <row r="559" spans="1:33" ht="25.5" customHeight="1" x14ac:dyDescent="0.2">
      <c r="D559" s="457" t="s">
        <v>248</v>
      </c>
      <c r="E559" s="457"/>
      <c r="F559" s="457"/>
      <c r="G559" s="457"/>
      <c r="H559" s="457"/>
      <c r="I559" s="457"/>
      <c r="J559" s="457"/>
      <c r="K559" s="457"/>
      <c r="L559" s="457"/>
      <c r="M559" s="457"/>
      <c r="N559" s="372">
        <f>-VLOOKUP(383100,'Účtovná osnova'!$A$1:$I$1068,6,FALSE)</f>
        <v>197.82</v>
      </c>
      <c r="O559" s="372"/>
      <c r="P559" s="372"/>
      <c r="Q559" s="372"/>
      <c r="R559" s="372"/>
      <c r="S559" s="372"/>
      <c r="T559" s="372"/>
      <c r="U559" s="372"/>
      <c r="V559" s="372"/>
      <c r="W559" s="372"/>
      <c r="X559" s="372">
        <v>54</v>
      </c>
      <c r="Y559" s="372"/>
      <c r="Z559" s="372"/>
      <c r="AA559" s="372"/>
      <c r="AB559" s="372"/>
      <c r="AC559" s="372"/>
      <c r="AD559" s="372"/>
      <c r="AE559" s="372"/>
      <c r="AF559" s="372"/>
      <c r="AG559" s="372"/>
    </row>
    <row r="560" spans="1:33" ht="25.5" customHeight="1" thickBot="1" x14ac:dyDescent="0.25">
      <c r="A560" s="35"/>
      <c r="D560" s="457" t="s">
        <v>474</v>
      </c>
      <c r="E560" s="457"/>
      <c r="F560" s="457"/>
      <c r="G560" s="457"/>
      <c r="H560" s="457"/>
      <c r="I560" s="457"/>
      <c r="J560" s="457"/>
      <c r="K560" s="457"/>
      <c r="L560" s="457"/>
      <c r="M560" s="457"/>
      <c r="N560" s="372"/>
      <c r="O560" s="372"/>
      <c r="P560" s="372"/>
      <c r="Q560" s="372"/>
      <c r="R560" s="372"/>
      <c r="S560" s="372"/>
      <c r="T560" s="372"/>
      <c r="U560" s="372"/>
      <c r="V560" s="372"/>
      <c r="W560" s="372"/>
      <c r="X560" s="372"/>
      <c r="Y560" s="372"/>
      <c r="Z560" s="372"/>
      <c r="AA560" s="372"/>
      <c r="AB560" s="372"/>
      <c r="AC560" s="372"/>
      <c r="AD560" s="372"/>
      <c r="AE560" s="372"/>
      <c r="AF560" s="372"/>
      <c r="AG560" s="372"/>
    </row>
    <row r="561" spans="1:35" ht="25.5" customHeight="1" thickBot="1" x14ac:dyDescent="0.25">
      <c r="D561" s="347" t="s">
        <v>249</v>
      </c>
      <c r="E561" s="347"/>
      <c r="F561" s="347"/>
      <c r="G561" s="347"/>
      <c r="H561" s="347"/>
      <c r="I561" s="347"/>
      <c r="J561" s="347"/>
      <c r="K561" s="347"/>
      <c r="L561" s="347"/>
      <c r="M561" s="347"/>
      <c r="N561" s="456">
        <f>+N562+N563</f>
        <v>19079.03</v>
      </c>
      <c r="O561" s="456"/>
      <c r="P561" s="456"/>
      <c r="Q561" s="456"/>
      <c r="R561" s="456"/>
      <c r="S561" s="456"/>
      <c r="T561" s="456"/>
      <c r="U561" s="456"/>
      <c r="V561" s="456"/>
      <c r="W561" s="456"/>
      <c r="X561" s="456">
        <f>+X562+X563</f>
        <v>41488</v>
      </c>
      <c r="Y561" s="456"/>
      <c r="Z561" s="456"/>
      <c r="AA561" s="456"/>
      <c r="AB561" s="456"/>
      <c r="AC561" s="456"/>
      <c r="AD561" s="456"/>
      <c r="AE561" s="456"/>
      <c r="AF561" s="456"/>
      <c r="AG561" s="456"/>
    </row>
    <row r="562" spans="1:35" ht="25.5" customHeight="1" x14ac:dyDescent="0.2">
      <c r="A562" s="35"/>
      <c r="D562" s="457" t="s">
        <v>250</v>
      </c>
      <c r="E562" s="457"/>
      <c r="F562" s="457"/>
      <c r="G562" s="457"/>
      <c r="H562" s="457"/>
      <c r="I562" s="457"/>
      <c r="J562" s="457"/>
      <c r="K562" s="457"/>
      <c r="L562" s="457"/>
      <c r="M562" s="457"/>
      <c r="N562" s="372">
        <f>-SUBTOTAL(9,'[6]Vecné položky'!$K$2:$K$8)</f>
        <v>19079.03</v>
      </c>
      <c r="O562" s="372"/>
      <c r="P562" s="372"/>
      <c r="Q562" s="372"/>
      <c r="R562" s="372"/>
      <c r="S562" s="372"/>
      <c r="T562" s="372"/>
      <c r="U562" s="372"/>
      <c r="V562" s="372"/>
      <c r="W562" s="372"/>
      <c r="X562" s="372">
        <v>16884</v>
      </c>
      <c r="Y562" s="372"/>
      <c r="Z562" s="372"/>
      <c r="AA562" s="372"/>
      <c r="AB562" s="372"/>
      <c r="AC562" s="372"/>
      <c r="AD562" s="372"/>
      <c r="AE562" s="372"/>
      <c r="AF562" s="372"/>
      <c r="AG562" s="372"/>
    </row>
    <row r="563" spans="1:35" ht="25.5" customHeight="1" thickBot="1" x14ac:dyDescent="0.25">
      <c r="D563" s="587" t="s">
        <v>1685</v>
      </c>
      <c r="E563" s="386"/>
      <c r="F563" s="386"/>
      <c r="G563" s="386"/>
      <c r="H563" s="386"/>
      <c r="I563" s="386"/>
      <c r="J563" s="386"/>
      <c r="K563" s="386"/>
      <c r="L563" s="386"/>
      <c r="M563" s="386"/>
      <c r="N563" s="510">
        <f>-VLOOKUP(384100,'Účtovná osnova'!$A$1:$I$1068,6,FALSE)-N562</f>
        <v>0</v>
      </c>
      <c r="O563" s="510"/>
      <c r="P563" s="510"/>
      <c r="Q563" s="510"/>
      <c r="R563" s="510"/>
      <c r="S563" s="510"/>
      <c r="T563" s="510"/>
      <c r="U563" s="510"/>
      <c r="V563" s="510"/>
      <c r="W563" s="510"/>
      <c r="X563" s="510">
        <v>24604</v>
      </c>
      <c r="Y563" s="510"/>
      <c r="Z563" s="510"/>
      <c r="AA563" s="510"/>
      <c r="AB563" s="510"/>
      <c r="AC563" s="510"/>
      <c r="AD563" s="510"/>
      <c r="AE563" s="510"/>
      <c r="AF563" s="510"/>
      <c r="AG563" s="510"/>
    </row>
    <row r="564" spans="1:35" ht="25.5" customHeight="1" x14ac:dyDescent="0.2">
      <c r="D564" s="77"/>
      <c r="E564" s="77"/>
      <c r="F564" s="77"/>
      <c r="G564" s="77"/>
      <c r="H564" s="77"/>
      <c r="I564" s="77"/>
      <c r="J564" s="77"/>
      <c r="K564" s="77"/>
      <c r="L564" s="77"/>
      <c r="M564" s="77"/>
      <c r="N564" s="77"/>
      <c r="O564" s="77"/>
      <c r="P564" s="77"/>
      <c r="Q564" s="77"/>
      <c r="R564" s="77"/>
      <c r="S564" s="77"/>
      <c r="T564" s="77"/>
      <c r="U564" s="77"/>
      <c r="V564" s="77"/>
      <c r="W564" s="77"/>
      <c r="X564" s="77"/>
      <c r="Y564" s="77"/>
      <c r="Z564" s="77"/>
      <c r="AA564" s="77"/>
      <c r="AB564" s="77"/>
      <c r="AC564" s="77"/>
      <c r="AD564" s="77"/>
      <c r="AE564" s="77"/>
      <c r="AF564" s="77"/>
      <c r="AG564" s="77"/>
    </row>
    <row r="565" spans="1:35" ht="14.25" customHeight="1" x14ac:dyDescent="0.25">
      <c r="D565" s="41" t="s">
        <v>392</v>
      </c>
      <c r="E565" s="77"/>
      <c r="F565" s="77"/>
      <c r="G565" s="77"/>
      <c r="H565" s="77"/>
      <c r="I565" s="77"/>
      <c r="J565" s="77"/>
      <c r="K565" s="77"/>
      <c r="L565" s="77"/>
      <c r="M565" s="77"/>
      <c r="N565" s="77"/>
      <c r="O565" s="77"/>
      <c r="P565" s="77"/>
      <c r="Q565" s="77"/>
      <c r="R565" s="77"/>
      <c r="S565" s="77"/>
      <c r="T565" s="77"/>
      <c r="U565" s="77"/>
      <c r="V565" s="77"/>
      <c r="W565" s="77"/>
      <c r="X565" s="77"/>
      <c r="Y565" s="77"/>
      <c r="Z565" s="77"/>
      <c r="AA565" s="77"/>
      <c r="AB565" s="77"/>
      <c r="AC565" s="77"/>
      <c r="AD565" s="77"/>
      <c r="AE565" s="77"/>
      <c r="AF565" s="77"/>
      <c r="AG565" s="77"/>
    </row>
    <row r="566" spans="1:35" ht="14.25" customHeight="1" x14ac:dyDescent="0.2">
      <c r="D566" s="77"/>
      <c r="E566" s="77"/>
      <c r="F566" s="77"/>
      <c r="G566" s="77"/>
      <c r="H566" s="77"/>
      <c r="I566" s="77"/>
      <c r="J566" s="77"/>
      <c r="K566" s="77"/>
      <c r="L566" s="77"/>
      <c r="M566" s="77"/>
      <c r="N566" s="77"/>
      <c r="O566" s="77"/>
      <c r="P566" s="77"/>
      <c r="Q566" s="77"/>
      <c r="R566" s="77"/>
      <c r="S566" s="77"/>
      <c r="T566" s="77"/>
      <c r="U566" s="77"/>
      <c r="V566" s="77"/>
      <c r="W566" s="77"/>
      <c r="X566" s="77"/>
      <c r="Y566" s="77"/>
      <c r="Z566" s="77"/>
      <c r="AA566" s="77"/>
      <c r="AB566" s="77"/>
      <c r="AC566" s="77"/>
      <c r="AD566" s="77"/>
      <c r="AE566" s="77"/>
      <c r="AF566" s="77"/>
      <c r="AG566" s="77"/>
    </row>
    <row r="567" spans="1:35" ht="14.25" customHeight="1" x14ac:dyDescent="0.25">
      <c r="D567" s="297" t="s">
        <v>251</v>
      </c>
      <c r="E567" s="297"/>
      <c r="F567" s="297"/>
      <c r="G567" s="297"/>
      <c r="H567" s="297"/>
      <c r="I567" s="297"/>
      <c r="J567" s="297"/>
      <c r="K567" s="297"/>
      <c r="L567" s="297"/>
      <c r="M567" s="297"/>
      <c r="N567" s="297"/>
      <c r="O567" s="297"/>
      <c r="P567" s="297"/>
      <c r="Q567" s="297"/>
      <c r="R567" s="297"/>
      <c r="S567" s="297"/>
      <c r="T567" s="297"/>
      <c r="U567" s="297"/>
      <c r="V567" s="297"/>
      <c r="W567" s="297"/>
      <c r="X567" s="297"/>
      <c r="Y567" s="297"/>
      <c r="Z567" s="297"/>
      <c r="AA567" s="297"/>
      <c r="AB567" s="297"/>
      <c r="AC567" s="297"/>
      <c r="AD567" s="297"/>
      <c r="AE567" s="297"/>
      <c r="AF567" s="297"/>
      <c r="AG567" s="297"/>
    </row>
    <row r="568" spans="1:35" ht="14.25" customHeight="1" x14ac:dyDescent="0.2">
      <c r="D568" s="77"/>
      <c r="E568" s="77"/>
      <c r="F568" s="77"/>
      <c r="G568" s="77"/>
      <c r="H568" s="77"/>
      <c r="I568" s="77"/>
      <c r="J568" s="77"/>
      <c r="K568" s="77"/>
      <c r="L568" s="77"/>
      <c r="M568" s="77"/>
      <c r="N568" s="77"/>
      <c r="O568" s="77"/>
      <c r="P568" s="77"/>
      <c r="Q568" s="77"/>
      <c r="R568" s="77"/>
      <c r="S568" s="77"/>
      <c r="T568" s="77"/>
      <c r="U568" s="77"/>
      <c r="V568" s="77"/>
      <c r="W568" s="77"/>
      <c r="X568" s="77"/>
      <c r="Y568" s="77"/>
      <c r="Z568" s="77"/>
      <c r="AA568" s="77"/>
      <c r="AB568" s="77"/>
      <c r="AC568" s="77"/>
      <c r="AD568" s="77"/>
      <c r="AE568" s="77"/>
      <c r="AF568" s="77"/>
      <c r="AG568" s="77"/>
    </row>
    <row r="569" spans="1:35" ht="14.25" customHeight="1" x14ac:dyDescent="0.2">
      <c r="D569" s="364" t="s">
        <v>252</v>
      </c>
      <c r="E569" s="364"/>
      <c r="F569" s="364"/>
      <c r="G569" s="364"/>
      <c r="H569" s="364"/>
      <c r="I569" s="364"/>
      <c r="J569" s="364"/>
      <c r="K569" s="364"/>
      <c r="L569" s="364"/>
      <c r="M569" s="364"/>
      <c r="N569" s="364"/>
      <c r="O569" s="364"/>
      <c r="P569" s="364"/>
      <c r="Q569" s="364"/>
      <c r="R569" s="364"/>
      <c r="S569" s="364"/>
      <c r="T569" s="364"/>
      <c r="U569" s="364"/>
      <c r="V569" s="364"/>
      <c r="W569" s="364"/>
      <c r="X569" s="364"/>
      <c r="Y569" s="364"/>
      <c r="Z569" s="364"/>
      <c r="AA569" s="364"/>
      <c r="AB569" s="364"/>
      <c r="AC569" s="364"/>
      <c r="AD569" s="364"/>
      <c r="AE569" s="364"/>
      <c r="AF569" s="364"/>
      <c r="AG569" s="364"/>
    </row>
    <row r="570" spans="1:35" ht="14.25" customHeight="1" thickBot="1" x14ac:dyDescent="0.25">
      <c r="D570" s="77"/>
      <c r="E570" s="77"/>
      <c r="F570" s="77"/>
      <c r="G570" s="77"/>
      <c r="H570" s="77"/>
      <c r="I570" s="77"/>
      <c r="J570" s="77"/>
      <c r="K570" s="77"/>
      <c r="L570" s="77"/>
      <c r="M570" s="77"/>
      <c r="N570" s="77"/>
      <c r="O570" s="77"/>
      <c r="P570" s="77"/>
      <c r="Q570" s="77"/>
      <c r="R570" s="77"/>
      <c r="S570" s="77"/>
      <c r="T570" s="77"/>
      <c r="U570" s="77"/>
      <c r="V570" s="77"/>
      <c r="W570" s="77"/>
      <c r="X570" s="77"/>
      <c r="Y570" s="77"/>
      <c r="Z570" s="77"/>
      <c r="AA570" s="77"/>
      <c r="AB570" s="77"/>
      <c r="AC570" s="77"/>
      <c r="AD570" s="77"/>
      <c r="AE570" s="77"/>
      <c r="AF570" s="77"/>
      <c r="AG570" s="77"/>
    </row>
    <row r="571" spans="1:35" ht="25.5" customHeight="1" thickBot="1" x14ac:dyDescent="0.25">
      <c r="D571" s="322" t="s">
        <v>253</v>
      </c>
      <c r="E571" s="322"/>
      <c r="F571" s="322"/>
      <c r="G571" s="322"/>
      <c r="H571" s="322"/>
      <c r="I571" s="322"/>
      <c r="J571" s="278" t="s">
        <v>409</v>
      </c>
      <c r="K571" s="278"/>
      <c r="L571" s="278"/>
      <c r="M571" s="278"/>
      <c r="N571" s="278"/>
      <c r="O571" s="278"/>
      <c r="P571" s="278"/>
      <c r="Q571" s="278"/>
      <c r="R571" s="278" t="s">
        <v>254</v>
      </c>
      <c r="S571" s="278"/>
      <c r="T571" s="278"/>
      <c r="U571" s="278"/>
      <c r="V571" s="278"/>
      <c r="W571" s="278"/>
      <c r="X571" s="278"/>
      <c r="Y571" s="278"/>
      <c r="Z571" s="278" t="s">
        <v>255</v>
      </c>
      <c r="AA571" s="278"/>
      <c r="AB571" s="278"/>
      <c r="AC571" s="278"/>
      <c r="AD571" s="278"/>
      <c r="AE571" s="278"/>
      <c r="AF571" s="278"/>
      <c r="AG571" s="278"/>
    </row>
    <row r="572" spans="1:35" ht="47.25" customHeight="1" thickBot="1" x14ac:dyDescent="0.25">
      <c r="D572" s="322"/>
      <c r="E572" s="322"/>
      <c r="F572" s="322"/>
      <c r="G572" s="322"/>
      <c r="H572" s="322"/>
      <c r="I572" s="322"/>
      <c r="J572" s="278" t="s">
        <v>16</v>
      </c>
      <c r="K572" s="278"/>
      <c r="L572" s="278"/>
      <c r="M572" s="278"/>
      <c r="N572" s="278" t="s">
        <v>256</v>
      </c>
      <c r="O572" s="278"/>
      <c r="P572" s="278"/>
      <c r="Q572" s="278"/>
      <c r="R572" s="278" t="s">
        <v>16</v>
      </c>
      <c r="S572" s="278"/>
      <c r="T572" s="278"/>
      <c r="U572" s="278"/>
      <c r="V572" s="278" t="s">
        <v>256</v>
      </c>
      <c r="W572" s="278"/>
      <c r="X572" s="278"/>
      <c r="Y572" s="278"/>
      <c r="Z572" s="278" t="s">
        <v>16</v>
      </c>
      <c r="AA572" s="278"/>
      <c r="AB572" s="278"/>
      <c r="AC572" s="278"/>
      <c r="AD572" s="278" t="s">
        <v>256</v>
      </c>
      <c r="AE572" s="278"/>
      <c r="AF572" s="278"/>
      <c r="AG572" s="278"/>
    </row>
    <row r="573" spans="1:35" ht="13.95" customHeight="1" x14ac:dyDescent="0.2">
      <c r="D573" s="461" t="s">
        <v>257</v>
      </c>
      <c r="E573" s="461"/>
      <c r="F573" s="461"/>
      <c r="G573" s="461"/>
      <c r="H573" s="461"/>
      <c r="I573" s="461"/>
      <c r="J573" s="458">
        <f>-VLOOKUP(604999,'Účtovná osnova'!$A$1:$I$1068,6,FALSE)-VLOOKUP(624999,'Účtovná osnova'!$A$1:$I$1068,6,FALSE)-VLOOKUP(641084,'Účtovná osnova'!$A$1:$I$1068,6,FALSE)-VLOOKUP(641999,'Účtovná osnova'!$A$1:$I$1068,6,FALSE)-VLOOKUP(642999,'Účtovná osnova'!$A$1:$I$1068,6,FALSE)-SUM(J574:M593)-R594-Z594</f>
        <v>35695594.31000001</v>
      </c>
      <c r="K573" s="459"/>
      <c r="L573" s="459"/>
      <c r="M573" s="460"/>
      <c r="N573" s="458">
        <f>43609740-SUM(N574:Q593)</f>
        <v>41110317</v>
      </c>
      <c r="O573" s="459"/>
      <c r="P573" s="459"/>
      <c r="Q573" s="460"/>
      <c r="R573" s="458">
        <f>[7]Sheet1!$U$4152-SUM(R574:U593)</f>
        <v>5181234.3899999997</v>
      </c>
      <c r="S573" s="459"/>
      <c r="T573" s="459"/>
      <c r="U573" s="460"/>
      <c r="V573" s="458">
        <f>7239709-SUM(V574:Y593)</f>
        <v>7231467</v>
      </c>
      <c r="W573" s="459"/>
      <c r="X573" s="459"/>
      <c r="Y573" s="460"/>
      <c r="Z573" s="458">
        <f>[7]Sheet1!$AA$4152-SUM(Z574:AC593)</f>
        <v>4963918.5200000005</v>
      </c>
      <c r="AA573" s="459"/>
      <c r="AB573" s="459"/>
      <c r="AC573" s="460"/>
      <c r="AD573" s="458">
        <f>3760489-SUM(AD574:AG593)</f>
        <v>3649423</v>
      </c>
      <c r="AE573" s="459"/>
      <c r="AF573" s="459"/>
      <c r="AG573" s="460"/>
      <c r="AI573" s="82"/>
    </row>
    <row r="574" spans="1:35" ht="13.95" customHeight="1" x14ac:dyDescent="0.2">
      <c r="D574" s="254" t="s">
        <v>258</v>
      </c>
      <c r="E574" s="252"/>
      <c r="F574" s="252"/>
      <c r="G574" s="252"/>
      <c r="H574" s="252"/>
      <c r="I574" s="253"/>
      <c r="J574" s="211">
        <f>IFERROR(VLOOKUP($D574,'[8]Pivot-KRAJINY'!$A$4:$D$18,2,FALSE),"0")</f>
        <v>1983313.47</v>
      </c>
      <c r="K574" s="212"/>
      <c r="L574" s="212"/>
      <c r="M574" s="213"/>
      <c r="N574" s="211">
        <v>1634968</v>
      </c>
      <c r="O574" s="212"/>
      <c r="P574" s="212"/>
      <c r="Q574" s="213"/>
      <c r="R574" s="211">
        <f>IFERROR(VLOOKUP($D574,'[8]Pivot-KRAJINY'!$A$4:$D$18,3,FALSE),"")</f>
        <v>133119.32</v>
      </c>
      <c r="S574" s="212"/>
      <c r="T574" s="212"/>
      <c r="U574" s="213"/>
      <c r="V574" s="211">
        <v>7946</v>
      </c>
      <c r="W574" s="212"/>
      <c r="X574" s="212"/>
      <c r="Y574" s="213"/>
      <c r="Z574" s="211">
        <f>IFERROR(VLOOKUP($D574,'[8]Pivot-KRAJINY'!$A$4:$D$18,4,FALSE),"")</f>
        <v>43988.1</v>
      </c>
      <c r="AA574" s="212"/>
      <c r="AB574" s="212"/>
      <c r="AC574" s="213"/>
      <c r="AD574" s="211">
        <v>62321</v>
      </c>
      <c r="AE574" s="212"/>
      <c r="AF574" s="212"/>
      <c r="AG574" s="213"/>
    </row>
    <row r="575" spans="1:35" ht="14.25" customHeight="1" x14ac:dyDescent="0.2">
      <c r="D575" s="254" t="s">
        <v>260</v>
      </c>
      <c r="E575" s="252"/>
      <c r="F575" s="252"/>
      <c r="G575" s="252"/>
      <c r="H575" s="252"/>
      <c r="I575" s="253"/>
      <c r="J575" s="211">
        <f>IFERROR(VLOOKUP($D575,'[8]Pivot-KRAJINY'!$A$4:$D$18,2,FALSE),"0")</f>
        <v>644815.82999999996</v>
      </c>
      <c r="K575" s="212"/>
      <c r="L575" s="212"/>
      <c r="M575" s="213"/>
      <c r="N575" s="211">
        <v>96249</v>
      </c>
      <c r="O575" s="212"/>
      <c r="P575" s="212"/>
      <c r="Q575" s="213"/>
      <c r="R575" s="211">
        <f>IFERROR(VLOOKUP($D575,'[8]Pivot-KRAJINY'!$A$4:$D$18,3,FALSE),"")</f>
        <v>0</v>
      </c>
      <c r="S575" s="212"/>
      <c r="T575" s="212"/>
      <c r="U575" s="213"/>
      <c r="V575" s="211"/>
      <c r="W575" s="212"/>
      <c r="X575" s="212"/>
      <c r="Y575" s="213"/>
      <c r="Z575" s="211">
        <f>IFERROR(VLOOKUP($D575,'[8]Pivot-KRAJINY'!$A$4:$D$18,4,FALSE),"")</f>
        <v>2941.3399999999997</v>
      </c>
      <c r="AA575" s="212"/>
      <c r="AB575" s="212"/>
      <c r="AC575" s="213"/>
      <c r="AD575" s="211">
        <v>8872</v>
      </c>
      <c r="AE575" s="212"/>
      <c r="AF575" s="212"/>
      <c r="AG575" s="213"/>
    </row>
    <row r="576" spans="1:35" ht="14.25" customHeight="1" x14ac:dyDescent="0.2">
      <c r="D576" s="254" t="s">
        <v>261</v>
      </c>
      <c r="E576" s="252"/>
      <c r="F576" s="252"/>
      <c r="G576" s="252"/>
      <c r="H576" s="252"/>
      <c r="I576" s="253"/>
      <c r="J576" s="211">
        <f>IFERROR(VLOOKUP($D576,'[8]Pivot-KRAJINY'!$A$4:$D$18,2,FALSE),"0")</f>
        <v>489924.17</v>
      </c>
      <c r="K576" s="212"/>
      <c r="L576" s="212"/>
      <c r="M576" s="213"/>
      <c r="N576" s="211">
        <v>460324</v>
      </c>
      <c r="O576" s="212"/>
      <c r="P576" s="212"/>
      <c r="Q576" s="213"/>
      <c r="R576" s="211">
        <f>IFERROR(VLOOKUP($D576,'[8]Pivot-KRAJINY'!$A$4:$D$18,3,FALSE),"")</f>
        <v>2670.01</v>
      </c>
      <c r="S576" s="212"/>
      <c r="T576" s="212"/>
      <c r="U576" s="213"/>
      <c r="V576" s="211"/>
      <c r="W576" s="212"/>
      <c r="X576" s="212"/>
      <c r="Y576" s="213"/>
      <c r="Z576" s="211">
        <f>IFERROR(VLOOKUP($D576,'[8]Pivot-KRAJINY'!$A$4:$D$18,4,FALSE),"")</f>
        <v>671.86</v>
      </c>
      <c r="AA576" s="212"/>
      <c r="AB576" s="212"/>
      <c r="AC576" s="213"/>
      <c r="AD576" s="211">
        <v>7378</v>
      </c>
      <c r="AE576" s="212"/>
      <c r="AF576" s="212"/>
      <c r="AG576" s="213"/>
    </row>
    <row r="577" spans="1:34" ht="14.25" customHeight="1" x14ac:dyDescent="0.2">
      <c r="A577" s="34"/>
      <c r="D577" s="254" t="s">
        <v>259</v>
      </c>
      <c r="E577" s="252"/>
      <c r="F577" s="252"/>
      <c r="G577" s="252"/>
      <c r="H577" s="252"/>
      <c r="I577" s="253"/>
      <c r="J577" s="211">
        <f>IFERROR(VLOOKUP($D577,'[8]Pivot-KRAJINY'!$A$4:$D$18,2,FALSE),"0")</f>
        <v>144167</v>
      </c>
      <c r="K577" s="212"/>
      <c r="L577" s="212"/>
      <c r="M577" s="213"/>
      <c r="N577" s="211">
        <v>22500</v>
      </c>
      <c r="O577" s="212"/>
      <c r="P577" s="212"/>
      <c r="Q577" s="213"/>
      <c r="R577" s="211">
        <f>IFERROR(VLOOKUP($D577,'[8]Pivot-KRAJINY'!$A$4:$D$18,3,FALSE),"")</f>
        <v>4200</v>
      </c>
      <c r="S577" s="212"/>
      <c r="T577" s="212"/>
      <c r="U577" s="213"/>
      <c r="V577" s="168"/>
      <c r="W577" s="167"/>
      <c r="X577" s="167"/>
      <c r="Y577" s="169"/>
      <c r="Z577" s="211">
        <f>IFERROR(VLOOKUP($D577,'[8]Pivot-KRAJINY'!$A$4:$D$18,4,FALSE),"")</f>
        <v>633.24</v>
      </c>
      <c r="AA577" s="212"/>
      <c r="AB577" s="212"/>
      <c r="AC577" s="213"/>
      <c r="AD577" s="211">
        <v>400</v>
      </c>
      <c r="AE577" s="212"/>
      <c r="AF577" s="212"/>
      <c r="AG577" s="213"/>
    </row>
    <row r="578" spans="1:34" ht="14.25" customHeight="1" x14ac:dyDescent="0.2">
      <c r="D578" s="254" t="s">
        <v>266</v>
      </c>
      <c r="E578" s="252"/>
      <c r="F578" s="252"/>
      <c r="G578" s="252"/>
      <c r="H578" s="252"/>
      <c r="I578" s="253"/>
      <c r="J578" s="211">
        <f>IFERROR(VLOOKUP($D578,'[8]Pivot-KRAJINY'!$A$4:$D$18,2,FALSE),"0")</f>
        <v>133300</v>
      </c>
      <c r="K578" s="212"/>
      <c r="L578" s="212"/>
      <c r="M578" s="213"/>
      <c r="N578" s="211"/>
      <c r="O578" s="212"/>
      <c r="P578" s="212"/>
      <c r="Q578" s="213"/>
      <c r="R578" s="211">
        <f>IFERROR(VLOOKUP($D578,'[8]Pivot-KRAJINY'!$A$4:$D$18,3,FALSE),"")</f>
        <v>169.56</v>
      </c>
      <c r="S578" s="212"/>
      <c r="T578" s="212"/>
      <c r="U578" s="213"/>
      <c r="V578" s="211"/>
      <c r="W578" s="212"/>
      <c r="X578" s="212"/>
      <c r="Y578" s="213"/>
      <c r="Z578" s="211">
        <f>IFERROR(VLOOKUP($D578,'[8]Pivot-KRAJINY'!$A$4:$D$18,4,FALSE),"")</f>
        <v>177.05</v>
      </c>
      <c r="AA578" s="212"/>
      <c r="AB578" s="212"/>
      <c r="AC578" s="213"/>
      <c r="AD578" s="211">
        <v>3956</v>
      </c>
      <c r="AE578" s="212"/>
      <c r="AF578" s="212"/>
      <c r="AG578" s="213"/>
    </row>
    <row r="579" spans="1:34" ht="14.25" customHeight="1" x14ac:dyDescent="0.2">
      <c r="D579" s="254" t="s">
        <v>268</v>
      </c>
      <c r="E579" s="252"/>
      <c r="F579" s="252"/>
      <c r="G579" s="252"/>
      <c r="H579" s="252"/>
      <c r="I579" s="253"/>
      <c r="J579" s="211">
        <f>IFERROR(VLOOKUP($D579,'[8]Pivot-KRAJINY'!$A$4:$D$18,2,FALSE),"0")</f>
        <v>94079.2</v>
      </c>
      <c r="K579" s="212"/>
      <c r="L579" s="212"/>
      <c r="M579" s="213"/>
      <c r="N579" s="211">
        <v>46134</v>
      </c>
      <c r="O579" s="212"/>
      <c r="P579" s="212"/>
      <c r="Q579" s="213"/>
      <c r="R579" s="211">
        <f>IFERROR(VLOOKUP($D579,'[8]Pivot-KRAJINY'!$A$4:$D$18,3,FALSE),"")</f>
        <v>395.49</v>
      </c>
      <c r="S579" s="212"/>
      <c r="T579" s="212"/>
      <c r="U579" s="213"/>
      <c r="V579" s="211">
        <v>263</v>
      </c>
      <c r="W579" s="212"/>
      <c r="X579" s="212"/>
      <c r="Y579" s="213"/>
      <c r="Z579" s="211">
        <f>IFERROR(VLOOKUP($D579,'[8]Pivot-KRAJINY'!$A$4:$D$18,4,FALSE),"")</f>
        <v>6762.8</v>
      </c>
      <c r="AA579" s="212"/>
      <c r="AB579" s="212"/>
      <c r="AC579" s="213"/>
      <c r="AD579" s="211">
        <f>9792+388</f>
        <v>10180</v>
      </c>
      <c r="AE579" s="212"/>
      <c r="AF579" s="212"/>
      <c r="AG579" s="213"/>
    </row>
    <row r="580" spans="1:34" s="69" customFormat="1" ht="14.25" customHeight="1" x14ac:dyDescent="0.2">
      <c r="A580" s="67"/>
      <c r="D580" s="251" t="s">
        <v>1686</v>
      </c>
      <c r="E580" s="252"/>
      <c r="F580" s="252"/>
      <c r="G580" s="252"/>
      <c r="H580" s="252"/>
      <c r="I580" s="253"/>
      <c r="J580" s="211">
        <f>IFERROR(VLOOKUP($D580,'[8]Pivot-KRAJINY'!$A$4:$D$18,2,FALSE),"0")</f>
        <v>24166</v>
      </c>
      <c r="K580" s="212"/>
      <c r="L580" s="212"/>
      <c r="M580" s="213"/>
      <c r="N580" s="211"/>
      <c r="O580" s="212"/>
      <c r="P580" s="212"/>
      <c r="Q580" s="213"/>
      <c r="R580" s="211">
        <f>IFERROR(VLOOKUP($D580,'[8]Pivot-KRAJINY'!$A$4:$D$18,3,FALSE),"")</f>
        <v>0</v>
      </c>
      <c r="S580" s="212"/>
      <c r="T580" s="212"/>
      <c r="U580" s="213"/>
      <c r="V580" s="211"/>
      <c r="W580" s="212"/>
      <c r="X580" s="212"/>
      <c r="Y580" s="213"/>
      <c r="Z580" s="211">
        <f>IFERROR(VLOOKUP($D580,'[8]Pivot-KRAJINY'!$A$4:$D$18,4,FALSE),"")</f>
        <v>0</v>
      </c>
      <c r="AA580" s="212"/>
      <c r="AB580" s="212"/>
      <c r="AC580" s="213"/>
      <c r="AD580" s="211"/>
      <c r="AE580" s="212"/>
      <c r="AF580" s="212"/>
      <c r="AG580" s="213"/>
      <c r="AH580" s="77"/>
    </row>
    <row r="581" spans="1:34" ht="14.25" customHeight="1" x14ac:dyDescent="0.2">
      <c r="D581" s="254" t="s">
        <v>265</v>
      </c>
      <c r="E581" s="252"/>
      <c r="F581" s="252"/>
      <c r="G581" s="252"/>
      <c r="H581" s="252"/>
      <c r="I581" s="253"/>
      <c r="J581" s="211">
        <f>IFERROR(VLOOKUP($D581,'[8]Pivot-KRAJINY'!$A$4:$D$18,2,FALSE),"0")</f>
        <v>23333.360000000001</v>
      </c>
      <c r="K581" s="212"/>
      <c r="L581" s="212"/>
      <c r="M581" s="213"/>
      <c r="N581" s="211"/>
      <c r="O581" s="212"/>
      <c r="P581" s="212"/>
      <c r="Q581" s="213"/>
      <c r="R581" s="211">
        <f>IFERROR(VLOOKUP($D581,'[8]Pivot-KRAJINY'!$A$4:$D$18,3,FALSE),"")</f>
        <v>0</v>
      </c>
      <c r="S581" s="212"/>
      <c r="T581" s="212"/>
      <c r="U581" s="213"/>
      <c r="V581" s="211">
        <v>23</v>
      </c>
      <c r="W581" s="212"/>
      <c r="X581" s="212"/>
      <c r="Y581" s="213"/>
      <c r="Z581" s="211">
        <f>IFERROR(VLOOKUP($D581,'[8]Pivot-KRAJINY'!$A$4:$D$18,4,FALSE),"")</f>
        <v>0</v>
      </c>
      <c r="AA581" s="212"/>
      <c r="AB581" s="212"/>
      <c r="AC581" s="213"/>
      <c r="AD581" s="211">
        <v>2219</v>
      </c>
      <c r="AE581" s="212"/>
      <c r="AF581" s="212"/>
      <c r="AG581" s="213"/>
    </row>
    <row r="582" spans="1:34" ht="14.25" customHeight="1" x14ac:dyDescent="0.2">
      <c r="D582" s="254" t="s">
        <v>262</v>
      </c>
      <c r="E582" s="252"/>
      <c r="F582" s="252"/>
      <c r="G582" s="252"/>
      <c r="H582" s="252"/>
      <c r="I582" s="253"/>
      <c r="J582" s="211">
        <f>IFERROR(VLOOKUP($D582,'[8]Pivot-KRAJINY'!$A$4:$D$18,2,FALSE),"0")</f>
        <v>426</v>
      </c>
      <c r="K582" s="212"/>
      <c r="L582" s="212"/>
      <c r="M582" s="213"/>
      <c r="N582" s="211">
        <v>17083</v>
      </c>
      <c r="O582" s="212"/>
      <c r="P582" s="212"/>
      <c r="Q582" s="213"/>
      <c r="R582" s="211">
        <f>IFERROR(VLOOKUP($D582,'[8]Pivot-KRAJINY'!$A$4:$D$18,3,FALSE),"")</f>
        <v>0</v>
      </c>
      <c r="S582" s="212"/>
      <c r="T582" s="212"/>
      <c r="U582" s="213"/>
      <c r="V582" s="211"/>
      <c r="W582" s="212"/>
      <c r="X582" s="212"/>
      <c r="Y582" s="213"/>
      <c r="Z582" s="211">
        <f>IFERROR(VLOOKUP($D582,'[8]Pivot-KRAJINY'!$A$4:$D$18,4,FALSE),"")</f>
        <v>0</v>
      </c>
      <c r="AA582" s="212"/>
      <c r="AB582" s="212"/>
      <c r="AC582" s="213"/>
      <c r="AD582" s="211">
        <v>50</v>
      </c>
      <c r="AE582" s="212"/>
      <c r="AF582" s="212"/>
      <c r="AG582" s="213"/>
    </row>
    <row r="583" spans="1:34" ht="14.25" customHeight="1" x14ac:dyDescent="0.2">
      <c r="D583" s="254" t="s">
        <v>264</v>
      </c>
      <c r="E583" s="252"/>
      <c r="F583" s="252"/>
      <c r="G583" s="252"/>
      <c r="H583" s="252"/>
      <c r="I583" s="253"/>
      <c r="J583" s="211">
        <f>IFERROR(VLOOKUP($D583,'[8]Pivot-KRAJINY'!$A$4:$D$18,2,FALSE),"0")</f>
        <v>0</v>
      </c>
      <c r="K583" s="212"/>
      <c r="L583" s="212"/>
      <c r="M583" s="213"/>
      <c r="N583" s="211"/>
      <c r="O583" s="212"/>
      <c r="P583" s="212"/>
      <c r="Q583" s="213"/>
      <c r="R583" s="211">
        <f>IFERROR(VLOOKUP($D583,'[8]Pivot-KRAJINY'!$A$4:$D$18,3,FALSE),"")</f>
        <v>0</v>
      </c>
      <c r="S583" s="212"/>
      <c r="T583" s="212"/>
      <c r="U583" s="213"/>
      <c r="V583" s="211"/>
      <c r="W583" s="212"/>
      <c r="X583" s="212"/>
      <c r="Y583" s="213"/>
      <c r="Z583" s="211">
        <f>IFERROR(VLOOKUP($D583,'[8]Pivot-KRAJINY'!$A$4:$D$18,4,FALSE),"")</f>
        <v>12291.76</v>
      </c>
      <c r="AA583" s="212"/>
      <c r="AB583" s="212"/>
      <c r="AC583" s="213"/>
      <c r="AD583" s="211">
        <v>2929</v>
      </c>
      <c r="AE583" s="212"/>
      <c r="AF583" s="212"/>
      <c r="AG583" s="213"/>
    </row>
    <row r="584" spans="1:34" ht="14.25" customHeight="1" x14ac:dyDescent="0.2">
      <c r="D584" s="254" t="s">
        <v>263</v>
      </c>
      <c r="E584" s="252"/>
      <c r="F584" s="252"/>
      <c r="G584" s="252"/>
      <c r="H584" s="252"/>
      <c r="I584" s="253"/>
      <c r="J584" s="211">
        <f>IFERROR(VLOOKUP($D584,'[8]Pivot-KRAJINY'!$A$4:$D$18,2,FALSE),"0")</f>
        <v>0</v>
      </c>
      <c r="K584" s="212"/>
      <c r="L584" s="212"/>
      <c r="M584" s="213"/>
      <c r="N584" s="211">
        <v>17500</v>
      </c>
      <c r="O584" s="212"/>
      <c r="P584" s="212"/>
      <c r="Q584" s="213"/>
      <c r="R584" s="211">
        <f>IFERROR(VLOOKUP($D584,'[8]Pivot-KRAJINY'!$A$4:$D$18,3,FALSE),"")</f>
        <v>0</v>
      </c>
      <c r="S584" s="212"/>
      <c r="T584" s="212"/>
      <c r="U584" s="213"/>
      <c r="V584" s="211"/>
      <c r="W584" s="212"/>
      <c r="X584" s="212"/>
      <c r="Y584" s="213"/>
      <c r="Z584" s="211">
        <f>IFERROR(VLOOKUP($D584,'[8]Pivot-KRAJINY'!$A$4:$D$18,4,FALSE),"")</f>
        <v>4770.9400000000005</v>
      </c>
      <c r="AA584" s="212"/>
      <c r="AB584" s="212"/>
      <c r="AC584" s="213"/>
      <c r="AD584" s="211">
        <v>1598</v>
      </c>
      <c r="AE584" s="212"/>
      <c r="AF584" s="212"/>
      <c r="AG584" s="213"/>
    </row>
    <row r="585" spans="1:34" s="69" customFormat="1" ht="14.25" customHeight="1" x14ac:dyDescent="0.2">
      <c r="A585" s="67"/>
      <c r="D585" s="254" t="s">
        <v>664</v>
      </c>
      <c r="E585" s="252"/>
      <c r="F585" s="252"/>
      <c r="G585" s="252"/>
      <c r="H585" s="252"/>
      <c r="I585" s="253"/>
      <c r="J585" s="211">
        <f>IFERROR(VLOOKUP($D585,'[8]Pivot-KRAJINY'!$A$4:$D$18,2,FALSE),"0")</f>
        <v>0</v>
      </c>
      <c r="K585" s="212"/>
      <c r="L585" s="212"/>
      <c r="M585" s="213"/>
      <c r="N585" s="168"/>
      <c r="O585" s="167"/>
      <c r="P585" s="167"/>
      <c r="Q585" s="169"/>
      <c r="R585" s="211">
        <f>IFERROR(VLOOKUP($D585,'[8]Pivot-KRAJINY'!$A$4:$D$18,3,FALSE),"")</f>
        <v>0</v>
      </c>
      <c r="S585" s="212"/>
      <c r="T585" s="212"/>
      <c r="U585" s="213"/>
      <c r="V585" s="168"/>
      <c r="W585" s="167"/>
      <c r="X585" s="167"/>
      <c r="Y585" s="169"/>
      <c r="Z585" s="211">
        <f>IFERROR(VLOOKUP($D585,'[8]Pivot-KRAJINY'!$A$4:$D$18,4,FALSE),"")</f>
        <v>623.07000000000005</v>
      </c>
      <c r="AA585" s="212"/>
      <c r="AB585" s="212"/>
      <c r="AC585" s="213"/>
      <c r="AD585" s="211">
        <v>3511</v>
      </c>
      <c r="AE585" s="212"/>
      <c r="AF585" s="212"/>
      <c r="AG585" s="213"/>
      <c r="AH585" s="77"/>
    </row>
    <row r="586" spans="1:34" ht="14.25" customHeight="1" x14ac:dyDescent="0.2">
      <c r="D586" s="254" t="s">
        <v>267</v>
      </c>
      <c r="E586" s="252"/>
      <c r="F586" s="252"/>
      <c r="G586" s="252"/>
      <c r="H586" s="252"/>
      <c r="I586" s="253"/>
      <c r="J586" s="211">
        <f>IFERROR(VLOOKUP($D586,'[8]Pivot-KRAJINY'!$A$4:$D$18,2,FALSE),"0")</f>
        <v>0</v>
      </c>
      <c r="K586" s="212"/>
      <c r="L586" s="212"/>
      <c r="M586" s="213"/>
      <c r="N586" s="211"/>
      <c r="O586" s="212"/>
      <c r="P586" s="212"/>
      <c r="Q586" s="213"/>
      <c r="R586" s="211">
        <f>IFERROR(VLOOKUP($D586,'[8]Pivot-KRAJINY'!$A$4:$D$18,3,FALSE),"")</f>
        <v>0</v>
      </c>
      <c r="S586" s="212"/>
      <c r="T586" s="212"/>
      <c r="U586" s="213"/>
      <c r="V586" s="211">
        <v>10</v>
      </c>
      <c r="W586" s="212"/>
      <c r="X586" s="212"/>
      <c r="Y586" s="213"/>
      <c r="Z586" s="211">
        <f>IFERROR(VLOOKUP($D586,'[8]Pivot-KRAJINY'!$A$4:$D$18,4,FALSE),"")</f>
        <v>533.27</v>
      </c>
      <c r="AA586" s="212"/>
      <c r="AB586" s="212"/>
      <c r="AC586" s="213"/>
      <c r="AD586" s="211">
        <v>1121</v>
      </c>
      <c r="AE586" s="212"/>
      <c r="AF586" s="212"/>
      <c r="AG586" s="213"/>
    </row>
    <row r="587" spans="1:34" ht="14.25" customHeight="1" x14ac:dyDescent="0.2">
      <c r="A587" s="29"/>
      <c r="D587" s="254" t="s">
        <v>410</v>
      </c>
      <c r="E587" s="252"/>
      <c r="F587" s="252"/>
      <c r="G587" s="252"/>
      <c r="H587" s="252"/>
      <c r="I587" s="253"/>
      <c r="J587" s="211">
        <f>IFERROR(VLOOKUP($D587,'[8]Pivot-KRAJINY'!$A$4:$D$18,2,FALSE),"0")</f>
        <v>0</v>
      </c>
      <c r="K587" s="212"/>
      <c r="L587" s="212"/>
      <c r="M587" s="213"/>
      <c r="N587" s="211"/>
      <c r="O587" s="212"/>
      <c r="P587" s="212"/>
      <c r="Q587" s="213"/>
      <c r="R587" s="211">
        <f>IFERROR(VLOOKUP($D587,'[8]Pivot-KRAJINY'!$A$4:$D$18,3,FALSE),"")</f>
        <v>0</v>
      </c>
      <c r="S587" s="212"/>
      <c r="T587" s="212"/>
      <c r="U587" s="213"/>
      <c r="V587" s="211"/>
      <c r="W587" s="212"/>
      <c r="X587" s="212"/>
      <c r="Y587" s="213"/>
      <c r="Z587" s="211">
        <f>IFERROR(VLOOKUP($D587,'[8]Pivot-KRAJINY'!$A$4:$D$18,4,FALSE),"")</f>
        <v>305.64999999999998</v>
      </c>
      <c r="AA587" s="212"/>
      <c r="AB587" s="212"/>
      <c r="AC587" s="213"/>
      <c r="AD587" s="211">
        <v>1637</v>
      </c>
      <c r="AE587" s="212"/>
      <c r="AF587" s="212"/>
      <c r="AG587" s="213"/>
    </row>
    <row r="588" spans="1:34" ht="14.25" customHeight="1" x14ac:dyDescent="0.2">
      <c r="A588" s="34"/>
      <c r="D588" s="254" t="s">
        <v>668</v>
      </c>
      <c r="E588" s="252"/>
      <c r="F588" s="252"/>
      <c r="G588" s="252"/>
      <c r="H588" s="252"/>
      <c r="I588" s="253"/>
      <c r="J588" s="211">
        <f>IFERROR(VLOOKUP($D588,'[8]Pivot-KRAJINY'!$A$4:$D$18,2,FALSE),"0")</f>
        <v>0</v>
      </c>
      <c r="K588" s="212"/>
      <c r="L588" s="212"/>
      <c r="M588" s="213"/>
      <c r="N588" s="211">
        <v>73000</v>
      </c>
      <c r="O588" s="212"/>
      <c r="P588" s="212"/>
      <c r="Q588" s="213"/>
      <c r="R588" s="211">
        <f>IFERROR(VLOOKUP($D588,'[8]Pivot-KRAJINY'!$A$4:$D$18,3,FALSE),"")</f>
        <v>0</v>
      </c>
      <c r="S588" s="212"/>
      <c r="T588" s="212"/>
      <c r="U588" s="213"/>
      <c r="V588" s="211"/>
      <c r="W588" s="212"/>
      <c r="X588" s="212"/>
      <c r="Y588" s="213"/>
      <c r="Z588" s="211">
        <f>IFERROR(VLOOKUP($D588,'[8]Pivot-KRAJINY'!$A$4:$D$18,4,FALSE),"")</f>
        <v>256.8</v>
      </c>
      <c r="AA588" s="212"/>
      <c r="AB588" s="212"/>
      <c r="AC588" s="213"/>
      <c r="AD588" s="211">
        <v>3486</v>
      </c>
      <c r="AE588" s="212"/>
      <c r="AF588" s="212"/>
      <c r="AG588" s="213"/>
    </row>
    <row r="589" spans="1:34" ht="14.25" customHeight="1" x14ac:dyDescent="0.2">
      <c r="D589" s="254" t="s">
        <v>462</v>
      </c>
      <c r="E589" s="252"/>
      <c r="F589" s="252"/>
      <c r="G589" s="252"/>
      <c r="H589" s="252"/>
      <c r="I589" s="253"/>
      <c r="J589" s="211" t="str">
        <f>IFERROR(VLOOKUP($D589,'[8]Pivot-KRAJINY'!$A$4:$D$18,2,FALSE),"0")</f>
        <v>0</v>
      </c>
      <c r="K589" s="212"/>
      <c r="L589" s="212"/>
      <c r="M589" s="213"/>
      <c r="N589" s="211">
        <v>69499</v>
      </c>
      <c r="O589" s="212"/>
      <c r="P589" s="212"/>
      <c r="Q589" s="213"/>
      <c r="R589" s="211" t="str">
        <f>IFERROR(VLOOKUP($D589,'[8]Pivot-KRAJINY'!$A$4:$D$18,3,FALSE),"")</f>
        <v/>
      </c>
      <c r="S589" s="212"/>
      <c r="T589" s="212"/>
      <c r="U589" s="213"/>
      <c r="V589" s="211"/>
      <c r="W589" s="212"/>
      <c r="X589" s="212"/>
      <c r="Y589" s="213"/>
      <c r="Z589" s="211" t="str">
        <f>IFERROR(VLOOKUP($D589,'[8]Pivot-KRAJINY'!$A$4:$D$18,4,FALSE),"")</f>
        <v/>
      </c>
      <c r="AA589" s="212"/>
      <c r="AB589" s="212"/>
      <c r="AC589" s="213"/>
      <c r="AD589" s="211">
        <v>614</v>
      </c>
      <c r="AE589" s="212"/>
      <c r="AF589" s="212"/>
      <c r="AG589" s="213"/>
    </row>
    <row r="590" spans="1:34" ht="14.25" customHeight="1" x14ac:dyDescent="0.2">
      <c r="A590" s="29"/>
      <c r="D590" s="254" t="s">
        <v>411</v>
      </c>
      <c r="E590" s="252"/>
      <c r="F590" s="252"/>
      <c r="G590" s="252"/>
      <c r="H590" s="252"/>
      <c r="I590" s="253"/>
      <c r="J590" s="211" t="str">
        <f>IFERROR(VLOOKUP($D590,'[8]Pivot-KRAJINY'!$A$4:$D$18,2,FALSE),"0")</f>
        <v>0</v>
      </c>
      <c r="K590" s="212"/>
      <c r="L590" s="212"/>
      <c r="M590" s="213"/>
      <c r="N590" s="211">
        <v>34166</v>
      </c>
      <c r="O590" s="212"/>
      <c r="P590" s="212"/>
      <c r="Q590" s="213"/>
      <c r="R590" s="211" t="str">
        <f>IFERROR(VLOOKUP($D590,'[8]Pivot-KRAJINY'!$A$4:$D$18,3,FALSE),"")</f>
        <v/>
      </c>
      <c r="S590" s="212"/>
      <c r="T590" s="212"/>
      <c r="U590" s="213"/>
      <c r="V590" s="211"/>
      <c r="W590" s="212"/>
      <c r="X590" s="212"/>
      <c r="Y590" s="213"/>
      <c r="Z590" s="211" t="str">
        <f>IFERROR(VLOOKUP($D590,'[8]Pivot-KRAJINY'!$A$4:$D$18,4,FALSE),"")</f>
        <v/>
      </c>
      <c r="AA590" s="212"/>
      <c r="AB590" s="212"/>
      <c r="AC590" s="213"/>
      <c r="AD590" s="211">
        <v>130</v>
      </c>
      <c r="AE590" s="212"/>
      <c r="AF590" s="212"/>
      <c r="AG590" s="213"/>
    </row>
    <row r="591" spans="1:34" ht="14.25" customHeight="1" x14ac:dyDescent="0.2">
      <c r="A591" s="34"/>
      <c r="D591" s="254" t="s">
        <v>464</v>
      </c>
      <c r="E591" s="252"/>
      <c r="F591" s="252"/>
      <c r="G591" s="252"/>
      <c r="H591" s="252"/>
      <c r="I591" s="253"/>
      <c r="J591" s="211" t="str">
        <f>IFERROR(VLOOKUP($D591,'[8]Pivot-KRAJINY'!$A$4:$D$18,2,FALSE),"0")</f>
        <v>0</v>
      </c>
      <c r="K591" s="212"/>
      <c r="L591" s="212"/>
      <c r="M591" s="213"/>
      <c r="N591" s="211">
        <v>28000</v>
      </c>
      <c r="O591" s="212"/>
      <c r="P591" s="212"/>
      <c r="Q591" s="213"/>
      <c r="R591" s="211" t="str">
        <f>IFERROR(VLOOKUP($D591,'[8]Pivot-KRAJINY'!$A$4:$D$18,3,FALSE),"")</f>
        <v/>
      </c>
      <c r="S591" s="212"/>
      <c r="T591" s="212"/>
      <c r="U591" s="213"/>
      <c r="V591" s="211"/>
      <c r="W591" s="212"/>
      <c r="X591" s="212"/>
      <c r="Y591" s="213"/>
      <c r="Z591" s="211" t="str">
        <f>IFERROR(VLOOKUP($D591,'[8]Pivot-KRAJINY'!$A$4:$D$18,4,FALSE),"")</f>
        <v/>
      </c>
      <c r="AA591" s="212"/>
      <c r="AB591" s="212"/>
      <c r="AC591" s="213"/>
      <c r="AD591" s="211"/>
      <c r="AE591" s="212"/>
      <c r="AF591" s="212"/>
      <c r="AG591" s="213"/>
    </row>
    <row r="592" spans="1:34" ht="14.25" customHeight="1" x14ac:dyDescent="0.2">
      <c r="D592" s="254" t="s">
        <v>463</v>
      </c>
      <c r="E592" s="252"/>
      <c r="F592" s="252"/>
      <c r="G592" s="252"/>
      <c r="H592" s="252"/>
      <c r="I592" s="253"/>
      <c r="J592" s="211" t="str">
        <f>IFERROR(VLOOKUP($D592,'[8]Pivot-KRAJINY'!$A$4:$D$18,2,FALSE),"0")</f>
        <v>0</v>
      </c>
      <c r="K592" s="212"/>
      <c r="L592" s="212"/>
      <c r="M592" s="213"/>
      <c r="N592" s="211"/>
      <c r="O592" s="212"/>
      <c r="P592" s="212"/>
      <c r="Q592" s="213"/>
      <c r="R592" s="211" t="str">
        <f>IFERROR(VLOOKUP($D592,'[8]Pivot-KRAJINY'!$A$4:$D$18,3,FALSE),"")</f>
        <v/>
      </c>
      <c r="S592" s="212"/>
      <c r="T592" s="212"/>
      <c r="U592" s="213"/>
      <c r="V592" s="211"/>
      <c r="W592" s="212"/>
      <c r="X592" s="212"/>
      <c r="Y592" s="213"/>
      <c r="Z592" s="211" t="str">
        <f>IFERROR(VLOOKUP($D592,'[8]Pivot-KRAJINY'!$A$4:$D$18,4,FALSE),"")</f>
        <v/>
      </c>
      <c r="AA592" s="212"/>
      <c r="AB592" s="212"/>
      <c r="AC592" s="213"/>
      <c r="AD592" s="211">
        <v>539</v>
      </c>
      <c r="AE592" s="212"/>
      <c r="AF592" s="212"/>
      <c r="AG592" s="213"/>
    </row>
    <row r="593" spans="1:34" s="69" customFormat="1" ht="14.25" customHeight="1" x14ac:dyDescent="0.2">
      <c r="A593" s="67"/>
      <c r="D593" s="254" t="s">
        <v>665</v>
      </c>
      <c r="E593" s="252"/>
      <c r="F593" s="252"/>
      <c r="G593" s="252"/>
      <c r="H593" s="252"/>
      <c r="I593" s="253"/>
      <c r="J593" s="211" t="str">
        <f>IFERROR(VLOOKUP($D593,'[8]Pivot-KRAJINY'!$A$4:$D$18,2,FALSE),"0")</f>
        <v>0</v>
      </c>
      <c r="K593" s="212"/>
      <c r="L593" s="212"/>
      <c r="M593" s="213"/>
      <c r="N593" s="211"/>
      <c r="O593" s="212"/>
      <c r="P593" s="212"/>
      <c r="Q593" s="213"/>
      <c r="R593" s="211" t="str">
        <f>IFERROR(VLOOKUP($D593,'[8]Pivot-KRAJINY'!$A$4:$D$18,3,FALSE),"")</f>
        <v/>
      </c>
      <c r="S593" s="212"/>
      <c r="T593" s="212"/>
      <c r="U593" s="213"/>
      <c r="V593" s="211"/>
      <c r="W593" s="212"/>
      <c r="X593" s="212"/>
      <c r="Y593" s="213"/>
      <c r="Z593" s="211" t="str">
        <f>IFERROR(VLOOKUP($D593,'[8]Pivot-KRAJINY'!$A$4:$D$18,4,FALSE),"")</f>
        <v/>
      </c>
      <c r="AA593" s="212"/>
      <c r="AB593" s="212"/>
      <c r="AC593" s="213"/>
      <c r="AD593" s="211">
        <v>125</v>
      </c>
      <c r="AE593" s="212"/>
      <c r="AF593" s="212"/>
      <c r="AG593" s="213"/>
      <c r="AH593" s="77"/>
    </row>
    <row r="594" spans="1:34" ht="14.25" customHeight="1" x14ac:dyDescent="0.2">
      <c r="A594" s="31"/>
      <c r="D594" s="462" t="s">
        <v>452</v>
      </c>
      <c r="E594" s="463"/>
      <c r="F594" s="463"/>
      <c r="G594" s="463"/>
      <c r="H594" s="463"/>
      <c r="I594" s="464"/>
      <c r="J594" s="289">
        <f>SUM(J573:M593)</f>
        <v>39233119.340000011</v>
      </c>
      <c r="K594" s="238"/>
      <c r="L594" s="238"/>
      <c r="M594" s="290"/>
      <c r="N594" s="289">
        <f>SUM(N573:Q593)</f>
        <v>43609740</v>
      </c>
      <c r="O594" s="238"/>
      <c r="P594" s="238"/>
      <c r="Q594" s="290"/>
      <c r="R594" s="289">
        <f>SUM(R573:U593)</f>
        <v>5321788.7699999996</v>
      </c>
      <c r="S594" s="238"/>
      <c r="T594" s="238"/>
      <c r="U594" s="290"/>
      <c r="V594" s="289">
        <f>SUM(V573:Y593)</f>
        <v>7239709</v>
      </c>
      <c r="W594" s="238"/>
      <c r="X594" s="238"/>
      <c r="Y594" s="290"/>
      <c r="Z594" s="289">
        <f>SUM(Z573:AC593)</f>
        <v>5037874.4000000004</v>
      </c>
      <c r="AA594" s="238"/>
      <c r="AB594" s="238"/>
      <c r="AC594" s="290"/>
      <c r="AD594" s="289">
        <f>SUM(AD573:AG593)</f>
        <v>3760489</v>
      </c>
      <c r="AE594" s="238"/>
      <c r="AF594" s="238"/>
      <c r="AG594" s="290"/>
      <c r="AH594" s="77"/>
    </row>
    <row r="595" spans="1:34" s="77" customFormat="1" ht="14.25" customHeight="1" x14ac:dyDescent="0.2">
      <c r="A595" s="90"/>
      <c r="D595" s="84"/>
      <c r="E595" s="84"/>
      <c r="F595" s="84"/>
      <c r="G595" s="84"/>
      <c r="H595" s="84"/>
      <c r="I595" s="84"/>
      <c r="J595" s="71"/>
      <c r="K595" s="71"/>
      <c r="L595" s="71"/>
      <c r="M595" s="71"/>
      <c r="N595" s="71"/>
      <c r="O595" s="71"/>
      <c r="P595" s="71"/>
      <c r="Q595" s="71"/>
      <c r="R595" s="71"/>
      <c r="S595" s="71"/>
      <c r="T595" s="71"/>
      <c r="U595" s="71"/>
      <c r="V595" s="71"/>
      <c r="W595" s="71"/>
      <c r="X595" s="71"/>
      <c r="Y595" s="71"/>
      <c r="Z595" s="71"/>
      <c r="AA595" s="71"/>
      <c r="AB595" s="71"/>
      <c r="AC595" s="71"/>
      <c r="AD595" s="71"/>
      <c r="AE595" s="71"/>
      <c r="AF595" s="71"/>
      <c r="AG595" s="71"/>
    </row>
    <row r="596" spans="1:34" ht="14.25" customHeight="1" x14ac:dyDescent="0.2">
      <c r="D596" s="77"/>
      <c r="E596" s="77"/>
      <c r="F596" s="77"/>
      <c r="G596" s="77"/>
      <c r="H596" s="77"/>
      <c r="I596" s="77"/>
      <c r="J596" s="77"/>
      <c r="K596" s="77"/>
      <c r="L596" s="77"/>
      <c r="M596" s="77"/>
      <c r="N596" s="77"/>
      <c r="O596" s="77"/>
      <c r="P596" s="77"/>
      <c r="Q596" s="77"/>
      <c r="R596" s="77"/>
      <c r="S596" s="77"/>
      <c r="T596" s="77"/>
      <c r="U596" s="77"/>
      <c r="V596" s="77"/>
      <c r="W596" s="77"/>
      <c r="X596" s="77"/>
      <c r="Y596" s="77"/>
      <c r="Z596" s="77"/>
      <c r="AA596" s="77"/>
      <c r="AB596" s="77"/>
      <c r="AC596" s="77"/>
      <c r="AD596" s="77"/>
      <c r="AE596" s="77"/>
      <c r="AF596" s="77"/>
      <c r="AG596" s="77"/>
    </row>
    <row r="597" spans="1:34" ht="14.25" customHeight="1" x14ac:dyDescent="0.25">
      <c r="D597" s="297" t="s">
        <v>450</v>
      </c>
      <c r="E597" s="297"/>
      <c r="F597" s="297"/>
      <c r="G597" s="297"/>
      <c r="H597" s="297"/>
      <c r="I597" s="297"/>
      <c r="J597" s="297"/>
      <c r="K597" s="297"/>
      <c r="L597" s="297"/>
      <c r="M597" s="297"/>
      <c r="N597" s="297"/>
      <c r="O597" s="297"/>
      <c r="P597" s="297"/>
      <c r="Q597" s="297"/>
      <c r="R597" s="297"/>
      <c r="S597" s="297"/>
      <c r="T597" s="297"/>
      <c r="U597" s="297"/>
      <c r="V597" s="297"/>
      <c r="W597" s="297"/>
      <c r="X597" s="297"/>
      <c r="Y597" s="297"/>
      <c r="Z597" s="297"/>
      <c r="AA597" s="297"/>
      <c r="AB597" s="297"/>
      <c r="AC597" s="297"/>
      <c r="AD597" s="297"/>
      <c r="AE597" s="297"/>
      <c r="AF597" s="297"/>
      <c r="AG597" s="297"/>
    </row>
    <row r="598" spans="1:34" ht="14.25" customHeight="1" x14ac:dyDescent="0.2">
      <c r="D598" s="77"/>
      <c r="E598" s="77"/>
      <c r="F598" s="77"/>
      <c r="G598" s="77"/>
      <c r="H598" s="77"/>
      <c r="I598" s="77"/>
      <c r="J598" s="77"/>
      <c r="K598" s="77"/>
      <c r="L598" s="77"/>
      <c r="M598" s="77"/>
      <c r="N598" s="77"/>
      <c r="O598" s="77"/>
      <c r="P598" s="77"/>
      <c r="Q598" s="77"/>
      <c r="R598" s="77"/>
      <c r="S598" s="77"/>
      <c r="T598" s="77"/>
      <c r="U598" s="77"/>
      <c r="V598" s="77"/>
      <c r="W598" s="77"/>
      <c r="X598" s="77"/>
      <c r="Y598" s="77"/>
      <c r="Z598" s="77"/>
      <c r="AA598" s="77"/>
      <c r="AB598" s="77"/>
      <c r="AC598" s="77"/>
      <c r="AD598" s="77"/>
      <c r="AE598" s="77"/>
      <c r="AF598" s="77"/>
      <c r="AG598" s="77"/>
    </row>
    <row r="599" spans="1:34" ht="14.25" customHeight="1" x14ac:dyDescent="0.2">
      <c r="D599" s="298" t="s">
        <v>451</v>
      </c>
      <c r="E599" s="299"/>
      <c r="F599" s="299"/>
      <c r="G599" s="299"/>
      <c r="H599" s="299"/>
      <c r="I599" s="299"/>
      <c r="J599" s="299"/>
      <c r="K599" s="299"/>
      <c r="L599" s="299"/>
      <c r="M599" s="299"/>
      <c r="N599" s="299"/>
      <c r="O599" s="299"/>
      <c r="P599" s="299"/>
      <c r="Q599" s="299"/>
      <c r="R599" s="299"/>
      <c r="S599" s="299"/>
      <c r="T599" s="299"/>
      <c r="U599" s="299"/>
      <c r="V599" s="299"/>
      <c r="W599" s="299"/>
      <c r="X599" s="299"/>
      <c r="Y599" s="299"/>
      <c r="Z599" s="299"/>
      <c r="AA599" s="299"/>
      <c r="AB599" s="299"/>
      <c r="AC599" s="299"/>
      <c r="AD599" s="299"/>
      <c r="AE599" s="299"/>
      <c r="AF599" s="299"/>
      <c r="AG599" s="299"/>
    </row>
    <row r="600" spans="1:34" ht="14.25" customHeight="1" x14ac:dyDescent="0.2">
      <c r="D600" s="299"/>
      <c r="E600" s="299"/>
      <c r="F600" s="299"/>
      <c r="G600" s="299"/>
      <c r="H600" s="299"/>
      <c r="I600" s="299"/>
      <c r="J600" s="299"/>
      <c r="K600" s="299"/>
      <c r="L600" s="299"/>
      <c r="M600" s="299"/>
      <c r="N600" s="299"/>
      <c r="O600" s="299"/>
      <c r="P600" s="299"/>
      <c r="Q600" s="299"/>
      <c r="R600" s="299"/>
      <c r="S600" s="299"/>
      <c r="T600" s="299"/>
      <c r="U600" s="299"/>
      <c r="V600" s="299"/>
      <c r="W600" s="299"/>
      <c r="X600" s="299"/>
      <c r="Y600" s="299"/>
      <c r="Z600" s="299"/>
      <c r="AA600" s="299"/>
      <c r="AB600" s="299"/>
      <c r="AC600" s="299"/>
      <c r="AD600" s="299"/>
      <c r="AE600" s="299"/>
      <c r="AF600" s="299"/>
      <c r="AG600" s="299"/>
    </row>
    <row r="601" spans="1:34" ht="14.25" customHeight="1" thickBot="1" x14ac:dyDescent="0.25">
      <c r="D601" s="77"/>
      <c r="E601" s="77"/>
      <c r="F601" s="77"/>
      <c r="G601" s="77"/>
      <c r="H601" s="77"/>
      <c r="I601" s="77"/>
      <c r="J601" s="77"/>
      <c r="K601" s="77"/>
      <c r="L601" s="77"/>
      <c r="M601" s="77"/>
      <c r="N601" s="77"/>
      <c r="O601" s="77"/>
      <c r="P601" s="77"/>
      <c r="Q601" s="77"/>
      <c r="R601" s="77"/>
      <c r="S601" s="77"/>
      <c r="T601" s="77"/>
      <c r="U601" s="77"/>
      <c r="V601" s="77"/>
      <c r="W601" s="77"/>
      <c r="X601" s="77"/>
      <c r="Y601" s="77"/>
      <c r="Z601" s="77"/>
      <c r="AA601" s="77"/>
      <c r="AB601" s="77"/>
      <c r="AC601" s="77"/>
      <c r="AD601" s="77"/>
      <c r="AE601" s="77"/>
      <c r="AF601" s="77"/>
      <c r="AG601" s="77"/>
    </row>
    <row r="602" spans="1:34" ht="14.25" customHeight="1" thickBot="1" x14ac:dyDescent="0.25">
      <c r="D602" s="300" t="s">
        <v>145</v>
      </c>
      <c r="E602" s="301"/>
      <c r="F602" s="301"/>
      <c r="G602" s="301"/>
      <c r="H602" s="301"/>
      <c r="I602" s="301"/>
      <c r="J602" s="301"/>
      <c r="K602" s="301"/>
      <c r="L602" s="301"/>
      <c r="M602" s="302"/>
      <c r="N602" s="283" t="s">
        <v>16</v>
      </c>
      <c r="O602" s="284"/>
      <c r="P602" s="284"/>
      <c r="Q602" s="284"/>
      <c r="R602" s="284"/>
      <c r="S602" s="284"/>
      <c r="T602" s="284"/>
      <c r="U602" s="284"/>
      <c r="V602" s="284"/>
      <c r="W602" s="284"/>
      <c r="X602" s="283" t="s">
        <v>17</v>
      </c>
      <c r="Y602" s="284"/>
      <c r="Z602" s="284"/>
      <c r="AA602" s="284"/>
      <c r="AB602" s="284"/>
      <c r="AC602" s="284"/>
      <c r="AD602" s="284"/>
      <c r="AE602" s="284"/>
      <c r="AF602" s="284"/>
      <c r="AG602" s="287"/>
    </row>
    <row r="603" spans="1:34" ht="14.25" customHeight="1" thickBot="1" x14ac:dyDescent="0.25">
      <c r="D603" s="300"/>
      <c r="E603" s="301"/>
      <c r="F603" s="301"/>
      <c r="G603" s="301"/>
      <c r="H603" s="301"/>
      <c r="I603" s="301"/>
      <c r="J603" s="301"/>
      <c r="K603" s="301"/>
      <c r="L603" s="301"/>
      <c r="M603" s="302"/>
      <c r="N603" s="285"/>
      <c r="O603" s="286"/>
      <c r="P603" s="286"/>
      <c r="Q603" s="286"/>
      <c r="R603" s="286"/>
      <c r="S603" s="286"/>
      <c r="T603" s="286"/>
      <c r="U603" s="286"/>
      <c r="V603" s="286"/>
      <c r="W603" s="286"/>
      <c r="X603" s="285"/>
      <c r="Y603" s="286"/>
      <c r="Z603" s="286"/>
      <c r="AA603" s="286"/>
      <c r="AB603" s="286"/>
      <c r="AC603" s="286"/>
      <c r="AD603" s="286"/>
      <c r="AE603" s="286"/>
      <c r="AF603" s="286"/>
      <c r="AG603" s="288"/>
    </row>
    <row r="604" spans="1:34" ht="38.25" customHeight="1" x14ac:dyDescent="0.2">
      <c r="A604" s="3">
        <v>37</v>
      </c>
      <c r="D604" s="258" t="s">
        <v>269</v>
      </c>
      <c r="E604" s="259"/>
      <c r="F604" s="259"/>
      <c r="G604" s="259"/>
      <c r="H604" s="259"/>
      <c r="I604" s="259"/>
      <c r="J604" s="259"/>
      <c r="K604" s="259"/>
      <c r="L604" s="259"/>
      <c r="M604" s="260"/>
      <c r="N604" s="250">
        <f>+N606</f>
        <v>237839.78</v>
      </c>
      <c r="O604" s="250"/>
      <c r="P604" s="250"/>
      <c r="Q604" s="250"/>
      <c r="R604" s="250"/>
      <c r="S604" s="250"/>
      <c r="T604" s="250"/>
      <c r="U604" s="250"/>
      <c r="V604" s="250"/>
      <c r="W604" s="250"/>
      <c r="X604" s="250">
        <f>+X606</f>
        <v>835784</v>
      </c>
      <c r="Y604" s="250"/>
      <c r="Z604" s="250"/>
      <c r="AA604" s="250"/>
      <c r="AB604" s="250"/>
      <c r="AC604" s="250"/>
      <c r="AD604" s="250"/>
      <c r="AE604" s="250"/>
      <c r="AF604" s="250"/>
      <c r="AG604" s="250"/>
    </row>
    <row r="605" spans="1:34" ht="14.25" customHeight="1" x14ac:dyDescent="0.2">
      <c r="D605" s="249" t="s">
        <v>270</v>
      </c>
      <c r="E605" s="249"/>
      <c r="F605" s="249"/>
      <c r="G605" s="249"/>
      <c r="H605" s="249"/>
      <c r="I605" s="249"/>
      <c r="J605" s="249"/>
      <c r="K605" s="249"/>
      <c r="L605" s="249"/>
      <c r="M605" s="249"/>
      <c r="N605" s="229"/>
      <c r="O605" s="229"/>
      <c r="P605" s="229"/>
      <c r="Q605" s="229"/>
      <c r="R605" s="229"/>
      <c r="S605" s="229"/>
      <c r="T605" s="229"/>
      <c r="U605" s="229"/>
      <c r="V605" s="229"/>
      <c r="W605" s="229"/>
      <c r="X605" s="229"/>
      <c r="Y605" s="229"/>
      <c r="Z605" s="229"/>
      <c r="AA605" s="229"/>
      <c r="AB605" s="229"/>
      <c r="AC605" s="229"/>
      <c r="AD605" s="229"/>
      <c r="AE605" s="229"/>
      <c r="AF605" s="229"/>
      <c r="AG605" s="229"/>
    </row>
    <row r="606" spans="1:34" s="23" customFormat="1" ht="27" customHeight="1" x14ac:dyDescent="0.2">
      <c r="A606" s="22"/>
      <c r="D606" s="249" t="s">
        <v>271</v>
      </c>
      <c r="E606" s="249"/>
      <c r="F606" s="249"/>
      <c r="G606" s="249"/>
      <c r="H606" s="249"/>
      <c r="I606" s="249"/>
      <c r="J606" s="249"/>
      <c r="K606" s="249"/>
      <c r="L606" s="249"/>
      <c r="M606" s="249"/>
      <c r="N606" s="229">
        <f>-VLOOKUP(624999,'Účtovná osnova'!$A$1:$I$1068,6,FALSE)</f>
        <v>237839.78</v>
      </c>
      <c r="O606" s="229"/>
      <c r="P606" s="229"/>
      <c r="Q606" s="229"/>
      <c r="R606" s="229"/>
      <c r="S606" s="229"/>
      <c r="T606" s="229"/>
      <c r="U606" s="229"/>
      <c r="V606" s="229"/>
      <c r="W606" s="229"/>
      <c r="X606" s="229">
        <v>835784</v>
      </c>
      <c r="Y606" s="229"/>
      <c r="Z606" s="229"/>
      <c r="AA606" s="229"/>
      <c r="AB606" s="229"/>
      <c r="AC606" s="229"/>
      <c r="AD606" s="229"/>
      <c r="AE606" s="229"/>
      <c r="AF606" s="229"/>
      <c r="AG606" s="229"/>
      <c r="AH606" s="45"/>
    </row>
    <row r="607" spans="1:34" s="23" customFormat="1" ht="27" customHeight="1" x14ac:dyDescent="0.2">
      <c r="A607" s="22"/>
      <c r="D607" s="257" t="s">
        <v>272</v>
      </c>
      <c r="E607" s="257"/>
      <c r="F607" s="257"/>
      <c r="G607" s="257"/>
      <c r="H607" s="257"/>
      <c r="I607" s="257"/>
      <c r="J607" s="257"/>
      <c r="K607" s="257"/>
      <c r="L607" s="257"/>
      <c r="M607" s="257"/>
      <c r="N607" s="256">
        <f>N608+N609+N610+N611</f>
        <v>5577634.4100000001</v>
      </c>
      <c r="O607" s="256"/>
      <c r="P607" s="256"/>
      <c r="Q607" s="256"/>
      <c r="R607" s="256"/>
      <c r="S607" s="256"/>
      <c r="T607" s="256"/>
      <c r="U607" s="256"/>
      <c r="V607" s="256"/>
      <c r="W607" s="256"/>
      <c r="X607" s="256">
        <f>X608+X609+X610+X611</f>
        <v>6253114</v>
      </c>
      <c r="Y607" s="256"/>
      <c r="Z607" s="256"/>
      <c r="AA607" s="256"/>
      <c r="AB607" s="256"/>
      <c r="AC607" s="256"/>
      <c r="AD607" s="256"/>
      <c r="AE607" s="256"/>
      <c r="AF607" s="256"/>
      <c r="AG607" s="256"/>
      <c r="AH607" s="45"/>
    </row>
    <row r="608" spans="1:34" s="23" customFormat="1" ht="27" customHeight="1" x14ac:dyDescent="0.2">
      <c r="A608" s="22"/>
      <c r="D608" s="249" t="s">
        <v>273</v>
      </c>
      <c r="E608" s="249"/>
      <c r="F608" s="249"/>
      <c r="G608" s="249"/>
      <c r="H608" s="249"/>
      <c r="I608" s="249"/>
      <c r="J608" s="249"/>
      <c r="K608" s="249"/>
      <c r="L608" s="249"/>
      <c r="M608" s="249"/>
      <c r="N608" s="229">
        <f>-VLOOKUP(641999,'Účtovná osnova'!$A$1:$I$1068,6,FALSE)</f>
        <v>5484967.4100000001</v>
      </c>
      <c r="O608" s="229"/>
      <c r="P608" s="229"/>
      <c r="Q608" s="229"/>
      <c r="R608" s="229"/>
      <c r="S608" s="229"/>
      <c r="T608" s="229"/>
      <c r="U608" s="229"/>
      <c r="V608" s="229"/>
      <c r="W608" s="229"/>
      <c r="X608" s="229">
        <v>6234541</v>
      </c>
      <c r="Y608" s="229"/>
      <c r="Z608" s="229"/>
      <c r="AA608" s="229"/>
      <c r="AB608" s="229"/>
      <c r="AC608" s="229"/>
      <c r="AD608" s="229"/>
      <c r="AE608" s="229"/>
      <c r="AF608" s="229"/>
      <c r="AG608" s="229"/>
      <c r="AH608" s="45"/>
    </row>
    <row r="609" spans="1:34" s="23" customFormat="1" ht="27" customHeight="1" x14ac:dyDescent="0.2">
      <c r="A609" s="22"/>
      <c r="D609" s="249" t="s">
        <v>274</v>
      </c>
      <c r="E609" s="249"/>
      <c r="F609" s="249"/>
      <c r="G609" s="249"/>
      <c r="H609" s="249"/>
      <c r="I609" s="249"/>
      <c r="J609" s="249"/>
      <c r="K609" s="249"/>
      <c r="L609" s="249"/>
      <c r="M609" s="249"/>
      <c r="N609" s="255">
        <f>-VLOOKUP(644999,'Účtovná osnova'!$A$1:$I$1068,6,FALSE)</f>
        <v>0</v>
      </c>
      <c r="O609" s="255"/>
      <c r="P609" s="255"/>
      <c r="Q609" s="255"/>
      <c r="R609" s="255"/>
      <c r="S609" s="255"/>
      <c r="T609" s="255"/>
      <c r="U609" s="255"/>
      <c r="V609" s="255"/>
      <c r="W609" s="255"/>
      <c r="X609" s="256"/>
      <c r="Y609" s="256"/>
      <c r="Z609" s="256"/>
      <c r="AA609" s="256"/>
      <c r="AB609" s="256"/>
      <c r="AC609" s="256"/>
      <c r="AD609" s="256"/>
      <c r="AE609" s="256"/>
      <c r="AF609" s="256"/>
      <c r="AG609" s="256"/>
      <c r="AH609" s="45"/>
    </row>
    <row r="610" spans="1:34" s="23" customFormat="1" ht="27" customHeight="1" x14ac:dyDescent="0.2">
      <c r="A610" s="22"/>
      <c r="D610" s="214" t="s">
        <v>275</v>
      </c>
      <c r="E610" s="215"/>
      <c r="F610" s="215"/>
      <c r="G610" s="215"/>
      <c r="H610" s="215"/>
      <c r="I610" s="215"/>
      <c r="J610" s="215"/>
      <c r="K610" s="215"/>
      <c r="L610" s="215"/>
      <c r="M610" s="216"/>
      <c r="N610" s="274">
        <f>-VLOOKUP(646999,'Účtovná osnova'!$A$1:$I$1068,6,FALSE)</f>
        <v>0</v>
      </c>
      <c r="O610" s="275"/>
      <c r="P610" s="275"/>
      <c r="Q610" s="275"/>
      <c r="R610" s="275"/>
      <c r="S610" s="275"/>
      <c r="T610" s="275"/>
      <c r="U610" s="275"/>
      <c r="V610" s="275"/>
      <c r="W610" s="276"/>
      <c r="X610" s="274">
        <v>0</v>
      </c>
      <c r="Y610" s="275"/>
      <c r="Z610" s="275"/>
      <c r="AA610" s="275"/>
      <c r="AB610" s="275"/>
      <c r="AC610" s="275"/>
      <c r="AD610" s="275"/>
      <c r="AE610" s="275"/>
      <c r="AF610" s="275"/>
      <c r="AG610" s="276"/>
      <c r="AH610" s="45"/>
    </row>
    <row r="611" spans="1:34" s="23" customFormat="1" ht="27" customHeight="1" x14ac:dyDescent="0.2">
      <c r="A611" s="22"/>
      <c r="D611" s="249" t="s">
        <v>276</v>
      </c>
      <c r="E611" s="249"/>
      <c r="F611" s="249"/>
      <c r="G611" s="249"/>
      <c r="H611" s="249"/>
      <c r="I611" s="249"/>
      <c r="J611" s="249"/>
      <c r="K611" s="249"/>
      <c r="L611" s="249"/>
      <c r="M611" s="249"/>
      <c r="N611" s="229">
        <f>ROUNDDOWN(-VLOOKUP(648999,'Účtovná osnova'!$A$1:$I$1068,6,FALSE),0)</f>
        <v>92667</v>
      </c>
      <c r="O611" s="229"/>
      <c r="P611" s="229"/>
      <c r="Q611" s="229"/>
      <c r="R611" s="229"/>
      <c r="S611" s="229"/>
      <c r="T611" s="229"/>
      <c r="U611" s="229"/>
      <c r="V611" s="229"/>
      <c r="W611" s="229"/>
      <c r="X611" s="229">
        <v>18573</v>
      </c>
      <c r="Y611" s="229"/>
      <c r="Z611" s="229"/>
      <c r="AA611" s="229"/>
      <c r="AB611" s="229"/>
      <c r="AC611" s="229"/>
      <c r="AD611" s="229"/>
      <c r="AE611" s="229"/>
      <c r="AF611" s="229"/>
      <c r="AG611" s="229"/>
      <c r="AH611" s="45"/>
    </row>
    <row r="612" spans="1:34" s="23" customFormat="1" ht="27" customHeight="1" x14ac:dyDescent="0.2">
      <c r="A612" s="22"/>
      <c r="D612" s="257" t="s">
        <v>277</v>
      </c>
      <c r="E612" s="257"/>
      <c r="F612" s="257"/>
      <c r="G612" s="257"/>
      <c r="H612" s="257"/>
      <c r="I612" s="257"/>
      <c r="J612" s="257"/>
      <c r="K612" s="257"/>
      <c r="L612" s="257"/>
      <c r="M612" s="257"/>
      <c r="N612" s="229">
        <f>N613+N615</f>
        <v>8598.68</v>
      </c>
      <c r="O612" s="229"/>
      <c r="P612" s="229"/>
      <c r="Q612" s="229"/>
      <c r="R612" s="229"/>
      <c r="S612" s="229"/>
      <c r="T612" s="229"/>
      <c r="U612" s="229"/>
      <c r="V612" s="229"/>
      <c r="W612" s="229"/>
      <c r="X612" s="229">
        <f>X613+X615</f>
        <v>9094</v>
      </c>
      <c r="Y612" s="229"/>
      <c r="Z612" s="229"/>
      <c r="AA612" s="229"/>
      <c r="AB612" s="229"/>
      <c r="AC612" s="229"/>
      <c r="AD612" s="229"/>
      <c r="AE612" s="229"/>
      <c r="AF612" s="229"/>
      <c r="AG612" s="229"/>
      <c r="AH612" s="45"/>
    </row>
    <row r="613" spans="1:34" s="23" customFormat="1" ht="27" customHeight="1" x14ac:dyDescent="0.2">
      <c r="A613" s="22"/>
      <c r="D613" s="228" t="s">
        <v>278</v>
      </c>
      <c r="E613" s="228"/>
      <c r="F613" s="228"/>
      <c r="G613" s="228"/>
      <c r="H613" s="228"/>
      <c r="I613" s="228"/>
      <c r="J613" s="228"/>
      <c r="K613" s="228"/>
      <c r="L613" s="228"/>
      <c r="M613" s="228"/>
      <c r="N613" s="229">
        <f>N614</f>
        <v>17.86</v>
      </c>
      <c r="O613" s="229"/>
      <c r="P613" s="229"/>
      <c r="Q613" s="229"/>
      <c r="R613" s="229"/>
      <c r="S613" s="229"/>
      <c r="T613" s="229"/>
      <c r="U613" s="229"/>
      <c r="V613" s="229"/>
      <c r="W613" s="229"/>
      <c r="X613" s="229">
        <f>+X614</f>
        <v>1716</v>
      </c>
      <c r="Y613" s="229"/>
      <c r="Z613" s="229"/>
      <c r="AA613" s="229"/>
      <c r="AB613" s="229"/>
      <c r="AC613" s="229"/>
      <c r="AD613" s="229"/>
      <c r="AE613" s="229"/>
      <c r="AF613" s="229"/>
      <c r="AG613" s="229"/>
      <c r="AH613" s="45"/>
    </row>
    <row r="614" spans="1:34" s="23" customFormat="1" ht="27" customHeight="1" x14ac:dyDescent="0.2">
      <c r="A614" s="22"/>
      <c r="D614" s="249" t="s">
        <v>279</v>
      </c>
      <c r="E614" s="249"/>
      <c r="F614" s="249"/>
      <c r="G614" s="249"/>
      <c r="H614" s="249"/>
      <c r="I614" s="249"/>
      <c r="J614" s="249"/>
      <c r="K614" s="249"/>
      <c r="L614" s="249"/>
      <c r="M614" s="249"/>
      <c r="N614" s="229">
        <f>-VLOOKUP(663999,'Účtovná osnova'!$A$1:$I$1068,6,FALSE)</f>
        <v>17.86</v>
      </c>
      <c r="O614" s="229"/>
      <c r="P614" s="229"/>
      <c r="Q614" s="229"/>
      <c r="R614" s="229"/>
      <c r="S614" s="229"/>
      <c r="T614" s="229"/>
      <c r="U614" s="229"/>
      <c r="V614" s="229"/>
      <c r="W614" s="229"/>
      <c r="X614" s="229">
        <v>1716</v>
      </c>
      <c r="Y614" s="229"/>
      <c r="Z614" s="229"/>
      <c r="AA614" s="229"/>
      <c r="AB614" s="229"/>
      <c r="AC614" s="229"/>
      <c r="AD614" s="229"/>
      <c r="AE614" s="229"/>
      <c r="AF614" s="229"/>
      <c r="AG614" s="229"/>
      <c r="AH614" s="45"/>
    </row>
    <row r="615" spans="1:34" s="23" customFormat="1" ht="27" customHeight="1" x14ac:dyDescent="0.2">
      <c r="A615" s="22"/>
      <c r="D615" s="228" t="s">
        <v>280</v>
      </c>
      <c r="E615" s="228"/>
      <c r="F615" s="228"/>
      <c r="G615" s="228"/>
      <c r="H615" s="228"/>
      <c r="I615" s="228"/>
      <c r="J615" s="228"/>
      <c r="K615" s="228"/>
      <c r="L615" s="228"/>
      <c r="M615" s="228"/>
      <c r="N615" s="229">
        <f>N616+N617</f>
        <v>8580.82</v>
      </c>
      <c r="O615" s="229"/>
      <c r="P615" s="229"/>
      <c r="Q615" s="229"/>
      <c r="R615" s="229"/>
      <c r="S615" s="229"/>
      <c r="T615" s="229"/>
      <c r="U615" s="229"/>
      <c r="V615" s="229"/>
      <c r="W615" s="229"/>
      <c r="X615" s="229">
        <f>X616+X617</f>
        <v>7378</v>
      </c>
      <c r="Y615" s="229"/>
      <c r="Z615" s="229"/>
      <c r="AA615" s="229"/>
      <c r="AB615" s="229"/>
      <c r="AC615" s="229"/>
      <c r="AD615" s="229"/>
      <c r="AE615" s="229"/>
      <c r="AF615" s="229"/>
      <c r="AG615" s="229"/>
      <c r="AH615" s="45"/>
    </row>
    <row r="616" spans="1:34" s="23" customFormat="1" ht="27" customHeight="1" x14ac:dyDescent="0.2">
      <c r="A616" s="22"/>
      <c r="D616" s="249" t="s">
        <v>281</v>
      </c>
      <c r="E616" s="249"/>
      <c r="F616" s="249"/>
      <c r="G616" s="249"/>
      <c r="H616" s="249"/>
      <c r="I616" s="249"/>
      <c r="J616" s="249"/>
      <c r="K616" s="249"/>
      <c r="L616" s="249"/>
      <c r="M616" s="249"/>
      <c r="N616" s="229">
        <f>-VLOOKUP(662999,'Účtovná osnova'!$A$1:$I$1068,6,FALSE)</f>
        <v>8580.82</v>
      </c>
      <c r="O616" s="229"/>
      <c r="P616" s="229"/>
      <c r="Q616" s="229"/>
      <c r="R616" s="229"/>
      <c r="S616" s="229"/>
      <c r="T616" s="229"/>
      <c r="U616" s="229"/>
      <c r="V616" s="229"/>
      <c r="W616" s="229"/>
      <c r="X616" s="229">
        <v>7378</v>
      </c>
      <c r="Y616" s="229"/>
      <c r="Z616" s="229"/>
      <c r="AA616" s="229"/>
      <c r="AB616" s="229"/>
      <c r="AC616" s="229"/>
      <c r="AD616" s="229"/>
      <c r="AE616" s="229"/>
      <c r="AF616" s="229"/>
      <c r="AG616" s="229"/>
      <c r="AH616" s="45"/>
    </row>
    <row r="617" spans="1:34" s="23" customFormat="1" ht="27" customHeight="1" x14ac:dyDescent="0.2">
      <c r="A617" s="22"/>
      <c r="D617" s="249" t="s">
        <v>282</v>
      </c>
      <c r="E617" s="249"/>
      <c r="F617" s="249"/>
      <c r="G617" s="249"/>
      <c r="H617" s="249"/>
      <c r="I617" s="249"/>
      <c r="J617" s="249"/>
      <c r="K617" s="249"/>
      <c r="L617" s="249"/>
      <c r="M617" s="249"/>
      <c r="N617" s="229">
        <f>-VLOOKUP(668999,'Účtovná osnova'!$A$1:$I$1068,6,FALSE)</f>
        <v>0</v>
      </c>
      <c r="O617" s="229"/>
      <c r="P617" s="229"/>
      <c r="Q617" s="229"/>
      <c r="R617" s="229"/>
      <c r="S617" s="229"/>
      <c r="T617" s="229"/>
      <c r="U617" s="229"/>
      <c r="V617" s="229"/>
      <c r="W617" s="229"/>
      <c r="X617" s="229">
        <v>0</v>
      </c>
      <c r="Y617" s="229"/>
      <c r="Z617" s="229"/>
      <c r="AA617" s="229"/>
      <c r="AB617" s="229"/>
      <c r="AC617" s="229"/>
      <c r="AD617" s="229"/>
      <c r="AE617" s="229"/>
      <c r="AF617" s="229"/>
      <c r="AG617" s="229"/>
      <c r="AH617" s="45"/>
    </row>
    <row r="618" spans="1:34" s="23" customFormat="1" ht="27" customHeight="1" x14ac:dyDescent="0.2">
      <c r="A618" s="22"/>
      <c r="D618" s="83"/>
      <c r="E618" s="83"/>
      <c r="F618" s="83"/>
      <c r="G618" s="83"/>
      <c r="H618" s="83"/>
      <c r="I618" s="83"/>
      <c r="J618" s="83"/>
      <c r="K618" s="83"/>
      <c r="L618" s="83"/>
      <c r="M618" s="83"/>
      <c r="N618" s="77"/>
      <c r="O618" s="77"/>
      <c r="P618" s="77"/>
      <c r="Q618" s="77"/>
      <c r="R618" s="77"/>
      <c r="S618" s="77"/>
      <c r="T618" s="77"/>
      <c r="U618" s="77"/>
      <c r="V618" s="77"/>
      <c r="W618" s="77"/>
      <c r="X618" s="77"/>
      <c r="Y618" s="77"/>
      <c r="Z618" s="77"/>
      <c r="AA618" s="77"/>
      <c r="AB618" s="77"/>
      <c r="AC618" s="77"/>
      <c r="AD618" s="77"/>
      <c r="AE618" s="77"/>
      <c r="AF618" s="77"/>
      <c r="AG618" s="77"/>
      <c r="AH618" s="45"/>
    </row>
    <row r="619" spans="1:34" s="23" customFormat="1" ht="27" customHeight="1" x14ac:dyDescent="0.2">
      <c r="A619" s="22"/>
      <c r="D619" s="364" t="s">
        <v>283</v>
      </c>
      <c r="E619" s="364"/>
      <c r="F619" s="364"/>
      <c r="G619" s="364"/>
      <c r="H619" s="364"/>
      <c r="I619" s="364"/>
      <c r="J619" s="364"/>
      <c r="K619" s="364"/>
      <c r="L619" s="364"/>
      <c r="M619" s="364"/>
      <c r="N619" s="364"/>
      <c r="O619" s="364"/>
      <c r="P619" s="364"/>
      <c r="Q619" s="364"/>
      <c r="R619" s="364"/>
      <c r="S619" s="364"/>
      <c r="T619" s="364"/>
      <c r="U619" s="364"/>
      <c r="V619" s="364"/>
      <c r="W619" s="364"/>
      <c r="X619" s="364"/>
      <c r="Y619" s="364"/>
      <c r="Z619" s="364"/>
      <c r="AA619" s="364"/>
      <c r="AB619" s="364"/>
      <c r="AC619" s="364"/>
      <c r="AD619" s="364"/>
      <c r="AE619" s="364"/>
      <c r="AF619" s="364"/>
      <c r="AG619" s="364"/>
      <c r="AH619" s="45"/>
    </row>
    <row r="620" spans="1:34" ht="14.25" customHeight="1" thickBot="1" x14ac:dyDescent="0.25">
      <c r="D620" s="83"/>
      <c r="E620" s="83"/>
      <c r="F620" s="83"/>
      <c r="G620" s="83"/>
      <c r="H620" s="83"/>
      <c r="I620" s="83"/>
      <c r="J620" s="83"/>
      <c r="K620" s="83"/>
      <c r="L620" s="83"/>
      <c r="M620" s="83"/>
      <c r="N620" s="77"/>
      <c r="O620" s="77"/>
      <c r="P620" s="77"/>
      <c r="Q620" s="77"/>
      <c r="R620" s="77"/>
      <c r="S620" s="77"/>
      <c r="T620" s="77"/>
      <c r="U620" s="77"/>
      <c r="V620" s="77"/>
      <c r="W620" s="77"/>
      <c r="X620" s="77"/>
      <c r="Y620" s="77"/>
      <c r="Z620" s="77"/>
      <c r="AA620" s="77"/>
      <c r="AB620" s="77"/>
      <c r="AC620" s="77"/>
      <c r="AD620" s="77"/>
      <c r="AE620" s="77"/>
      <c r="AF620" s="77"/>
      <c r="AG620" s="77"/>
    </row>
    <row r="621" spans="1:34" ht="14.25" customHeight="1" thickBot="1" x14ac:dyDescent="0.25">
      <c r="D621" s="300" t="s">
        <v>145</v>
      </c>
      <c r="E621" s="301"/>
      <c r="F621" s="301"/>
      <c r="G621" s="301"/>
      <c r="H621" s="301"/>
      <c r="I621" s="301"/>
      <c r="J621" s="301"/>
      <c r="K621" s="301"/>
      <c r="L621" s="301"/>
      <c r="M621" s="302"/>
      <c r="N621" s="283" t="s">
        <v>16</v>
      </c>
      <c r="O621" s="284"/>
      <c r="P621" s="284"/>
      <c r="Q621" s="284"/>
      <c r="R621" s="284"/>
      <c r="S621" s="284"/>
      <c r="T621" s="284"/>
      <c r="U621" s="284"/>
      <c r="V621" s="284"/>
      <c r="W621" s="284"/>
      <c r="X621" s="283" t="s">
        <v>17</v>
      </c>
      <c r="Y621" s="284"/>
      <c r="Z621" s="284"/>
      <c r="AA621" s="284"/>
      <c r="AB621" s="284"/>
      <c r="AC621" s="284"/>
      <c r="AD621" s="284"/>
      <c r="AE621" s="284"/>
      <c r="AF621" s="284"/>
      <c r="AG621" s="287"/>
    </row>
    <row r="622" spans="1:34" ht="14.25" customHeight="1" thickBot="1" x14ac:dyDescent="0.25">
      <c r="D622" s="300"/>
      <c r="E622" s="301"/>
      <c r="F622" s="301"/>
      <c r="G622" s="301"/>
      <c r="H622" s="301"/>
      <c r="I622" s="301"/>
      <c r="J622" s="301"/>
      <c r="K622" s="301"/>
      <c r="L622" s="301"/>
      <c r="M622" s="302"/>
      <c r="N622" s="285"/>
      <c r="O622" s="286"/>
      <c r="P622" s="286"/>
      <c r="Q622" s="286"/>
      <c r="R622" s="286"/>
      <c r="S622" s="286"/>
      <c r="T622" s="286"/>
      <c r="U622" s="286"/>
      <c r="V622" s="286"/>
      <c r="W622" s="286"/>
      <c r="X622" s="285"/>
      <c r="Y622" s="286"/>
      <c r="Z622" s="286"/>
      <c r="AA622" s="286"/>
      <c r="AB622" s="286"/>
      <c r="AC622" s="286"/>
      <c r="AD622" s="286"/>
      <c r="AE622" s="286"/>
      <c r="AF622" s="286"/>
      <c r="AG622" s="288"/>
    </row>
    <row r="623" spans="1:34" ht="25.8" customHeight="1" x14ac:dyDescent="0.2">
      <c r="A623" s="3">
        <v>38</v>
      </c>
      <c r="D623" s="469" t="s">
        <v>284</v>
      </c>
      <c r="E623" s="470"/>
      <c r="F623" s="470"/>
      <c r="G623" s="470"/>
      <c r="H623" s="470"/>
      <c r="I623" s="470"/>
      <c r="J623" s="470"/>
      <c r="K623" s="470"/>
      <c r="L623" s="470"/>
      <c r="M623" s="471"/>
      <c r="N623" s="250">
        <v>0</v>
      </c>
      <c r="O623" s="250"/>
      <c r="P623" s="250"/>
      <c r="Q623" s="250"/>
      <c r="R623" s="250"/>
      <c r="S623" s="250"/>
      <c r="T623" s="250"/>
      <c r="U623" s="250"/>
      <c r="V623" s="250"/>
      <c r="W623" s="250"/>
      <c r="X623" s="250">
        <v>0</v>
      </c>
      <c r="Y623" s="250"/>
      <c r="Z623" s="250"/>
      <c r="AA623" s="250"/>
      <c r="AB623" s="250"/>
      <c r="AC623" s="250"/>
      <c r="AD623" s="250"/>
      <c r="AE623" s="250"/>
      <c r="AF623" s="250"/>
      <c r="AG623" s="250"/>
    </row>
    <row r="624" spans="1:34" ht="25.8" customHeight="1" x14ac:dyDescent="0.2">
      <c r="D624" s="214" t="s">
        <v>285</v>
      </c>
      <c r="E624" s="215"/>
      <c r="F624" s="215"/>
      <c r="G624" s="215"/>
      <c r="H624" s="215"/>
      <c r="I624" s="215"/>
      <c r="J624" s="215"/>
      <c r="K624" s="215"/>
      <c r="L624" s="215"/>
      <c r="M624" s="216"/>
      <c r="N624" s="229">
        <f>-VLOOKUP(602999,'Účtovná osnova'!$A$1:$I$1068,6,FALSE)</f>
        <v>3262034.92</v>
      </c>
      <c r="O624" s="229"/>
      <c r="P624" s="229"/>
      <c r="Q624" s="229"/>
      <c r="R624" s="229"/>
      <c r="S624" s="229"/>
      <c r="T624" s="229"/>
      <c r="U624" s="229"/>
      <c r="V624" s="229"/>
      <c r="W624" s="229"/>
      <c r="X624" s="229">
        <v>3283179</v>
      </c>
      <c r="Y624" s="229"/>
      <c r="Z624" s="229"/>
      <c r="AA624" s="229"/>
      <c r="AB624" s="229"/>
      <c r="AC624" s="229"/>
      <c r="AD624" s="229"/>
      <c r="AE624" s="229"/>
      <c r="AF624" s="229"/>
      <c r="AG624" s="229"/>
    </row>
    <row r="625" spans="1:34" ht="25.8" customHeight="1" x14ac:dyDescent="0.2">
      <c r="D625" s="214" t="s">
        <v>286</v>
      </c>
      <c r="E625" s="215"/>
      <c r="F625" s="215"/>
      <c r="G625" s="215"/>
      <c r="H625" s="215"/>
      <c r="I625" s="215"/>
      <c r="J625" s="215"/>
      <c r="K625" s="215"/>
      <c r="L625" s="215"/>
      <c r="M625" s="216"/>
      <c r="N625" s="229">
        <f>-VLOOKUP(604998,'Účtovná osnova'!$A$1:$I$1068,6,FALSE)</f>
        <v>40607651.229999997</v>
      </c>
      <c r="O625" s="229"/>
      <c r="P625" s="229"/>
      <c r="Q625" s="229"/>
      <c r="R625" s="229"/>
      <c r="S625" s="229"/>
      <c r="T625" s="229"/>
      <c r="U625" s="229"/>
      <c r="V625" s="229"/>
      <c r="W625" s="229"/>
      <c r="X625" s="229">
        <v>44256434</v>
      </c>
      <c r="Y625" s="229"/>
      <c r="Z625" s="229"/>
      <c r="AA625" s="229"/>
      <c r="AB625" s="229"/>
      <c r="AC625" s="229"/>
      <c r="AD625" s="229"/>
      <c r="AE625" s="229"/>
      <c r="AF625" s="229"/>
      <c r="AG625" s="229"/>
    </row>
    <row r="626" spans="1:34" ht="25.8" customHeight="1" x14ac:dyDescent="0.2">
      <c r="D626" s="214" t="s">
        <v>287</v>
      </c>
      <c r="E626" s="215"/>
      <c r="F626" s="215"/>
      <c r="G626" s="215"/>
      <c r="H626" s="215"/>
      <c r="I626" s="215"/>
      <c r="J626" s="215"/>
      <c r="K626" s="215"/>
      <c r="L626" s="215"/>
      <c r="M626" s="216"/>
      <c r="N626" s="255"/>
      <c r="O626" s="255"/>
      <c r="P626" s="255"/>
      <c r="Q626" s="255"/>
      <c r="R626" s="255"/>
      <c r="S626" s="255"/>
      <c r="T626" s="255"/>
      <c r="U626" s="255"/>
      <c r="V626" s="255"/>
      <c r="W626" s="255"/>
      <c r="X626" s="255">
        <v>0</v>
      </c>
      <c r="Y626" s="255"/>
      <c r="Z626" s="255"/>
      <c r="AA626" s="255"/>
      <c r="AB626" s="255"/>
      <c r="AC626" s="255"/>
      <c r="AD626" s="255"/>
      <c r="AE626" s="255"/>
      <c r="AF626" s="255"/>
      <c r="AG626" s="255"/>
    </row>
    <row r="627" spans="1:34" ht="25.8" customHeight="1" x14ac:dyDescent="0.2">
      <c r="D627" s="214" t="s">
        <v>288</v>
      </c>
      <c r="E627" s="215"/>
      <c r="F627" s="215"/>
      <c r="G627" s="215"/>
      <c r="H627" s="215"/>
      <c r="I627" s="215"/>
      <c r="J627" s="215"/>
      <c r="K627" s="215"/>
      <c r="L627" s="215"/>
      <c r="M627" s="216"/>
      <c r="N627" s="229">
        <f>-VLOOKUP(641999,'Účtovná osnova'!$A$1:$I$1068,6,FALSE)-VLOOKUP(641084,'Účtovná osnova'!$A$1:$I$1068,6,FALSE)-VLOOKUP(642999,'Účtovná osnova'!$A$1:$I$1068,6,FALSE)</f>
        <v>5485256.5800000001</v>
      </c>
      <c r="O627" s="229"/>
      <c r="P627" s="229"/>
      <c r="Q627" s="229"/>
      <c r="R627" s="229"/>
      <c r="S627" s="229"/>
      <c r="T627" s="229"/>
      <c r="U627" s="229"/>
      <c r="V627" s="229"/>
      <c r="W627" s="229"/>
      <c r="X627" s="229">
        <v>6234541</v>
      </c>
      <c r="Y627" s="229"/>
      <c r="Z627" s="229"/>
      <c r="AA627" s="229"/>
      <c r="AB627" s="229"/>
      <c r="AC627" s="229"/>
      <c r="AD627" s="229"/>
      <c r="AE627" s="229"/>
      <c r="AF627" s="229"/>
      <c r="AG627" s="229"/>
    </row>
    <row r="628" spans="1:34" ht="25.8" customHeight="1" x14ac:dyDescent="0.2">
      <c r="D628" s="214" t="s">
        <v>658</v>
      </c>
      <c r="E628" s="215"/>
      <c r="F628" s="215"/>
      <c r="G628" s="215"/>
      <c r="H628" s="215"/>
      <c r="I628" s="215"/>
      <c r="J628" s="215"/>
      <c r="K628" s="215"/>
      <c r="L628" s="215"/>
      <c r="M628" s="216"/>
      <c r="N628" s="229">
        <f>-VLOOKUP(624999,'Účtovná osnova'!$A$1:$I$1068,6,FALSE)</f>
        <v>237839.78</v>
      </c>
      <c r="O628" s="229"/>
      <c r="P628" s="229"/>
      <c r="Q628" s="229"/>
      <c r="R628" s="229"/>
      <c r="S628" s="229"/>
      <c r="T628" s="229"/>
      <c r="U628" s="229"/>
      <c r="V628" s="229"/>
      <c r="W628" s="229"/>
      <c r="X628" s="229">
        <v>835784</v>
      </c>
      <c r="Y628" s="229"/>
      <c r="Z628" s="229"/>
      <c r="AA628" s="229"/>
      <c r="AB628" s="229"/>
      <c r="AC628" s="229"/>
      <c r="AD628" s="229"/>
      <c r="AE628" s="229"/>
      <c r="AF628" s="229"/>
      <c r="AG628" s="229"/>
    </row>
    <row r="629" spans="1:34" ht="25.8" customHeight="1" thickBot="1" x14ac:dyDescent="0.25">
      <c r="D629" s="465" t="s">
        <v>289</v>
      </c>
      <c r="E629" s="466"/>
      <c r="F629" s="466"/>
      <c r="G629" s="466"/>
      <c r="H629" s="466"/>
      <c r="I629" s="466"/>
      <c r="J629" s="466"/>
      <c r="K629" s="466"/>
      <c r="L629" s="466"/>
      <c r="M629" s="467"/>
      <c r="N629" s="468">
        <f>SUM(N623:W628)</f>
        <v>49592782.509999998</v>
      </c>
      <c r="O629" s="468"/>
      <c r="P629" s="468"/>
      <c r="Q629" s="468"/>
      <c r="R629" s="468"/>
      <c r="S629" s="468"/>
      <c r="T629" s="468"/>
      <c r="U629" s="468"/>
      <c r="V629" s="468"/>
      <c r="W629" s="468"/>
      <c r="X629" s="468">
        <f>SUM(X623:AG628)</f>
        <v>54609938</v>
      </c>
      <c r="Y629" s="468"/>
      <c r="Z629" s="468"/>
      <c r="AA629" s="468"/>
      <c r="AB629" s="468"/>
      <c r="AC629" s="468"/>
      <c r="AD629" s="468"/>
      <c r="AE629" s="468"/>
      <c r="AF629" s="468"/>
      <c r="AG629" s="468"/>
    </row>
    <row r="630" spans="1:34" s="69" customFormat="1" ht="15" customHeight="1" x14ac:dyDescent="0.2">
      <c r="A630" s="67"/>
      <c r="D630" s="66"/>
      <c r="E630" s="66"/>
      <c r="F630" s="66"/>
      <c r="G630" s="66"/>
      <c r="H630" s="66"/>
      <c r="I630" s="66"/>
      <c r="J630" s="66"/>
      <c r="K630" s="66"/>
      <c r="L630" s="66"/>
      <c r="M630" s="66"/>
      <c r="N630" s="72"/>
      <c r="O630" s="72"/>
      <c r="P630" s="72"/>
      <c r="Q630" s="72"/>
      <c r="R630" s="72"/>
      <c r="S630" s="72"/>
      <c r="T630" s="72"/>
      <c r="U630" s="72"/>
      <c r="V630" s="72"/>
      <c r="W630" s="72"/>
      <c r="X630" s="72"/>
      <c r="Y630" s="72"/>
      <c r="Z630" s="72"/>
      <c r="AA630" s="72"/>
      <c r="AB630" s="72"/>
      <c r="AC630" s="72"/>
      <c r="AD630" s="72"/>
      <c r="AE630" s="72"/>
      <c r="AF630" s="72"/>
      <c r="AG630" s="72"/>
      <c r="AH630" s="77"/>
    </row>
    <row r="631" spans="1:34" ht="14.25" customHeight="1" x14ac:dyDescent="0.25">
      <c r="D631" s="297" t="s">
        <v>290</v>
      </c>
      <c r="E631" s="297"/>
      <c r="F631" s="297"/>
      <c r="G631" s="297"/>
      <c r="H631" s="297"/>
      <c r="I631" s="297"/>
      <c r="J631" s="297"/>
      <c r="K631" s="297"/>
      <c r="L631" s="297"/>
      <c r="M631" s="297"/>
      <c r="N631" s="297"/>
      <c r="O631" s="297"/>
      <c r="P631" s="297"/>
      <c r="Q631" s="297"/>
      <c r="R631" s="297"/>
      <c r="S631" s="297"/>
      <c r="T631" s="297"/>
      <c r="U631" s="297"/>
      <c r="V631" s="297"/>
      <c r="W631" s="297"/>
      <c r="X631" s="297"/>
      <c r="Y631" s="297"/>
      <c r="Z631" s="297"/>
      <c r="AA631" s="297"/>
      <c r="AB631" s="297"/>
      <c r="AC631" s="297"/>
      <c r="AD631" s="297"/>
      <c r="AE631" s="297"/>
      <c r="AF631" s="297"/>
      <c r="AG631" s="297"/>
    </row>
    <row r="632" spans="1:34" ht="14.25" customHeight="1" x14ac:dyDescent="0.2">
      <c r="D632" s="77"/>
      <c r="E632" s="77"/>
      <c r="F632" s="77"/>
      <c r="G632" s="77"/>
      <c r="H632" s="77"/>
      <c r="I632" s="77"/>
      <c r="J632" s="77"/>
      <c r="K632" s="77"/>
      <c r="L632" s="77"/>
      <c r="M632" s="77"/>
      <c r="N632" s="77"/>
      <c r="O632" s="77"/>
      <c r="P632" s="77"/>
      <c r="Q632" s="77"/>
      <c r="R632" s="77"/>
      <c r="S632" s="77"/>
      <c r="T632" s="77"/>
      <c r="U632" s="77"/>
      <c r="V632" s="77"/>
      <c r="W632" s="77"/>
      <c r="X632" s="77"/>
      <c r="Y632" s="77"/>
      <c r="Z632" s="77"/>
      <c r="AA632" s="77"/>
      <c r="AB632" s="77"/>
      <c r="AC632" s="77"/>
      <c r="AD632" s="77"/>
      <c r="AE632" s="77"/>
      <c r="AF632" s="77"/>
      <c r="AG632" s="77"/>
    </row>
    <row r="633" spans="1:34" ht="14.25" customHeight="1" x14ac:dyDescent="0.2">
      <c r="D633" s="364" t="s">
        <v>291</v>
      </c>
      <c r="E633" s="364"/>
      <c r="F633" s="364"/>
      <c r="G633" s="364"/>
      <c r="H633" s="364"/>
      <c r="I633" s="364"/>
      <c r="J633" s="364"/>
      <c r="K633" s="364"/>
      <c r="L633" s="364"/>
      <c r="M633" s="364"/>
      <c r="N633" s="364"/>
      <c r="O633" s="364"/>
      <c r="P633" s="364"/>
      <c r="Q633" s="364"/>
      <c r="R633" s="364"/>
      <c r="S633" s="364"/>
      <c r="T633" s="364"/>
      <c r="U633" s="364"/>
      <c r="V633" s="364"/>
      <c r="W633" s="364"/>
      <c r="X633" s="364"/>
      <c r="Y633" s="364"/>
      <c r="Z633" s="364"/>
      <c r="AA633" s="364"/>
      <c r="AB633" s="364"/>
      <c r="AC633" s="364"/>
      <c r="AD633" s="364"/>
      <c r="AE633" s="364"/>
      <c r="AF633" s="364"/>
      <c r="AG633" s="364"/>
    </row>
    <row r="634" spans="1:34" ht="14.25" customHeight="1" thickBot="1" x14ac:dyDescent="0.25">
      <c r="D634" s="77"/>
      <c r="E634" s="77"/>
      <c r="F634" s="77"/>
      <c r="G634" s="77"/>
      <c r="H634" s="77"/>
      <c r="I634" s="77"/>
      <c r="J634" s="77"/>
      <c r="K634" s="77"/>
      <c r="L634" s="77"/>
      <c r="M634" s="77"/>
      <c r="N634" s="77"/>
      <c r="O634" s="77"/>
      <c r="P634" s="77"/>
      <c r="Q634" s="77"/>
      <c r="R634" s="77"/>
      <c r="S634" s="77"/>
      <c r="T634" s="77"/>
      <c r="U634" s="77"/>
      <c r="V634" s="77"/>
      <c r="W634" s="77"/>
      <c r="X634" s="77"/>
      <c r="Y634" s="77"/>
      <c r="Z634" s="77"/>
      <c r="AA634" s="77"/>
      <c r="AB634" s="77"/>
      <c r="AC634" s="77"/>
      <c r="AD634" s="77"/>
      <c r="AE634" s="77"/>
      <c r="AF634" s="77"/>
      <c r="AG634" s="77"/>
    </row>
    <row r="635" spans="1:34" ht="14.25" customHeight="1" x14ac:dyDescent="0.2">
      <c r="D635" s="475" t="s">
        <v>145</v>
      </c>
      <c r="E635" s="476"/>
      <c r="F635" s="476"/>
      <c r="G635" s="476"/>
      <c r="H635" s="476"/>
      <c r="I635" s="476"/>
      <c r="J635" s="476"/>
      <c r="K635" s="476"/>
      <c r="L635" s="476"/>
      <c r="M635" s="477"/>
      <c r="N635" s="283" t="s">
        <v>16</v>
      </c>
      <c r="O635" s="284"/>
      <c r="P635" s="284"/>
      <c r="Q635" s="284"/>
      <c r="R635" s="284"/>
      <c r="S635" s="284"/>
      <c r="T635" s="284"/>
      <c r="U635" s="284"/>
      <c r="V635" s="284"/>
      <c r="W635" s="284"/>
      <c r="X635" s="283" t="s">
        <v>17</v>
      </c>
      <c r="Y635" s="284"/>
      <c r="Z635" s="284"/>
      <c r="AA635" s="284"/>
      <c r="AB635" s="284"/>
      <c r="AC635" s="284"/>
      <c r="AD635" s="284"/>
      <c r="AE635" s="284"/>
      <c r="AF635" s="284"/>
      <c r="AG635" s="287"/>
    </row>
    <row r="636" spans="1:34" ht="14.25" customHeight="1" thickBot="1" x14ac:dyDescent="0.25">
      <c r="D636" s="478"/>
      <c r="E636" s="479"/>
      <c r="F636" s="479"/>
      <c r="G636" s="479"/>
      <c r="H636" s="479"/>
      <c r="I636" s="479"/>
      <c r="J636" s="479"/>
      <c r="K636" s="479"/>
      <c r="L636" s="479"/>
      <c r="M636" s="480"/>
      <c r="N636" s="285"/>
      <c r="O636" s="286"/>
      <c r="P636" s="286"/>
      <c r="Q636" s="286"/>
      <c r="R636" s="286"/>
      <c r="S636" s="286"/>
      <c r="T636" s="286"/>
      <c r="U636" s="286"/>
      <c r="V636" s="286"/>
      <c r="W636" s="286"/>
      <c r="X636" s="285"/>
      <c r="Y636" s="286"/>
      <c r="Z636" s="286"/>
      <c r="AA636" s="286"/>
      <c r="AB636" s="286"/>
      <c r="AC636" s="286"/>
      <c r="AD636" s="286"/>
      <c r="AE636" s="286"/>
      <c r="AF636" s="286"/>
      <c r="AG636" s="288"/>
    </row>
    <row r="637" spans="1:34" ht="26.4" customHeight="1" x14ac:dyDescent="0.2">
      <c r="A637" s="3">
        <v>39</v>
      </c>
      <c r="D637" s="268" t="s">
        <v>292</v>
      </c>
      <c r="E637" s="269"/>
      <c r="F637" s="269"/>
      <c r="G637" s="269"/>
      <c r="H637" s="269"/>
      <c r="I637" s="269"/>
      <c r="J637" s="269"/>
      <c r="K637" s="269"/>
      <c r="L637" s="269"/>
      <c r="M637" s="270"/>
      <c r="N637" s="256">
        <f>VLOOKUP(518999,'Účtovná osnova'!A1:I1068,6,FALSE)</f>
        <v>2838940.09</v>
      </c>
      <c r="O637" s="256"/>
      <c r="P637" s="256"/>
      <c r="Q637" s="256"/>
      <c r="R637" s="256"/>
      <c r="S637" s="256"/>
      <c r="T637" s="256"/>
      <c r="U637" s="256"/>
      <c r="V637" s="256"/>
      <c r="W637" s="256"/>
      <c r="X637" s="256">
        <v>3236543</v>
      </c>
      <c r="Y637" s="256"/>
      <c r="Z637" s="256"/>
      <c r="AA637" s="256"/>
      <c r="AB637" s="256"/>
      <c r="AC637" s="256"/>
      <c r="AD637" s="256"/>
      <c r="AE637" s="256"/>
      <c r="AF637" s="256"/>
      <c r="AG637" s="256"/>
    </row>
    <row r="638" spans="1:34" ht="26.4" customHeight="1" x14ac:dyDescent="0.2">
      <c r="D638" s="214" t="s">
        <v>476</v>
      </c>
      <c r="E638" s="215"/>
      <c r="F638" s="215"/>
      <c r="G638" s="215"/>
      <c r="H638" s="215"/>
      <c r="I638" s="215"/>
      <c r="J638" s="215"/>
      <c r="K638" s="215"/>
      <c r="L638" s="215"/>
      <c r="M638" s="216"/>
      <c r="N638" s="229">
        <f>VLOOKUP(518110,'Účtovná osnova'!$A$1:$I$1068,6,FALSE)+VLOOKUP(518120,'Účtovná osnova'!$A$1:$I$1068,6,FALSE)+VLOOKUP(518130,'Účtovná osnova'!$A$1:$I$1068,6,FALSE)</f>
        <v>587760</v>
      </c>
      <c r="O638" s="229"/>
      <c r="P638" s="229"/>
      <c r="Q638" s="229"/>
      <c r="R638" s="229"/>
      <c r="S638" s="229"/>
      <c r="T638" s="229"/>
      <c r="U638" s="229"/>
      <c r="V638" s="229"/>
      <c r="W638" s="229"/>
      <c r="X638" s="229">
        <v>505200</v>
      </c>
      <c r="Y638" s="229"/>
      <c r="Z638" s="229"/>
      <c r="AA638" s="229"/>
      <c r="AB638" s="229"/>
      <c r="AC638" s="229"/>
      <c r="AD638" s="229"/>
      <c r="AE638" s="229"/>
      <c r="AF638" s="229"/>
      <c r="AG638" s="229"/>
    </row>
    <row r="639" spans="1:34" s="24" customFormat="1" ht="26.4" customHeight="1" x14ac:dyDescent="0.3">
      <c r="A639" s="21"/>
      <c r="D639" s="214" t="s">
        <v>293</v>
      </c>
      <c r="E639" s="215"/>
      <c r="F639" s="215"/>
      <c r="G639" s="215"/>
      <c r="H639" s="215"/>
      <c r="I639" s="215"/>
      <c r="J639" s="215"/>
      <c r="K639" s="215"/>
      <c r="L639" s="215"/>
      <c r="M639" s="216"/>
      <c r="N639" s="472">
        <f>SUBTOTAL(9,'[9]Vecné položky'!$L:$L)</f>
        <v>43266.549999999988</v>
      </c>
      <c r="O639" s="473"/>
      <c r="P639" s="473"/>
      <c r="Q639" s="473"/>
      <c r="R639" s="473"/>
      <c r="S639" s="473"/>
      <c r="T639" s="473"/>
      <c r="U639" s="473"/>
      <c r="V639" s="473"/>
      <c r="W639" s="474"/>
      <c r="X639" s="472">
        <v>19200</v>
      </c>
      <c r="Y639" s="473"/>
      <c r="Z639" s="473"/>
      <c r="AA639" s="473"/>
      <c r="AB639" s="473"/>
      <c r="AC639" s="473"/>
      <c r="AD639" s="473"/>
      <c r="AE639" s="473"/>
      <c r="AF639" s="473"/>
      <c r="AG639" s="474"/>
      <c r="AH639" s="46"/>
    </row>
    <row r="640" spans="1:34" s="24" customFormat="1" ht="26.4" customHeight="1" x14ac:dyDescent="0.3">
      <c r="A640" s="21"/>
      <c r="D640" s="214" t="s">
        <v>294</v>
      </c>
      <c r="E640" s="215"/>
      <c r="F640" s="215"/>
      <c r="G640" s="215"/>
      <c r="H640" s="215"/>
      <c r="I640" s="215"/>
      <c r="J640" s="215"/>
      <c r="K640" s="215"/>
      <c r="L640" s="215"/>
      <c r="M640" s="216"/>
      <c r="N640" s="472">
        <f>VLOOKUP(511999,'Účtovná osnova'!$A$1:$I$1068,6,FALSE)</f>
        <v>17910.240000000002</v>
      </c>
      <c r="O640" s="473"/>
      <c r="P640" s="473"/>
      <c r="Q640" s="473"/>
      <c r="R640" s="473"/>
      <c r="S640" s="473"/>
      <c r="T640" s="473"/>
      <c r="U640" s="473"/>
      <c r="V640" s="473"/>
      <c r="W640" s="474"/>
      <c r="X640" s="472">
        <v>27478</v>
      </c>
      <c r="Y640" s="473"/>
      <c r="Z640" s="473"/>
      <c r="AA640" s="473"/>
      <c r="AB640" s="473"/>
      <c r="AC640" s="473"/>
      <c r="AD640" s="473"/>
      <c r="AE640" s="473"/>
      <c r="AF640" s="473"/>
      <c r="AG640" s="474"/>
      <c r="AH640" s="46"/>
    </row>
    <row r="641" spans="1:34" s="24" customFormat="1" ht="26.4" customHeight="1" x14ac:dyDescent="0.3">
      <c r="A641" s="21"/>
      <c r="D641" s="214" t="s">
        <v>295</v>
      </c>
      <c r="E641" s="215"/>
      <c r="F641" s="215"/>
      <c r="G641" s="215"/>
      <c r="H641" s="215"/>
      <c r="I641" s="215"/>
      <c r="J641" s="215"/>
      <c r="K641" s="215"/>
      <c r="L641" s="215"/>
      <c r="M641" s="216"/>
      <c r="N641" s="472">
        <f>VLOOKUP(518520,'Účtovná osnova'!$A$1:$I$1068,6,FALSE)-N639</f>
        <v>0</v>
      </c>
      <c r="O641" s="473"/>
      <c r="P641" s="473"/>
      <c r="Q641" s="473"/>
      <c r="R641" s="473"/>
      <c r="S641" s="473"/>
      <c r="T641" s="473"/>
      <c r="U641" s="473"/>
      <c r="V641" s="473"/>
      <c r="W641" s="474"/>
      <c r="X641" s="472">
        <f>40878-X639</f>
        <v>21678</v>
      </c>
      <c r="Y641" s="473"/>
      <c r="Z641" s="473"/>
      <c r="AA641" s="473"/>
      <c r="AB641" s="473"/>
      <c r="AC641" s="473"/>
      <c r="AD641" s="473"/>
      <c r="AE641" s="473"/>
      <c r="AF641" s="473"/>
      <c r="AG641" s="474"/>
      <c r="AH641" s="46"/>
    </row>
    <row r="642" spans="1:34" s="24" customFormat="1" ht="26.4" customHeight="1" x14ac:dyDescent="0.3">
      <c r="A642" s="21"/>
      <c r="D642" s="214" t="s">
        <v>296</v>
      </c>
      <c r="E642" s="215"/>
      <c r="F642" s="215"/>
      <c r="G642" s="215"/>
      <c r="H642" s="215"/>
      <c r="I642" s="215"/>
      <c r="J642" s="215"/>
      <c r="K642" s="215"/>
      <c r="L642" s="215"/>
      <c r="M642" s="216"/>
      <c r="N642" s="472">
        <f>VLOOKUP(518630,'Účtovná osnova'!$A$1:$I$1068,6,FALSE)+VLOOKUP(518640,'Účtovná osnova'!$A$1:$I$1068,6,FALSE)+VLOOKUP(518641,'Účtovná osnova'!$A$1:$I$1068,6,FALSE)+VLOOKUP(518642,'Účtovná osnova'!$A$1:$I$1068,6,FALSE)+VLOOKUP(518643,'Účtovná osnova'!$A$1:$I$1068,6,FALSE)+VLOOKUP(518644,'Účtovná osnova'!$A$1:$I$1068,6,FALSE)+VLOOKUP(518650,'Účtovná osnova'!$A$1:$I$1068,6,FALSE)+VLOOKUP(518660,'Účtovná osnova'!$A$1:$I$1068,6,FALSE)+VLOOKUP(518670,'Účtovná osnova'!$A$1:$I$1068,6,FALSE)+VLOOKUP(518680,'Účtovná osnova'!$A$1:$I$1068,6,FALSE)+VLOOKUP(518685,'Účtovná osnova'!$A$1:$I$1068,6,FALSE)+VLOOKUP(518690,'Účtovná osnova'!$A$1:$I$1068,6,FALSE)</f>
        <v>273354.3</v>
      </c>
      <c r="O642" s="473"/>
      <c r="P642" s="473"/>
      <c r="Q642" s="473"/>
      <c r="R642" s="473"/>
      <c r="S642" s="473"/>
      <c r="T642" s="473"/>
      <c r="U642" s="473"/>
      <c r="V642" s="473"/>
      <c r="W642" s="474"/>
      <c r="X642" s="472">
        <v>401587</v>
      </c>
      <c r="Y642" s="473"/>
      <c r="Z642" s="473"/>
      <c r="AA642" s="473"/>
      <c r="AB642" s="473"/>
      <c r="AC642" s="473"/>
      <c r="AD642" s="473"/>
      <c r="AE642" s="473"/>
      <c r="AF642" s="473"/>
      <c r="AG642" s="474"/>
      <c r="AH642" s="46"/>
    </row>
    <row r="643" spans="1:34" s="24" customFormat="1" ht="26.4" customHeight="1" x14ac:dyDescent="0.3">
      <c r="A643" s="21"/>
      <c r="D643" s="214" t="s">
        <v>297</v>
      </c>
      <c r="E643" s="215"/>
      <c r="F643" s="215"/>
      <c r="G643" s="215"/>
      <c r="H643" s="215"/>
      <c r="I643" s="215"/>
      <c r="J643" s="215"/>
      <c r="K643" s="215"/>
      <c r="L643" s="215"/>
      <c r="M643" s="216"/>
      <c r="N643" s="472">
        <f>VLOOKUP(518210,'Účtovná osnova'!$A$1:$I$1068,6,FALSE)+VLOOKUP(518270,'Účtovná osnova'!$A$1:$I$1068,6,FALSE)+VLOOKUP(518510,'Účtovná osnova'!$A$1:$I$1068,6,FALSE)+VLOOKUP(518592,'Účtovná osnova'!$A$1:$I$1068,6,FALSE)+VLOOKUP(518593,'Účtovná osnova'!$A$1:$I$1068,6,FALSE)+VLOOKUP(518775,'Účtovná osnova'!$A$1:$I$1068,6,FALSE)</f>
        <v>465212.03</v>
      </c>
      <c r="O643" s="473"/>
      <c r="P643" s="473"/>
      <c r="Q643" s="473"/>
      <c r="R643" s="473"/>
      <c r="S643" s="473"/>
      <c r="T643" s="473"/>
      <c r="U643" s="473"/>
      <c r="V643" s="473"/>
      <c r="W643" s="474"/>
      <c r="X643" s="472">
        <v>301143</v>
      </c>
      <c r="Y643" s="473"/>
      <c r="Z643" s="473"/>
      <c r="AA643" s="473"/>
      <c r="AB643" s="473"/>
      <c r="AC643" s="473"/>
      <c r="AD643" s="473"/>
      <c r="AE643" s="473"/>
      <c r="AF643" s="473"/>
      <c r="AG643" s="474"/>
      <c r="AH643" s="46"/>
    </row>
    <row r="644" spans="1:34" s="24" customFormat="1" ht="26.4" customHeight="1" x14ac:dyDescent="0.3">
      <c r="A644" s="21"/>
      <c r="D644" s="214" t="s">
        <v>298</v>
      </c>
      <c r="E644" s="215"/>
      <c r="F644" s="215"/>
      <c r="G644" s="215"/>
      <c r="H644" s="215"/>
      <c r="I644" s="215"/>
      <c r="J644" s="215"/>
      <c r="K644" s="215"/>
      <c r="L644" s="215"/>
      <c r="M644" s="216"/>
      <c r="N644" s="472">
        <f>VLOOKUP(513999,'Účtovná osnova'!$A$1:$I$1068,6,FALSE)</f>
        <v>29331.26</v>
      </c>
      <c r="O644" s="473"/>
      <c r="P644" s="473"/>
      <c r="Q644" s="473"/>
      <c r="R644" s="473"/>
      <c r="S644" s="473"/>
      <c r="T644" s="473"/>
      <c r="U644" s="473"/>
      <c r="V644" s="473"/>
      <c r="W644" s="474"/>
      <c r="X644" s="472">
        <v>39501</v>
      </c>
      <c r="Y644" s="473"/>
      <c r="Z644" s="473"/>
      <c r="AA644" s="473"/>
      <c r="AB644" s="473"/>
      <c r="AC644" s="473"/>
      <c r="AD644" s="473"/>
      <c r="AE644" s="473"/>
      <c r="AF644" s="473"/>
      <c r="AG644" s="474"/>
      <c r="AH644" s="46"/>
    </row>
    <row r="645" spans="1:34" s="24" customFormat="1" ht="26.4" customHeight="1" x14ac:dyDescent="0.3">
      <c r="A645" s="21"/>
      <c r="D645" s="249" t="s">
        <v>299</v>
      </c>
      <c r="E645" s="249"/>
      <c r="F645" s="249"/>
      <c r="G645" s="249"/>
      <c r="H645" s="249"/>
      <c r="I645" s="249"/>
      <c r="J645" s="249"/>
      <c r="K645" s="249"/>
      <c r="L645" s="249"/>
      <c r="M645" s="249"/>
      <c r="N645" s="229">
        <f>VLOOKUP(512999,'Účtovná osnova'!$A$1:$I$1068,6,FALSE)</f>
        <v>17637.53</v>
      </c>
      <c r="O645" s="229"/>
      <c r="P645" s="229"/>
      <c r="Q645" s="229"/>
      <c r="R645" s="229"/>
      <c r="S645" s="229"/>
      <c r="T645" s="229"/>
      <c r="U645" s="229"/>
      <c r="V645" s="229"/>
      <c r="W645" s="229"/>
      <c r="X645" s="229">
        <v>18857</v>
      </c>
      <c r="Y645" s="229"/>
      <c r="Z645" s="229"/>
      <c r="AA645" s="229"/>
      <c r="AB645" s="229"/>
      <c r="AC645" s="229"/>
      <c r="AD645" s="229"/>
      <c r="AE645" s="229"/>
      <c r="AF645" s="229"/>
      <c r="AG645" s="229"/>
      <c r="AH645" s="46"/>
    </row>
    <row r="646" spans="1:34" s="24" customFormat="1" ht="26.4" customHeight="1" x14ac:dyDescent="0.3">
      <c r="A646" s="21"/>
      <c r="D646" s="249" t="s">
        <v>300</v>
      </c>
      <c r="E646" s="249"/>
      <c r="F646" s="249"/>
      <c r="G646" s="249"/>
      <c r="H646" s="249"/>
      <c r="I646" s="249"/>
      <c r="J646" s="249"/>
      <c r="K646" s="249"/>
      <c r="L646" s="249"/>
      <c r="M646" s="249"/>
      <c r="N646" s="229">
        <f>N637-SUM(N638:W645)</f>
        <v>1404468.1799999997</v>
      </c>
      <c r="O646" s="229"/>
      <c r="P646" s="229"/>
      <c r="Q646" s="229"/>
      <c r="R646" s="229"/>
      <c r="S646" s="229"/>
      <c r="T646" s="229"/>
      <c r="U646" s="229"/>
      <c r="V646" s="229"/>
      <c r="W646" s="229"/>
      <c r="X646" s="229">
        <f>X637-SUM(X638:AG645)</f>
        <v>1901899</v>
      </c>
      <c r="Y646" s="229"/>
      <c r="Z646" s="229"/>
      <c r="AA646" s="229"/>
      <c r="AB646" s="229"/>
      <c r="AC646" s="229"/>
      <c r="AD646" s="229"/>
      <c r="AE646" s="229"/>
      <c r="AF646" s="229"/>
      <c r="AG646" s="229"/>
      <c r="AH646" s="46"/>
    </row>
    <row r="647" spans="1:34" s="24" customFormat="1" ht="26.4" customHeight="1" x14ac:dyDescent="0.3">
      <c r="A647" s="21"/>
      <c r="D647" s="257" t="s">
        <v>301</v>
      </c>
      <c r="E647" s="257"/>
      <c r="F647" s="257"/>
      <c r="G647" s="257"/>
      <c r="H647" s="257"/>
      <c r="I647" s="257"/>
      <c r="J647" s="257"/>
      <c r="K647" s="257"/>
      <c r="L647" s="257"/>
      <c r="M647" s="257"/>
      <c r="N647" s="229">
        <f>SUM(N648:W651)</f>
        <v>5937534.5299999993</v>
      </c>
      <c r="O647" s="229"/>
      <c r="P647" s="229"/>
      <c r="Q647" s="229"/>
      <c r="R647" s="229"/>
      <c r="S647" s="229"/>
      <c r="T647" s="229"/>
      <c r="U647" s="229"/>
      <c r="V647" s="229"/>
      <c r="W647" s="229"/>
      <c r="X647" s="229">
        <f>SUM(X648:AG651)</f>
        <v>6477996</v>
      </c>
      <c r="Y647" s="229"/>
      <c r="Z647" s="229"/>
      <c r="AA647" s="229"/>
      <c r="AB647" s="229"/>
      <c r="AC647" s="229"/>
      <c r="AD647" s="229"/>
      <c r="AE647" s="229"/>
      <c r="AF647" s="229"/>
      <c r="AG647" s="229"/>
      <c r="AH647" s="46"/>
    </row>
    <row r="648" spans="1:34" s="24" customFormat="1" ht="26.4" customHeight="1" x14ac:dyDescent="0.3">
      <c r="A648" s="21"/>
      <c r="D648" s="249" t="s">
        <v>302</v>
      </c>
      <c r="E648" s="249"/>
      <c r="F648" s="249"/>
      <c r="G648" s="249"/>
      <c r="H648" s="249"/>
      <c r="I648" s="249"/>
      <c r="J648" s="249"/>
      <c r="K648" s="249"/>
      <c r="L648" s="249"/>
      <c r="M648" s="249"/>
      <c r="N648" s="229">
        <f>VLOOKUP(541999,'Účtovná osnova'!$A$1:$I$1068,6,FALSE)</f>
        <v>5365819.97</v>
      </c>
      <c r="O648" s="229"/>
      <c r="P648" s="229"/>
      <c r="Q648" s="229"/>
      <c r="R648" s="229"/>
      <c r="S648" s="229"/>
      <c r="T648" s="229"/>
      <c r="U648" s="229"/>
      <c r="V648" s="229"/>
      <c r="W648" s="229"/>
      <c r="X648" s="229">
        <v>6006756</v>
      </c>
      <c r="Y648" s="229"/>
      <c r="Z648" s="229"/>
      <c r="AA648" s="229"/>
      <c r="AB648" s="229"/>
      <c r="AC648" s="229"/>
      <c r="AD648" s="229"/>
      <c r="AE648" s="229"/>
      <c r="AF648" s="229"/>
      <c r="AG648" s="229"/>
      <c r="AH648" s="46"/>
    </row>
    <row r="649" spans="1:34" s="24" customFormat="1" ht="26.4" customHeight="1" x14ac:dyDescent="0.3">
      <c r="A649" s="21"/>
      <c r="D649" s="249" t="s">
        <v>303</v>
      </c>
      <c r="E649" s="249"/>
      <c r="F649" s="249"/>
      <c r="G649" s="249"/>
      <c r="H649" s="249"/>
      <c r="I649" s="249"/>
      <c r="J649" s="249"/>
      <c r="K649" s="249"/>
      <c r="L649" s="249"/>
      <c r="M649" s="249"/>
      <c r="N649" s="229">
        <f>ROUNDUP(VLOOKUP(551999,'Účtovná osnova'!$A$1:$I$1068,6,FALSE),0)</f>
        <v>557045</v>
      </c>
      <c r="O649" s="229"/>
      <c r="P649" s="229"/>
      <c r="Q649" s="229"/>
      <c r="R649" s="229"/>
      <c r="S649" s="229"/>
      <c r="T649" s="229"/>
      <c r="U649" s="229"/>
      <c r="V649" s="229"/>
      <c r="W649" s="229"/>
      <c r="X649" s="229">
        <v>488608</v>
      </c>
      <c r="Y649" s="229"/>
      <c r="Z649" s="229"/>
      <c r="AA649" s="229"/>
      <c r="AB649" s="229"/>
      <c r="AC649" s="229"/>
      <c r="AD649" s="229"/>
      <c r="AE649" s="229"/>
      <c r="AF649" s="229"/>
      <c r="AG649" s="229"/>
      <c r="AH649" s="46"/>
    </row>
    <row r="650" spans="1:34" s="24" customFormat="1" ht="26.4" customHeight="1" x14ac:dyDescent="0.3">
      <c r="A650" s="21"/>
      <c r="D650" s="249" t="s">
        <v>304</v>
      </c>
      <c r="E650" s="249"/>
      <c r="F650" s="249"/>
      <c r="G650" s="249"/>
      <c r="H650" s="249"/>
      <c r="I650" s="249"/>
      <c r="J650" s="249"/>
      <c r="K650" s="249"/>
      <c r="L650" s="249"/>
      <c r="M650" s="249"/>
      <c r="N650" s="229">
        <f>VLOOKUP(539999,'Účtovná osnova'!$A$1:$I$1068,6,FALSE)</f>
        <v>14669.56</v>
      </c>
      <c r="O650" s="229"/>
      <c r="P650" s="229"/>
      <c r="Q650" s="229"/>
      <c r="R650" s="229"/>
      <c r="S650" s="229"/>
      <c r="T650" s="229"/>
      <c r="U650" s="229"/>
      <c r="V650" s="229"/>
      <c r="W650" s="229"/>
      <c r="X650" s="229">
        <v>7931</v>
      </c>
      <c r="Y650" s="229"/>
      <c r="Z650" s="229"/>
      <c r="AA650" s="229"/>
      <c r="AB650" s="229"/>
      <c r="AC650" s="229"/>
      <c r="AD650" s="229"/>
      <c r="AE650" s="229"/>
      <c r="AF650" s="229"/>
      <c r="AG650" s="229"/>
      <c r="AH650" s="46"/>
    </row>
    <row r="651" spans="1:34" s="24" customFormat="1" ht="26.4" customHeight="1" x14ac:dyDescent="0.3">
      <c r="A651" s="21"/>
      <c r="D651" s="249" t="s">
        <v>305</v>
      </c>
      <c r="E651" s="249"/>
      <c r="F651" s="249"/>
      <c r="G651" s="249"/>
      <c r="H651" s="249"/>
      <c r="I651" s="249"/>
      <c r="J651" s="249"/>
      <c r="K651" s="249"/>
      <c r="L651" s="249"/>
      <c r="M651" s="249"/>
      <c r="N651" s="229">
        <f>VLOOKUP(547999,'Účtovná osnova'!$A$1:$I$1068,6,FALSE)</f>
        <v>0</v>
      </c>
      <c r="O651" s="229"/>
      <c r="P651" s="229"/>
      <c r="Q651" s="229"/>
      <c r="R651" s="229"/>
      <c r="S651" s="229"/>
      <c r="T651" s="229"/>
      <c r="U651" s="229"/>
      <c r="V651" s="229"/>
      <c r="W651" s="229"/>
      <c r="X651" s="229">
        <v>-25299</v>
      </c>
      <c r="Y651" s="229"/>
      <c r="Z651" s="229"/>
      <c r="AA651" s="229"/>
      <c r="AB651" s="229"/>
      <c r="AC651" s="229"/>
      <c r="AD651" s="229"/>
      <c r="AE651" s="229"/>
      <c r="AF651" s="229"/>
      <c r="AG651" s="229"/>
      <c r="AH651" s="46"/>
    </row>
    <row r="652" spans="1:34" s="24" customFormat="1" ht="26.4" customHeight="1" x14ac:dyDescent="0.3">
      <c r="A652" s="21"/>
      <c r="D652" s="484" t="s">
        <v>306</v>
      </c>
      <c r="E652" s="485"/>
      <c r="F652" s="485"/>
      <c r="G652" s="485"/>
      <c r="H652" s="485"/>
      <c r="I652" s="485"/>
      <c r="J652" s="485"/>
      <c r="K652" s="485"/>
      <c r="L652" s="485"/>
      <c r="M652" s="486"/>
      <c r="N652" s="229">
        <f>N653+N655</f>
        <v>85961.299999999988</v>
      </c>
      <c r="O652" s="229"/>
      <c r="P652" s="229"/>
      <c r="Q652" s="229"/>
      <c r="R652" s="229"/>
      <c r="S652" s="229"/>
      <c r="T652" s="229"/>
      <c r="U652" s="229"/>
      <c r="V652" s="229"/>
      <c r="W652" s="229"/>
      <c r="X652" s="229">
        <f>X653+X655</f>
        <v>100770</v>
      </c>
      <c r="Y652" s="229"/>
      <c r="Z652" s="229"/>
      <c r="AA652" s="229"/>
      <c r="AB652" s="229"/>
      <c r="AC652" s="229"/>
      <c r="AD652" s="229"/>
      <c r="AE652" s="229"/>
      <c r="AF652" s="229"/>
      <c r="AG652" s="229"/>
      <c r="AH652" s="46"/>
    </row>
    <row r="653" spans="1:34" s="24" customFormat="1" ht="26.4" customHeight="1" x14ac:dyDescent="0.3">
      <c r="A653" s="21"/>
      <c r="D653" s="481" t="s">
        <v>307</v>
      </c>
      <c r="E653" s="482"/>
      <c r="F653" s="482"/>
      <c r="G653" s="482"/>
      <c r="H653" s="482"/>
      <c r="I653" s="482"/>
      <c r="J653" s="482"/>
      <c r="K653" s="482"/>
      <c r="L653" s="482"/>
      <c r="M653" s="483"/>
      <c r="N653" s="229">
        <f>N654</f>
        <v>15245.4</v>
      </c>
      <c r="O653" s="229"/>
      <c r="P653" s="229"/>
      <c r="Q653" s="229"/>
      <c r="R653" s="229"/>
      <c r="S653" s="229"/>
      <c r="T653" s="229"/>
      <c r="U653" s="229"/>
      <c r="V653" s="229"/>
      <c r="W653" s="229"/>
      <c r="X653" s="229">
        <f>X654</f>
        <v>19965</v>
      </c>
      <c r="Y653" s="229"/>
      <c r="Z653" s="229"/>
      <c r="AA653" s="229"/>
      <c r="AB653" s="229"/>
      <c r="AC653" s="229"/>
      <c r="AD653" s="229"/>
      <c r="AE653" s="229"/>
      <c r="AF653" s="229"/>
      <c r="AG653" s="229"/>
      <c r="AH653" s="46"/>
    </row>
    <row r="654" spans="1:34" s="24" customFormat="1" ht="26.4" customHeight="1" x14ac:dyDescent="0.3">
      <c r="A654" s="21"/>
      <c r="D654" s="214" t="s">
        <v>308</v>
      </c>
      <c r="E654" s="215"/>
      <c r="F654" s="215"/>
      <c r="G654" s="215"/>
      <c r="H654" s="215"/>
      <c r="I654" s="215"/>
      <c r="J654" s="215"/>
      <c r="K654" s="215"/>
      <c r="L654" s="215"/>
      <c r="M654" s="216"/>
      <c r="N654" s="229">
        <f>VLOOKUP(563999,'Účtovná osnova'!$A$1:$I$1068,6,FALSE)</f>
        <v>15245.4</v>
      </c>
      <c r="O654" s="229"/>
      <c r="P654" s="229"/>
      <c r="Q654" s="229"/>
      <c r="R654" s="229"/>
      <c r="S654" s="229"/>
      <c r="T654" s="229"/>
      <c r="U654" s="229"/>
      <c r="V654" s="229"/>
      <c r="W654" s="229"/>
      <c r="X654" s="229">
        <v>19965</v>
      </c>
      <c r="Y654" s="229"/>
      <c r="Z654" s="229"/>
      <c r="AA654" s="229"/>
      <c r="AB654" s="229"/>
      <c r="AC654" s="229"/>
      <c r="AD654" s="229"/>
      <c r="AE654" s="229"/>
      <c r="AF654" s="229"/>
      <c r="AG654" s="229"/>
      <c r="AH654" s="46"/>
    </row>
    <row r="655" spans="1:34" s="24" customFormat="1" ht="26.4" customHeight="1" x14ac:dyDescent="0.3">
      <c r="A655" s="21"/>
      <c r="D655" s="481" t="s">
        <v>309</v>
      </c>
      <c r="E655" s="482"/>
      <c r="F655" s="482"/>
      <c r="G655" s="482"/>
      <c r="H655" s="482"/>
      <c r="I655" s="482"/>
      <c r="J655" s="482"/>
      <c r="K655" s="482"/>
      <c r="L655" s="482"/>
      <c r="M655" s="483"/>
      <c r="N655" s="229">
        <f>N656+N657</f>
        <v>70715.899999999994</v>
      </c>
      <c r="O655" s="229"/>
      <c r="P655" s="229"/>
      <c r="Q655" s="229"/>
      <c r="R655" s="229"/>
      <c r="S655" s="229"/>
      <c r="T655" s="229"/>
      <c r="U655" s="229"/>
      <c r="V655" s="229"/>
      <c r="W655" s="229"/>
      <c r="X655" s="229">
        <f>X656+X657</f>
        <v>80805</v>
      </c>
      <c r="Y655" s="229"/>
      <c r="Z655" s="229"/>
      <c r="AA655" s="229"/>
      <c r="AB655" s="229"/>
      <c r="AC655" s="229"/>
      <c r="AD655" s="229"/>
      <c r="AE655" s="229"/>
      <c r="AF655" s="229"/>
      <c r="AG655" s="229"/>
      <c r="AH655" s="46"/>
    </row>
    <row r="656" spans="1:34" s="24" customFormat="1" ht="26.4" customHeight="1" x14ac:dyDescent="0.3">
      <c r="A656" s="21"/>
      <c r="D656" s="214" t="s">
        <v>310</v>
      </c>
      <c r="E656" s="215"/>
      <c r="F656" s="215"/>
      <c r="G656" s="215"/>
      <c r="H656" s="215"/>
      <c r="I656" s="215"/>
      <c r="J656" s="215"/>
      <c r="K656" s="215"/>
      <c r="L656" s="215"/>
      <c r="M656" s="216"/>
      <c r="N656" s="229">
        <f>VLOOKUP(562999,'Účtovná osnova'!$A$1:$I$1068,6,FALSE)</f>
        <v>53415.839999999997</v>
      </c>
      <c r="O656" s="229"/>
      <c r="P656" s="229"/>
      <c r="Q656" s="229"/>
      <c r="R656" s="229"/>
      <c r="S656" s="229"/>
      <c r="T656" s="229"/>
      <c r="U656" s="229"/>
      <c r="V656" s="229"/>
      <c r="W656" s="229"/>
      <c r="X656" s="229">
        <v>59655</v>
      </c>
      <c r="Y656" s="229"/>
      <c r="Z656" s="229"/>
      <c r="AA656" s="229"/>
      <c r="AB656" s="229"/>
      <c r="AC656" s="229"/>
      <c r="AD656" s="229"/>
      <c r="AE656" s="229"/>
      <c r="AF656" s="229"/>
      <c r="AG656" s="229"/>
      <c r="AH656" s="46"/>
    </row>
    <row r="657" spans="1:34" s="24" customFormat="1" ht="26.4" customHeight="1" thickBot="1" x14ac:dyDescent="0.35">
      <c r="A657" s="21"/>
      <c r="D657" s="225" t="s">
        <v>311</v>
      </c>
      <c r="E657" s="226"/>
      <c r="F657" s="226"/>
      <c r="G657" s="226"/>
      <c r="H657" s="226"/>
      <c r="I657" s="226"/>
      <c r="J657" s="226"/>
      <c r="K657" s="226"/>
      <c r="L657" s="226"/>
      <c r="M657" s="227"/>
      <c r="N657" s="468">
        <f>VLOOKUP(568999,'Účtovná osnova'!$A$1:$I$1068,6,FALSE)+VLOOKUP(569998,'Účtovná osnova'!$A$1:$I$1068,6,FALSE)</f>
        <v>17300.060000000001</v>
      </c>
      <c r="O657" s="468"/>
      <c r="P657" s="468"/>
      <c r="Q657" s="468"/>
      <c r="R657" s="468"/>
      <c r="S657" s="468"/>
      <c r="T657" s="468"/>
      <c r="U657" s="468"/>
      <c r="V657" s="468"/>
      <c r="W657" s="468"/>
      <c r="X657" s="468">
        <v>21150</v>
      </c>
      <c r="Y657" s="468"/>
      <c r="Z657" s="468"/>
      <c r="AA657" s="468"/>
      <c r="AB657" s="468"/>
      <c r="AC657" s="468"/>
      <c r="AD657" s="468"/>
      <c r="AE657" s="468"/>
      <c r="AF657" s="468"/>
      <c r="AG657" s="468"/>
      <c r="AH657" s="46"/>
    </row>
    <row r="658" spans="1:34" s="24" customFormat="1" ht="21" customHeight="1" thickBot="1" x14ac:dyDescent="0.35">
      <c r="A658" s="26"/>
      <c r="D658" s="85"/>
      <c r="E658" s="85"/>
      <c r="F658" s="85"/>
      <c r="G658" s="85"/>
      <c r="H658" s="85"/>
      <c r="I658" s="85"/>
      <c r="J658" s="85"/>
      <c r="K658" s="85"/>
      <c r="L658" s="85"/>
      <c r="M658" s="85"/>
      <c r="N658" s="72"/>
      <c r="O658" s="72"/>
      <c r="P658" s="72"/>
      <c r="Q658" s="72"/>
      <c r="R658" s="72"/>
      <c r="S658" s="72"/>
      <c r="T658" s="72"/>
      <c r="U658" s="72"/>
      <c r="V658" s="72"/>
      <c r="W658" s="72"/>
      <c r="X658" s="72"/>
      <c r="Y658" s="72"/>
      <c r="Z658" s="72"/>
      <c r="AA658" s="72"/>
      <c r="AB658" s="72"/>
      <c r="AC658" s="72"/>
      <c r="AD658" s="72"/>
      <c r="AE658" s="72"/>
      <c r="AF658" s="72"/>
      <c r="AG658" s="72"/>
      <c r="AH658" s="46"/>
    </row>
    <row r="659" spans="1:34" ht="14.25" customHeight="1" x14ac:dyDescent="0.2">
      <c r="D659" s="475" t="s">
        <v>145</v>
      </c>
      <c r="E659" s="476"/>
      <c r="F659" s="476"/>
      <c r="G659" s="476"/>
      <c r="H659" s="476"/>
      <c r="I659" s="476"/>
      <c r="J659" s="476"/>
      <c r="K659" s="476"/>
      <c r="L659" s="476"/>
      <c r="M659" s="477"/>
      <c r="N659" s="283" t="s">
        <v>16</v>
      </c>
      <c r="O659" s="284"/>
      <c r="P659" s="284"/>
      <c r="Q659" s="284"/>
      <c r="R659" s="284"/>
      <c r="S659" s="284"/>
      <c r="T659" s="284"/>
      <c r="U659" s="284"/>
      <c r="V659" s="284"/>
      <c r="W659" s="287"/>
      <c r="X659" s="283" t="s">
        <v>17</v>
      </c>
      <c r="Y659" s="284"/>
      <c r="Z659" s="284"/>
      <c r="AA659" s="284"/>
      <c r="AB659" s="284"/>
      <c r="AC659" s="284"/>
      <c r="AD659" s="284"/>
      <c r="AE659" s="284"/>
      <c r="AF659" s="284"/>
      <c r="AG659" s="287"/>
    </row>
    <row r="660" spans="1:34" ht="14.25" customHeight="1" thickBot="1" x14ac:dyDescent="0.25">
      <c r="D660" s="478"/>
      <c r="E660" s="479"/>
      <c r="F660" s="479"/>
      <c r="G660" s="479"/>
      <c r="H660" s="479"/>
      <c r="I660" s="479"/>
      <c r="J660" s="479"/>
      <c r="K660" s="479"/>
      <c r="L660" s="479"/>
      <c r="M660" s="480"/>
      <c r="N660" s="285"/>
      <c r="O660" s="286"/>
      <c r="P660" s="286"/>
      <c r="Q660" s="286"/>
      <c r="R660" s="286"/>
      <c r="S660" s="286"/>
      <c r="T660" s="286"/>
      <c r="U660" s="286"/>
      <c r="V660" s="286"/>
      <c r="W660" s="288"/>
      <c r="X660" s="285"/>
      <c r="Y660" s="286"/>
      <c r="Z660" s="286"/>
      <c r="AA660" s="286"/>
      <c r="AB660" s="286"/>
      <c r="AC660" s="286"/>
      <c r="AD660" s="286"/>
      <c r="AE660" s="286"/>
      <c r="AF660" s="286"/>
      <c r="AG660" s="288"/>
    </row>
    <row r="661" spans="1:34" ht="30.75" customHeight="1" x14ac:dyDescent="0.2">
      <c r="A661" s="3">
        <v>39</v>
      </c>
      <c r="D661" s="268" t="s">
        <v>312</v>
      </c>
      <c r="E661" s="269"/>
      <c r="F661" s="269"/>
      <c r="G661" s="269"/>
      <c r="H661" s="269"/>
      <c r="I661" s="269"/>
      <c r="J661" s="269"/>
      <c r="K661" s="269"/>
      <c r="L661" s="269"/>
      <c r="M661" s="270"/>
      <c r="N661" s="487">
        <f>SUM(N662:W666)</f>
        <v>43266.549999999988</v>
      </c>
      <c r="O661" s="488"/>
      <c r="P661" s="488"/>
      <c r="Q661" s="488"/>
      <c r="R661" s="488"/>
      <c r="S661" s="488"/>
      <c r="T661" s="488"/>
      <c r="U661" s="488"/>
      <c r="V661" s="488"/>
      <c r="W661" s="489"/>
      <c r="X661" s="487">
        <f>SUM(X662:AG666)</f>
        <v>19200</v>
      </c>
      <c r="Y661" s="488"/>
      <c r="Z661" s="488"/>
      <c r="AA661" s="488"/>
      <c r="AB661" s="488"/>
      <c r="AC661" s="488"/>
      <c r="AD661" s="488"/>
      <c r="AE661" s="488"/>
      <c r="AF661" s="488"/>
      <c r="AG661" s="489"/>
    </row>
    <row r="662" spans="1:34" ht="29.25" customHeight="1" x14ac:dyDescent="0.2">
      <c r="D662" s="214" t="s">
        <v>313</v>
      </c>
      <c r="E662" s="215"/>
      <c r="F662" s="215"/>
      <c r="G662" s="215"/>
      <c r="H662" s="215"/>
      <c r="I662" s="215"/>
      <c r="J662" s="215"/>
      <c r="K662" s="215"/>
      <c r="L662" s="215"/>
      <c r="M662" s="216"/>
      <c r="N662" s="229">
        <f>N639</f>
        <v>43266.549999999988</v>
      </c>
      <c r="O662" s="229"/>
      <c r="P662" s="229"/>
      <c r="Q662" s="229"/>
      <c r="R662" s="229"/>
      <c r="S662" s="229"/>
      <c r="T662" s="229"/>
      <c r="U662" s="229"/>
      <c r="V662" s="229"/>
      <c r="W662" s="229"/>
      <c r="X662" s="229">
        <v>19200</v>
      </c>
      <c r="Y662" s="229"/>
      <c r="Z662" s="229"/>
      <c r="AA662" s="229"/>
      <c r="AB662" s="229"/>
      <c r="AC662" s="229"/>
      <c r="AD662" s="229"/>
      <c r="AE662" s="229"/>
      <c r="AF662" s="229"/>
      <c r="AG662" s="229"/>
    </row>
    <row r="663" spans="1:34" s="24" customFormat="1" ht="29.25" customHeight="1" x14ac:dyDescent="0.3">
      <c r="A663" s="21"/>
      <c r="D663" s="214" t="s">
        <v>314</v>
      </c>
      <c r="E663" s="215"/>
      <c r="F663" s="215"/>
      <c r="G663" s="215"/>
      <c r="H663" s="215"/>
      <c r="I663" s="215"/>
      <c r="J663" s="215"/>
      <c r="K663" s="215"/>
      <c r="L663" s="215"/>
      <c r="M663" s="216"/>
      <c r="N663" s="229"/>
      <c r="O663" s="229"/>
      <c r="P663" s="229"/>
      <c r="Q663" s="229"/>
      <c r="R663" s="229"/>
      <c r="S663" s="229"/>
      <c r="T663" s="229"/>
      <c r="U663" s="229"/>
      <c r="V663" s="229"/>
      <c r="W663" s="229"/>
      <c r="X663" s="229"/>
      <c r="Y663" s="229"/>
      <c r="Z663" s="229"/>
      <c r="AA663" s="229"/>
      <c r="AB663" s="229"/>
      <c r="AC663" s="229"/>
      <c r="AD663" s="229"/>
      <c r="AE663" s="229"/>
      <c r="AF663" s="229"/>
      <c r="AG663" s="229"/>
      <c r="AH663" s="46"/>
    </row>
    <row r="664" spans="1:34" s="24" customFormat="1" ht="29.25" customHeight="1" x14ac:dyDescent="0.3">
      <c r="A664" s="21"/>
      <c r="D664" s="214" t="s">
        <v>315</v>
      </c>
      <c r="E664" s="215"/>
      <c r="F664" s="215"/>
      <c r="G664" s="215"/>
      <c r="H664" s="215"/>
      <c r="I664" s="215"/>
      <c r="J664" s="215"/>
      <c r="K664" s="215"/>
      <c r="L664" s="215"/>
      <c r="M664" s="216"/>
      <c r="N664" s="229"/>
      <c r="O664" s="229"/>
      <c r="P664" s="229"/>
      <c r="Q664" s="229"/>
      <c r="R664" s="229"/>
      <c r="S664" s="229"/>
      <c r="T664" s="229"/>
      <c r="U664" s="229"/>
      <c r="V664" s="229"/>
      <c r="W664" s="229"/>
      <c r="X664" s="229"/>
      <c r="Y664" s="229"/>
      <c r="Z664" s="229"/>
      <c r="AA664" s="229"/>
      <c r="AB664" s="229"/>
      <c r="AC664" s="229"/>
      <c r="AD664" s="229"/>
      <c r="AE664" s="229"/>
      <c r="AF664" s="229"/>
      <c r="AG664" s="229"/>
      <c r="AH664" s="46"/>
    </row>
    <row r="665" spans="1:34" s="24" customFormat="1" ht="29.25" customHeight="1" x14ac:dyDescent="0.3">
      <c r="A665" s="21"/>
      <c r="D665" s="214" t="s">
        <v>316</v>
      </c>
      <c r="E665" s="215"/>
      <c r="F665" s="215"/>
      <c r="G665" s="215"/>
      <c r="H665" s="215"/>
      <c r="I665" s="215"/>
      <c r="J665" s="215"/>
      <c r="K665" s="215"/>
      <c r="L665" s="215"/>
      <c r="M665" s="216"/>
      <c r="N665" s="229"/>
      <c r="O665" s="229"/>
      <c r="P665" s="229"/>
      <c r="Q665" s="229"/>
      <c r="R665" s="229"/>
      <c r="S665" s="229"/>
      <c r="T665" s="229"/>
      <c r="U665" s="229"/>
      <c r="V665" s="229"/>
      <c r="W665" s="229"/>
      <c r="X665" s="229"/>
      <c r="Y665" s="229"/>
      <c r="Z665" s="229"/>
      <c r="AA665" s="229"/>
      <c r="AB665" s="229"/>
      <c r="AC665" s="229"/>
      <c r="AD665" s="229"/>
      <c r="AE665" s="229"/>
      <c r="AF665" s="229"/>
      <c r="AG665" s="229"/>
      <c r="AH665" s="46"/>
    </row>
    <row r="666" spans="1:34" s="24" customFormat="1" ht="29.25" customHeight="1" thickBot="1" x14ac:dyDescent="0.35">
      <c r="A666" s="21"/>
      <c r="D666" s="225" t="s">
        <v>317</v>
      </c>
      <c r="E666" s="226"/>
      <c r="F666" s="226"/>
      <c r="G666" s="226"/>
      <c r="H666" s="226"/>
      <c r="I666" s="226"/>
      <c r="J666" s="226"/>
      <c r="K666" s="226"/>
      <c r="L666" s="226"/>
      <c r="M666" s="227"/>
      <c r="N666" s="468"/>
      <c r="O666" s="468"/>
      <c r="P666" s="468"/>
      <c r="Q666" s="468"/>
      <c r="R666" s="468"/>
      <c r="S666" s="468"/>
      <c r="T666" s="468"/>
      <c r="U666" s="468"/>
      <c r="V666" s="468"/>
      <c r="W666" s="468"/>
      <c r="X666" s="468"/>
      <c r="Y666" s="468"/>
      <c r="Z666" s="468"/>
      <c r="AA666" s="468"/>
      <c r="AB666" s="468"/>
      <c r="AC666" s="468"/>
      <c r="AD666" s="468"/>
      <c r="AE666" s="468"/>
      <c r="AF666" s="468"/>
      <c r="AG666" s="468"/>
      <c r="AH666" s="46"/>
    </row>
    <row r="667" spans="1:34" s="24" customFormat="1" ht="9.75" customHeight="1" x14ac:dyDescent="0.3">
      <c r="A667" s="21"/>
      <c r="D667" s="66"/>
      <c r="E667" s="66"/>
      <c r="F667" s="66"/>
      <c r="G667" s="66"/>
      <c r="H667" s="66"/>
      <c r="I667" s="66"/>
      <c r="J667" s="66"/>
      <c r="K667" s="66"/>
      <c r="L667" s="66"/>
      <c r="M667" s="66"/>
      <c r="N667" s="86"/>
      <c r="O667" s="86"/>
      <c r="P667" s="86"/>
      <c r="Q667" s="86"/>
      <c r="R667" s="86"/>
      <c r="S667" s="86"/>
      <c r="T667" s="86"/>
      <c r="U667" s="86"/>
      <c r="V667" s="86"/>
      <c r="W667" s="86"/>
      <c r="X667" s="86"/>
      <c r="Y667" s="86"/>
      <c r="Z667" s="86"/>
      <c r="AA667" s="86"/>
      <c r="AB667" s="86"/>
      <c r="AC667" s="86"/>
      <c r="AD667" s="86"/>
      <c r="AE667" s="86"/>
      <c r="AF667" s="86"/>
      <c r="AG667" s="86"/>
      <c r="AH667" s="46"/>
    </row>
    <row r="668" spans="1:34" ht="20.25" customHeight="1" x14ac:dyDescent="0.25">
      <c r="D668" s="297" t="s">
        <v>318</v>
      </c>
      <c r="E668" s="297"/>
      <c r="F668" s="297"/>
      <c r="G668" s="297"/>
      <c r="H668" s="297"/>
      <c r="I668" s="297"/>
      <c r="J668" s="297"/>
      <c r="K668" s="297"/>
      <c r="L668" s="297"/>
      <c r="M668" s="297"/>
      <c r="N668" s="297"/>
      <c r="O668" s="297"/>
      <c r="P668" s="297"/>
      <c r="Q668" s="297"/>
      <c r="R668" s="297"/>
      <c r="S668" s="297"/>
      <c r="T668" s="297"/>
      <c r="U668" s="297"/>
      <c r="V668" s="297"/>
      <c r="W668" s="297"/>
      <c r="X668" s="297"/>
      <c r="Y668" s="297"/>
      <c r="Z668" s="297"/>
      <c r="AA668" s="297"/>
      <c r="AB668" s="297"/>
      <c r="AC668" s="297"/>
      <c r="AD668" s="297"/>
      <c r="AE668" s="297"/>
      <c r="AF668" s="297"/>
      <c r="AG668" s="297"/>
    </row>
    <row r="669" spans="1:34" ht="14.25" customHeight="1" x14ac:dyDescent="0.2">
      <c r="D669" s="77"/>
      <c r="E669" s="77"/>
      <c r="F669" s="77"/>
      <c r="G669" s="77"/>
      <c r="H669" s="77"/>
      <c r="I669" s="77"/>
      <c r="J669" s="77"/>
      <c r="K669" s="77"/>
      <c r="L669" s="77"/>
      <c r="M669" s="77"/>
      <c r="N669" s="77"/>
      <c r="O669" s="77"/>
      <c r="P669" s="77"/>
      <c r="Q669" s="77"/>
      <c r="R669" s="77"/>
      <c r="S669" s="77"/>
      <c r="T669" s="77"/>
      <c r="U669" s="77"/>
      <c r="V669" s="77"/>
      <c r="W669" s="77"/>
      <c r="X669" s="77"/>
      <c r="Y669" s="77"/>
      <c r="Z669" s="77"/>
      <c r="AA669" s="77"/>
      <c r="AB669" s="77"/>
      <c r="AC669" s="77"/>
      <c r="AD669" s="77"/>
      <c r="AE669" s="77"/>
      <c r="AF669" s="77"/>
      <c r="AG669" s="77"/>
    </row>
    <row r="670" spans="1:34" ht="14.25" customHeight="1" x14ac:dyDescent="0.2">
      <c r="D670" s="364" t="s">
        <v>319</v>
      </c>
      <c r="E670" s="364"/>
      <c r="F670" s="364"/>
      <c r="G670" s="364"/>
      <c r="H670" s="364"/>
      <c r="I670" s="364"/>
      <c r="J670" s="364"/>
      <c r="K670" s="364"/>
      <c r="L670" s="364"/>
      <c r="M670" s="364"/>
      <c r="N670" s="364"/>
      <c r="O670" s="364"/>
      <c r="P670" s="364"/>
      <c r="Q670" s="364"/>
      <c r="R670" s="364"/>
      <c r="S670" s="364"/>
      <c r="T670" s="364"/>
      <c r="U670" s="364"/>
      <c r="V670" s="364"/>
      <c r="W670" s="364"/>
      <c r="X670" s="364"/>
      <c r="Y670" s="364"/>
      <c r="Z670" s="364"/>
      <c r="AA670" s="364"/>
      <c r="AB670" s="364"/>
      <c r="AC670" s="364"/>
      <c r="AD670" s="364"/>
      <c r="AE670" s="364"/>
      <c r="AF670" s="364"/>
      <c r="AG670" s="364"/>
    </row>
    <row r="671" spans="1:34" ht="14.25" customHeight="1" thickBot="1" x14ac:dyDescent="0.25">
      <c r="D671" s="77"/>
      <c r="E671" s="77"/>
      <c r="F671" s="77"/>
      <c r="G671" s="77"/>
      <c r="H671" s="77"/>
      <c r="I671" s="77"/>
      <c r="J671" s="77"/>
      <c r="K671" s="77"/>
      <c r="L671" s="77"/>
      <c r="M671" s="77"/>
      <c r="N671" s="77"/>
      <c r="O671" s="77"/>
      <c r="P671" s="77"/>
      <c r="Q671" s="77"/>
      <c r="R671" s="77"/>
      <c r="S671" s="77"/>
      <c r="T671" s="77"/>
      <c r="U671" s="77"/>
      <c r="V671" s="77"/>
      <c r="W671" s="77"/>
      <c r="X671" s="77"/>
      <c r="Y671" s="77"/>
      <c r="Z671" s="77"/>
      <c r="AA671" s="77"/>
      <c r="AB671" s="77"/>
      <c r="AC671" s="77"/>
      <c r="AD671" s="77"/>
      <c r="AE671" s="77"/>
      <c r="AF671" s="77"/>
      <c r="AG671" s="77"/>
    </row>
    <row r="672" spans="1:34" ht="29.25" customHeight="1" thickBot="1" x14ac:dyDescent="0.25">
      <c r="D672" s="278" t="s">
        <v>145</v>
      </c>
      <c r="E672" s="278"/>
      <c r="F672" s="278"/>
      <c r="G672" s="278"/>
      <c r="H672" s="278"/>
      <c r="I672" s="278"/>
      <c r="J672" s="278"/>
      <c r="K672" s="278"/>
      <c r="L672" s="278"/>
      <c r="M672" s="278"/>
      <c r="N672" s="278"/>
      <c r="O672" s="278"/>
      <c r="P672" s="278" t="s">
        <v>16</v>
      </c>
      <c r="Q672" s="278"/>
      <c r="R672" s="278"/>
      <c r="S672" s="278"/>
      <c r="T672" s="278"/>
      <c r="U672" s="278"/>
      <c r="V672" s="278"/>
      <c r="W672" s="278"/>
      <c r="X672" s="278"/>
      <c r="Y672" s="278" t="s">
        <v>17</v>
      </c>
      <c r="Z672" s="278"/>
      <c r="AA672" s="278"/>
      <c r="AB672" s="278"/>
      <c r="AC672" s="278"/>
      <c r="AD672" s="278"/>
      <c r="AE672" s="278"/>
      <c r="AF672" s="278"/>
      <c r="AG672" s="278"/>
    </row>
    <row r="673" spans="1:33" ht="40.5" customHeight="1" x14ac:dyDescent="0.2">
      <c r="D673" s="363" t="s">
        <v>320</v>
      </c>
      <c r="E673" s="363"/>
      <c r="F673" s="363"/>
      <c r="G673" s="363"/>
      <c r="H673" s="363"/>
      <c r="I673" s="363"/>
      <c r="J673" s="363"/>
      <c r="K673" s="363"/>
      <c r="L673" s="363"/>
      <c r="M673" s="363"/>
      <c r="N673" s="363"/>
      <c r="O673" s="363"/>
      <c r="P673" s="280">
        <v>0</v>
      </c>
      <c r="Q673" s="280"/>
      <c r="R673" s="280"/>
      <c r="S673" s="280"/>
      <c r="T673" s="280"/>
      <c r="U673" s="280"/>
      <c r="V673" s="280"/>
      <c r="W673" s="280"/>
      <c r="X673" s="280"/>
      <c r="Y673" s="280">
        <v>0</v>
      </c>
      <c r="Z673" s="280"/>
      <c r="AA673" s="280"/>
      <c r="AB673" s="280"/>
      <c r="AC673" s="280"/>
      <c r="AD673" s="280"/>
      <c r="AE673" s="280"/>
      <c r="AF673" s="280"/>
      <c r="AG673" s="280"/>
    </row>
    <row r="674" spans="1:33" ht="51.75" customHeight="1" x14ac:dyDescent="0.2">
      <c r="A674" s="3">
        <v>40</v>
      </c>
      <c r="D674" s="249" t="s">
        <v>321</v>
      </c>
      <c r="E674" s="249"/>
      <c r="F674" s="249"/>
      <c r="G674" s="249"/>
      <c r="H674" s="249"/>
      <c r="I674" s="249"/>
      <c r="J674" s="249"/>
      <c r="K674" s="249"/>
      <c r="L674" s="249"/>
      <c r="M674" s="249"/>
      <c r="N674" s="249"/>
      <c r="O674" s="249"/>
      <c r="P674" s="263"/>
      <c r="Q674" s="263"/>
      <c r="R674" s="263"/>
      <c r="S674" s="263"/>
      <c r="T674" s="263"/>
      <c r="U674" s="263"/>
      <c r="V674" s="263"/>
      <c r="W674" s="263"/>
      <c r="X674" s="263"/>
      <c r="Y674" s="263"/>
      <c r="Z674" s="263"/>
      <c r="AA674" s="263"/>
      <c r="AB674" s="263"/>
      <c r="AC674" s="263"/>
      <c r="AD674" s="263"/>
      <c r="AE674" s="263"/>
      <c r="AF674" s="263"/>
      <c r="AG674" s="263"/>
    </row>
    <row r="675" spans="1:33" ht="65.25" customHeight="1" x14ac:dyDescent="0.2">
      <c r="D675" s="249" t="s">
        <v>322</v>
      </c>
      <c r="E675" s="249"/>
      <c r="F675" s="249"/>
      <c r="G675" s="249"/>
      <c r="H675" s="249"/>
      <c r="I675" s="249"/>
      <c r="J675" s="249"/>
      <c r="K675" s="249"/>
      <c r="L675" s="249"/>
      <c r="M675" s="249"/>
      <c r="N675" s="249"/>
      <c r="O675" s="249"/>
      <c r="P675" s="263"/>
      <c r="Q675" s="263"/>
      <c r="R675" s="263"/>
      <c r="S675" s="263"/>
      <c r="T675" s="263"/>
      <c r="U675" s="263"/>
      <c r="V675" s="263"/>
      <c r="W675" s="263"/>
      <c r="X675" s="263"/>
      <c r="Y675" s="263"/>
      <c r="Z675" s="263"/>
      <c r="AA675" s="263"/>
      <c r="AB675" s="263"/>
      <c r="AC675" s="263"/>
      <c r="AD675" s="263"/>
      <c r="AE675" s="263"/>
      <c r="AF675" s="263"/>
      <c r="AG675" s="263"/>
    </row>
    <row r="676" spans="1:33" ht="45.75" customHeight="1" x14ac:dyDescent="0.2">
      <c r="D676" s="249" t="s">
        <v>323</v>
      </c>
      <c r="E676" s="249"/>
      <c r="F676" s="249"/>
      <c r="G676" s="249"/>
      <c r="H676" s="249"/>
      <c r="I676" s="249"/>
      <c r="J676" s="249"/>
      <c r="K676" s="249"/>
      <c r="L676" s="249"/>
      <c r="M676" s="249"/>
      <c r="N676" s="249"/>
      <c r="O676" s="249"/>
      <c r="P676" s="263"/>
      <c r="Q676" s="263"/>
      <c r="R676" s="263"/>
      <c r="S676" s="263"/>
      <c r="T676" s="263"/>
      <c r="U676" s="263"/>
      <c r="V676" s="263"/>
      <c r="W676" s="263"/>
      <c r="X676" s="263"/>
      <c r="Y676" s="263"/>
      <c r="Z676" s="263"/>
      <c r="AA676" s="263"/>
      <c r="AB676" s="263"/>
      <c r="AC676" s="263"/>
      <c r="AD676" s="263"/>
      <c r="AE676" s="263"/>
      <c r="AF676" s="263"/>
      <c r="AG676" s="263"/>
    </row>
    <row r="677" spans="1:33" ht="72" customHeight="1" x14ac:dyDescent="0.2">
      <c r="D677" s="249" t="s">
        <v>324</v>
      </c>
      <c r="E677" s="249"/>
      <c r="F677" s="249"/>
      <c r="G677" s="249"/>
      <c r="H677" s="249"/>
      <c r="I677" s="249"/>
      <c r="J677" s="249"/>
      <c r="K677" s="249"/>
      <c r="L677" s="249"/>
      <c r="M677" s="249"/>
      <c r="N677" s="249"/>
      <c r="O677" s="249"/>
      <c r="P677" s="263"/>
      <c r="Q677" s="263"/>
      <c r="R677" s="263"/>
      <c r="S677" s="263"/>
      <c r="T677" s="263"/>
      <c r="U677" s="263"/>
      <c r="V677" s="263"/>
      <c r="W677" s="263"/>
      <c r="X677" s="263"/>
      <c r="Y677" s="263"/>
      <c r="Z677" s="263"/>
      <c r="AA677" s="263"/>
      <c r="AB677" s="263"/>
      <c r="AC677" s="263"/>
      <c r="AD677" s="263"/>
      <c r="AE677" s="263"/>
      <c r="AF677" s="263"/>
      <c r="AG677" s="263"/>
    </row>
    <row r="678" spans="1:33" ht="55.5" customHeight="1" thickBot="1" x14ac:dyDescent="0.25">
      <c r="D678" s="360" t="s">
        <v>325</v>
      </c>
      <c r="E678" s="360"/>
      <c r="F678" s="360"/>
      <c r="G678" s="360"/>
      <c r="H678" s="360"/>
      <c r="I678" s="360"/>
      <c r="J678" s="360"/>
      <c r="K678" s="360"/>
      <c r="L678" s="360"/>
      <c r="M678" s="360"/>
      <c r="N678" s="360"/>
      <c r="O678" s="360"/>
      <c r="P678" s="261"/>
      <c r="Q678" s="261"/>
      <c r="R678" s="261"/>
      <c r="S678" s="261"/>
      <c r="T678" s="261"/>
      <c r="U678" s="261"/>
      <c r="V678" s="261"/>
      <c r="W678" s="261"/>
      <c r="X678" s="261"/>
      <c r="Y678" s="261"/>
      <c r="Z678" s="261"/>
      <c r="AA678" s="261"/>
      <c r="AB678" s="261"/>
      <c r="AC678" s="261"/>
      <c r="AD678" s="261"/>
      <c r="AE678" s="261"/>
      <c r="AF678" s="261"/>
      <c r="AG678" s="261"/>
    </row>
    <row r="679" spans="1:33" ht="21" customHeight="1" x14ac:dyDescent="0.2">
      <c r="A679" s="25"/>
      <c r="D679" s="77"/>
      <c r="E679" s="77"/>
      <c r="F679" s="77"/>
      <c r="G679" s="77"/>
      <c r="H679" s="77"/>
      <c r="I679" s="77"/>
      <c r="J679" s="77"/>
      <c r="K679" s="77"/>
      <c r="L679" s="77"/>
      <c r="M679" s="77"/>
      <c r="N679" s="77"/>
      <c r="O679" s="77"/>
      <c r="P679" s="77"/>
      <c r="Q679" s="77"/>
      <c r="R679" s="77"/>
      <c r="S679" s="77"/>
      <c r="T679" s="77"/>
      <c r="U679" s="77"/>
      <c r="V679" s="77"/>
      <c r="W679" s="77"/>
      <c r="X679" s="77"/>
      <c r="Y679" s="77"/>
      <c r="Z679" s="77"/>
      <c r="AA679" s="77"/>
      <c r="AB679" s="77"/>
      <c r="AC679" s="77"/>
      <c r="AD679" s="77"/>
      <c r="AE679" s="77"/>
      <c r="AF679" s="77"/>
      <c r="AG679" s="77"/>
    </row>
    <row r="680" spans="1:33" ht="21" customHeight="1" x14ac:dyDescent="0.25">
      <c r="D680" s="355" t="s">
        <v>319</v>
      </c>
      <c r="E680" s="355"/>
      <c r="F680" s="355"/>
      <c r="G680" s="355"/>
      <c r="H680" s="355"/>
      <c r="I680" s="355"/>
      <c r="J680" s="355"/>
      <c r="K680" s="355"/>
      <c r="L680" s="355"/>
      <c r="M680" s="355"/>
      <c r="N680" s="355"/>
      <c r="O680" s="355"/>
      <c r="P680" s="355"/>
      <c r="Q680" s="355"/>
      <c r="R680" s="355"/>
      <c r="S680" s="355"/>
      <c r="T680" s="355"/>
      <c r="U680" s="355"/>
      <c r="V680" s="355"/>
      <c r="W680" s="355"/>
      <c r="X680" s="355"/>
      <c r="Y680" s="355"/>
      <c r="Z680" s="355"/>
      <c r="AA680" s="355"/>
      <c r="AB680" s="355"/>
      <c r="AC680" s="355"/>
      <c r="AD680" s="355"/>
      <c r="AE680" s="355"/>
      <c r="AF680" s="355"/>
      <c r="AG680" s="355"/>
    </row>
    <row r="681" spans="1:33" ht="21" customHeight="1" thickBot="1" x14ac:dyDescent="0.25">
      <c r="D681" s="77"/>
      <c r="E681" s="77"/>
      <c r="F681" s="77"/>
      <c r="G681" s="77"/>
      <c r="H681" s="77"/>
      <c r="I681" s="77"/>
      <c r="J681" s="77"/>
      <c r="K681" s="77"/>
      <c r="L681" s="77"/>
      <c r="M681" s="77"/>
      <c r="N681" s="77"/>
      <c r="O681" s="77"/>
      <c r="P681" s="77"/>
      <c r="Q681" s="77"/>
      <c r="R681" s="77"/>
      <c r="S681" s="77"/>
      <c r="T681" s="77"/>
      <c r="U681" s="77"/>
      <c r="V681" s="77"/>
      <c r="W681" s="77"/>
      <c r="X681" s="77"/>
      <c r="Y681" s="77"/>
      <c r="Z681" s="77"/>
      <c r="AA681" s="77"/>
      <c r="AB681" s="77"/>
      <c r="AC681" s="77"/>
      <c r="AD681" s="77"/>
      <c r="AE681" s="77"/>
      <c r="AF681" s="77"/>
      <c r="AG681" s="77"/>
    </row>
    <row r="682" spans="1:33" ht="14.25" customHeight="1" thickBot="1" x14ac:dyDescent="0.25">
      <c r="D682" s="322" t="s">
        <v>15</v>
      </c>
      <c r="E682" s="322"/>
      <c r="F682" s="322"/>
      <c r="G682" s="322"/>
      <c r="H682" s="322"/>
      <c r="I682" s="322"/>
      <c r="J682" s="283" t="s">
        <v>16</v>
      </c>
      <c r="K682" s="284"/>
      <c r="L682" s="284"/>
      <c r="M682" s="284"/>
      <c r="N682" s="284"/>
      <c r="O682" s="284"/>
      <c r="P682" s="284"/>
      <c r="Q682" s="284"/>
      <c r="R682" s="284"/>
      <c r="S682" s="284"/>
      <c r="T682" s="284"/>
      <c r="U682" s="287"/>
      <c r="V682" s="283" t="s">
        <v>17</v>
      </c>
      <c r="W682" s="284"/>
      <c r="X682" s="284"/>
      <c r="Y682" s="284"/>
      <c r="Z682" s="284"/>
      <c r="AA682" s="284"/>
      <c r="AB682" s="284"/>
      <c r="AC682" s="284"/>
      <c r="AD682" s="284"/>
      <c r="AE682" s="284"/>
      <c r="AF682" s="284"/>
      <c r="AG682" s="287"/>
    </row>
    <row r="683" spans="1:33" ht="14.25" customHeight="1" thickBot="1" x14ac:dyDescent="0.25">
      <c r="D683" s="322"/>
      <c r="E683" s="322"/>
      <c r="F683" s="322"/>
      <c r="G683" s="322"/>
      <c r="H683" s="322"/>
      <c r="I683" s="322"/>
      <c r="J683" s="285"/>
      <c r="K683" s="286"/>
      <c r="L683" s="286"/>
      <c r="M683" s="286"/>
      <c r="N683" s="286"/>
      <c r="O683" s="286"/>
      <c r="P683" s="286"/>
      <c r="Q683" s="286"/>
      <c r="R683" s="286"/>
      <c r="S683" s="286"/>
      <c r="T683" s="286"/>
      <c r="U683" s="288"/>
      <c r="V683" s="285"/>
      <c r="W683" s="286"/>
      <c r="X683" s="286"/>
      <c r="Y683" s="286"/>
      <c r="Z683" s="286"/>
      <c r="AA683" s="286"/>
      <c r="AB683" s="286"/>
      <c r="AC683" s="286"/>
      <c r="AD683" s="286"/>
      <c r="AE683" s="286"/>
      <c r="AF683" s="286"/>
      <c r="AG683" s="288"/>
    </row>
    <row r="684" spans="1:33" ht="14.25" customHeight="1" thickBot="1" x14ac:dyDescent="0.25">
      <c r="A684" s="3">
        <v>41</v>
      </c>
      <c r="D684" s="322"/>
      <c r="E684" s="322"/>
      <c r="F684" s="322"/>
      <c r="G684" s="322"/>
      <c r="H684" s="322"/>
      <c r="I684" s="322"/>
      <c r="J684" s="278" t="s">
        <v>326</v>
      </c>
      <c r="K684" s="278"/>
      <c r="L684" s="278"/>
      <c r="M684" s="278"/>
      <c r="N684" s="278" t="s">
        <v>327</v>
      </c>
      <c r="O684" s="278"/>
      <c r="P684" s="278"/>
      <c r="Q684" s="278"/>
      <c r="R684" s="278" t="s">
        <v>328</v>
      </c>
      <c r="S684" s="278"/>
      <c r="T684" s="278"/>
      <c r="U684" s="278"/>
      <c r="V684" s="278" t="s">
        <v>326</v>
      </c>
      <c r="W684" s="278"/>
      <c r="X684" s="278"/>
      <c r="Y684" s="278"/>
      <c r="Z684" s="278" t="s">
        <v>327</v>
      </c>
      <c r="AA684" s="278"/>
      <c r="AB684" s="278"/>
      <c r="AC684" s="278"/>
      <c r="AD684" s="278" t="s">
        <v>328</v>
      </c>
      <c r="AE684" s="278"/>
      <c r="AF684" s="278"/>
      <c r="AG684" s="278"/>
    </row>
    <row r="685" spans="1:33" ht="30.75" customHeight="1" x14ac:dyDescent="0.2">
      <c r="D685" s="351" t="s">
        <v>329</v>
      </c>
      <c r="E685" s="352"/>
      <c r="F685" s="352"/>
      <c r="G685" s="352"/>
      <c r="H685" s="352"/>
      <c r="I685" s="353"/>
      <c r="J685" s="280">
        <f>-VLOOKUP("H/V PRED DP",'Účtovná osnova'!$A$1:$I$1068,6,FALSE)</f>
        <v>886246.91</v>
      </c>
      <c r="K685" s="280"/>
      <c r="L685" s="280"/>
      <c r="M685" s="497"/>
      <c r="N685" s="498" t="s">
        <v>28</v>
      </c>
      <c r="O685" s="491"/>
      <c r="P685" s="491"/>
      <c r="Q685" s="499"/>
      <c r="R685" s="490" t="s">
        <v>28</v>
      </c>
      <c r="S685" s="491"/>
      <c r="T685" s="491"/>
      <c r="U685" s="491"/>
      <c r="V685" s="280">
        <v>802616</v>
      </c>
      <c r="W685" s="280"/>
      <c r="X685" s="280"/>
      <c r="Y685" s="497"/>
      <c r="Z685" s="498" t="s">
        <v>28</v>
      </c>
      <c r="AA685" s="491"/>
      <c r="AB685" s="491"/>
      <c r="AC685" s="499"/>
      <c r="AD685" s="490" t="s">
        <v>28</v>
      </c>
      <c r="AE685" s="491"/>
      <c r="AF685" s="491"/>
      <c r="AG685" s="491"/>
    </row>
    <row r="686" spans="1:33" ht="14.25" customHeight="1" x14ac:dyDescent="0.2">
      <c r="D686" s="214" t="s">
        <v>330</v>
      </c>
      <c r="E686" s="215"/>
      <c r="F686" s="215"/>
      <c r="G686" s="215"/>
      <c r="H686" s="215"/>
      <c r="I686" s="216"/>
      <c r="J686" s="492" t="s">
        <v>28</v>
      </c>
      <c r="K686" s="492"/>
      <c r="L686" s="492"/>
      <c r="M686" s="493"/>
      <c r="N686" s="343">
        <f>R686*J685</f>
        <v>186111.8511</v>
      </c>
      <c r="O686" s="263"/>
      <c r="P686" s="263"/>
      <c r="Q686" s="342"/>
      <c r="R686" s="494">
        <v>0.21</v>
      </c>
      <c r="S686" s="495"/>
      <c r="T686" s="495"/>
      <c r="U686" s="496"/>
      <c r="V686" s="492" t="s">
        <v>28</v>
      </c>
      <c r="W686" s="492"/>
      <c r="X686" s="492"/>
      <c r="Y686" s="493"/>
      <c r="Z686" s="343">
        <f>AD686*V685</f>
        <v>168549.36</v>
      </c>
      <c r="AA686" s="263"/>
      <c r="AB686" s="263"/>
      <c r="AC686" s="342"/>
      <c r="AD686" s="494">
        <v>0.21</v>
      </c>
      <c r="AE686" s="495"/>
      <c r="AF686" s="495"/>
      <c r="AG686" s="496"/>
    </row>
    <row r="687" spans="1:33" ht="34.5" customHeight="1" x14ac:dyDescent="0.2">
      <c r="D687" s="214" t="s">
        <v>331</v>
      </c>
      <c r="E687" s="215"/>
      <c r="F687" s="215"/>
      <c r="G687" s="215"/>
      <c r="H687" s="215"/>
      <c r="I687" s="216"/>
      <c r="J687" s="503">
        <f>'[5]Splatná DzP PO'!$H$11-'[5]Splatná DzP PO'!$H$43</f>
        <v>204301.61999999883</v>
      </c>
      <c r="K687" s="503"/>
      <c r="L687" s="503"/>
      <c r="M687" s="504"/>
      <c r="N687" s="343">
        <f>R687*J687</f>
        <v>42903.340199999751</v>
      </c>
      <c r="O687" s="263"/>
      <c r="P687" s="263"/>
      <c r="Q687" s="342"/>
      <c r="R687" s="494">
        <v>0.21</v>
      </c>
      <c r="S687" s="495"/>
      <c r="T687" s="495"/>
      <c r="U687" s="496"/>
      <c r="V687" s="503">
        <v>275597</v>
      </c>
      <c r="W687" s="503"/>
      <c r="X687" s="503"/>
      <c r="Y687" s="504"/>
      <c r="Z687" s="343">
        <f>AD687*V687</f>
        <v>57875.369999999995</v>
      </c>
      <c r="AA687" s="263"/>
      <c r="AB687" s="263"/>
      <c r="AC687" s="342"/>
      <c r="AD687" s="494">
        <v>0.21</v>
      </c>
      <c r="AE687" s="495"/>
      <c r="AF687" s="495"/>
      <c r="AG687" s="496"/>
    </row>
    <row r="688" spans="1:33" ht="27.75" customHeight="1" x14ac:dyDescent="0.2">
      <c r="D688" s="214" t="s">
        <v>332</v>
      </c>
      <c r="E688" s="215"/>
      <c r="F688" s="215"/>
      <c r="G688" s="215"/>
      <c r="H688" s="215"/>
      <c r="I688" s="216"/>
      <c r="J688" s="263"/>
      <c r="K688" s="263"/>
      <c r="L688" s="263"/>
      <c r="M688" s="211"/>
      <c r="N688" s="343">
        <f>R688*J688</f>
        <v>0</v>
      </c>
      <c r="O688" s="263"/>
      <c r="P688" s="263"/>
      <c r="Q688" s="342"/>
      <c r="R688" s="494">
        <v>0.21</v>
      </c>
      <c r="S688" s="495"/>
      <c r="T688" s="495"/>
      <c r="U688" s="496"/>
      <c r="V688" s="263"/>
      <c r="W688" s="263"/>
      <c r="X688" s="263"/>
      <c r="Y688" s="211"/>
      <c r="Z688" s="343">
        <f>AD688*V688</f>
        <v>0</v>
      </c>
      <c r="AA688" s="263"/>
      <c r="AB688" s="263"/>
      <c r="AC688" s="342"/>
      <c r="AD688" s="494">
        <v>0.21</v>
      </c>
      <c r="AE688" s="495"/>
      <c r="AF688" s="495"/>
      <c r="AG688" s="496"/>
    </row>
    <row r="689" spans="1:37" ht="35.25" customHeight="1" x14ac:dyDescent="0.2">
      <c r="D689" s="214" t="s">
        <v>333</v>
      </c>
      <c r="E689" s="215"/>
      <c r="F689" s="215"/>
      <c r="G689" s="215"/>
      <c r="H689" s="215"/>
      <c r="I689" s="216"/>
      <c r="J689" s="263"/>
      <c r="K689" s="263"/>
      <c r="L689" s="263"/>
      <c r="M689" s="211"/>
      <c r="N689" s="343"/>
      <c r="O689" s="263"/>
      <c r="P689" s="263"/>
      <c r="Q689" s="342"/>
      <c r="R689" s="500"/>
      <c r="S689" s="501"/>
      <c r="T689" s="501"/>
      <c r="U689" s="502"/>
      <c r="V689" s="263"/>
      <c r="W689" s="263"/>
      <c r="X689" s="263"/>
      <c r="Y689" s="211"/>
      <c r="Z689" s="343"/>
      <c r="AA689" s="263"/>
      <c r="AB689" s="263"/>
      <c r="AC689" s="342"/>
      <c r="AD689" s="500"/>
      <c r="AE689" s="501"/>
      <c r="AF689" s="501"/>
      <c r="AG689" s="502"/>
    </row>
    <row r="690" spans="1:37" ht="27.75" customHeight="1" x14ac:dyDescent="0.2">
      <c r="D690" s="214" t="s">
        <v>334</v>
      </c>
      <c r="E690" s="215"/>
      <c r="F690" s="215"/>
      <c r="G690" s="215"/>
      <c r="H690" s="215"/>
      <c r="I690" s="216"/>
      <c r="J690" s="263">
        <v>0</v>
      </c>
      <c r="K690" s="263"/>
      <c r="L690" s="263"/>
      <c r="M690" s="211"/>
      <c r="N690" s="343">
        <f>R690*J690</f>
        <v>0</v>
      </c>
      <c r="O690" s="263"/>
      <c r="P690" s="263"/>
      <c r="Q690" s="342"/>
      <c r="R690" s="494">
        <v>0.21</v>
      </c>
      <c r="S690" s="495"/>
      <c r="T690" s="495"/>
      <c r="U690" s="496"/>
      <c r="V690" s="263">
        <v>0</v>
      </c>
      <c r="W690" s="263"/>
      <c r="X690" s="263"/>
      <c r="Y690" s="211"/>
      <c r="Z690" s="343">
        <f>AD690*V690</f>
        <v>0</v>
      </c>
      <c r="AA690" s="263"/>
      <c r="AB690" s="263"/>
      <c r="AC690" s="342"/>
      <c r="AD690" s="494">
        <v>0.21</v>
      </c>
      <c r="AE690" s="495"/>
      <c r="AF690" s="495"/>
      <c r="AG690" s="496"/>
    </row>
    <row r="691" spans="1:37" ht="27.75" customHeight="1" x14ac:dyDescent="0.2">
      <c r="D691" s="214" t="s">
        <v>335</v>
      </c>
      <c r="E691" s="215"/>
      <c r="F691" s="215"/>
      <c r="G691" s="215"/>
      <c r="H691" s="215"/>
      <c r="I691" s="216"/>
      <c r="J691" s="263"/>
      <c r="K691" s="263"/>
      <c r="L691" s="263"/>
      <c r="M691" s="211"/>
      <c r="N691" s="343"/>
      <c r="O691" s="263"/>
      <c r="P691" s="263"/>
      <c r="Q691" s="342"/>
      <c r="R691" s="500"/>
      <c r="S691" s="501"/>
      <c r="T691" s="501"/>
      <c r="U691" s="502"/>
      <c r="V691" s="263"/>
      <c r="W691" s="263"/>
      <c r="X691" s="263"/>
      <c r="Y691" s="211"/>
      <c r="Z691" s="343"/>
      <c r="AA691" s="263"/>
      <c r="AB691" s="263"/>
      <c r="AC691" s="342"/>
      <c r="AD691" s="500"/>
      <c r="AE691" s="501"/>
      <c r="AF691" s="501"/>
      <c r="AG691" s="502"/>
    </row>
    <row r="692" spans="1:37" ht="27.75" customHeight="1" x14ac:dyDescent="0.2">
      <c r="D692" s="214" t="s">
        <v>475</v>
      </c>
      <c r="E692" s="215"/>
      <c r="F692" s="215"/>
      <c r="G692" s="215"/>
      <c r="H692" s="215"/>
      <c r="I692" s="216"/>
      <c r="J692" s="263">
        <f>N692/R692</f>
        <v>-620.38714285687706</v>
      </c>
      <c r="K692" s="263"/>
      <c r="L692" s="263"/>
      <c r="M692" s="211"/>
      <c r="N692" s="343">
        <f>VLOOKUP(591200,'Účtovná osnova'!$A$1:$I$1068,6,FALSE)-'[5]Splatná DzP PO'!$H$82</f>
        <v>-130.28129999994417</v>
      </c>
      <c r="O692" s="263"/>
      <c r="P692" s="263"/>
      <c r="Q692" s="342"/>
      <c r="R692" s="494">
        <v>0.21</v>
      </c>
      <c r="S692" s="495"/>
      <c r="T692" s="495"/>
      <c r="U692" s="496"/>
      <c r="V692" s="263">
        <v>10147</v>
      </c>
      <c r="W692" s="263"/>
      <c r="X692" s="263"/>
      <c r="Y692" s="211"/>
      <c r="Z692" s="343">
        <f>V692*AD692</f>
        <v>2130.87</v>
      </c>
      <c r="AA692" s="263"/>
      <c r="AB692" s="263"/>
      <c r="AC692" s="342"/>
      <c r="AD692" s="494">
        <v>0.21</v>
      </c>
      <c r="AE692" s="495"/>
      <c r="AF692" s="495"/>
      <c r="AG692" s="496"/>
    </row>
    <row r="693" spans="1:37" ht="27.75" customHeight="1" x14ac:dyDescent="0.2">
      <c r="D693" s="214" t="s">
        <v>27</v>
      </c>
      <c r="E693" s="215"/>
      <c r="F693" s="215"/>
      <c r="G693" s="215"/>
      <c r="H693" s="215"/>
      <c r="I693" s="216"/>
      <c r="J693" s="263">
        <f>SUM(J685:M692)</f>
        <v>1089928.142857142</v>
      </c>
      <c r="K693" s="263"/>
      <c r="L693" s="263"/>
      <c r="M693" s="211"/>
      <c r="N693" s="343">
        <f>ROUND(N686+N687+N688+N690+N692,0)</f>
        <v>228885</v>
      </c>
      <c r="O693" s="263"/>
      <c r="P693" s="263"/>
      <c r="Q693" s="342"/>
      <c r="R693" s="494">
        <v>0.21</v>
      </c>
      <c r="S693" s="495"/>
      <c r="T693" s="495"/>
      <c r="U693" s="496"/>
      <c r="V693" s="263">
        <f>SUM(V685:Y692)</f>
        <v>1088360</v>
      </c>
      <c r="W693" s="263"/>
      <c r="X693" s="263"/>
      <c r="Y693" s="211"/>
      <c r="Z693" s="343">
        <f>ROUND(Z686+Z687+Z688+Z690+Z692,0)</f>
        <v>228556</v>
      </c>
      <c r="AA693" s="263"/>
      <c r="AB693" s="263"/>
      <c r="AC693" s="342"/>
      <c r="AD693" s="494">
        <v>0.21</v>
      </c>
      <c r="AE693" s="495"/>
      <c r="AF693" s="495"/>
      <c r="AG693" s="496"/>
    </row>
    <row r="694" spans="1:37" ht="27.75" customHeight="1" x14ac:dyDescent="0.2">
      <c r="D694" s="214" t="s">
        <v>336</v>
      </c>
      <c r="E694" s="215"/>
      <c r="F694" s="215"/>
      <c r="G694" s="215"/>
      <c r="H694" s="215"/>
      <c r="I694" s="216"/>
      <c r="J694" s="492" t="s">
        <v>28</v>
      </c>
      <c r="K694" s="492"/>
      <c r="L694" s="492"/>
      <c r="M694" s="493"/>
      <c r="N694" s="343">
        <f>N693</f>
        <v>228885</v>
      </c>
      <c r="O694" s="263"/>
      <c r="P694" s="263"/>
      <c r="Q694" s="342"/>
      <c r="R694" s="494">
        <v>0.21</v>
      </c>
      <c r="S694" s="495"/>
      <c r="T694" s="495"/>
      <c r="U694" s="496"/>
      <c r="V694" s="492" t="s">
        <v>28</v>
      </c>
      <c r="W694" s="492"/>
      <c r="X694" s="492"/>
      <c r="Y694" s="493"/>
      <c r="Z694" s="343">
        <f>Z693</f>
        <v>228556</v>
      </c>
      <c r="AA694" s="263"/>
      <c r="AB694" s="263"/>
      <c r="AC694" s="342"/>
      <c r="AD694" s="494">
        <v>0.21</v>
      </c>
      <c r="AE694" s="495"/>
      <c r="AF694" s="495"/>
      <c r="AG694" s="496"/>
    </row>
    <row r="695" spans="1:37" ht="27.75" customHeight="1" x14ac:dyDescent="0.2">
      <c r="D695" s="214" t="s">
        <v>337</v>
      </c>
      <c r="E695" s="215"/>
      <c r="F695" s="215"/>
      <c r="G695" s="215"/>
      <c r="H695" s="215"/>
      <c r="I695" s="216"/>
      <c r="J695" s="263">
        <f>N519/R695</f>
        <v>-111533.33333333334</v>
      </c>
      <c r="K695" s="263"/>
      <c r="L695" s="263"/>
      <c r="M695" s="211"/>
      <c r="N695" s="343">
        <f>J695*R695</f>
        <v>-23422</v>
      </c>
      <c r="O695" s="263"/>
      <c r="P695" s="263"/>
      <c r="Q695" s="342"/>
      <c r="R695" s="494">
        <v>0.21</v>
      </c>
      <c r="S695" s="495"/>
      <c r="T695" s="495"/>
      <c r="U695" s="496"/>
      <c r="V695" s="263">
        <v>-30752</v>
      </c>
      <c r="W695" s="263"/>
      <c r="X695" s="263"/>
      <c r="Y695" s="211"/>
      <c r="Z695" s="343">
        <f>V695*AD695</f>
        <v>-6457.92</v>
      </c>
      <c r="AA695" s="263"/>
      <c r="AB695" s="263"/>
      <c r="AC695" s="342"/>
      <c r="AD695" s="494">
        <v>0.21</v>
      </c>
      <c r="AE695" s="495"/>
      <c r="AF695" s="495"/>
      <c r="AG695" s="496"/>
    </row>
    <row r="696" spans="1:37" ht="27.75" customHeight="1" thickBot="1" x14ac:dyDescent="0.25">
      <c r="D696" s="225" t="s">
        <v>338</v>
      </c>
      <c r="E696" s="226"/>
      <c r="F696" s="226"/>
      <c r="G696" s="226"/>
      <c r="H696" s="226"/>
      <c r="I696" s="227"/>
      <c r="J696" s="508" t="s">
        <v>28</v>
      </c>
      <c r="K696" s="508"/>
      <c r="L696" s="508"/>
      <c r="M696" s="509"/>
      <c r="N696" s="431">
        <f>N694+N695</f>
        <v>205463</v>
      </c>
      <c r="O696" s="510"/>
      <c r="P696" s="510"/>
      <c r="Q696" s="511"/>
      <c r="R696" s="512">
        <v>0.21</v>
      </c>
      <c r="S696" s="513"/>
      <c r="T696" s="513"/>
      <c r="U696" s="514"/>
      <c r="V696" s="508" t="s">
        <v>28</v>
      </c>
      <c r="W696" s="508"/>
      <c r="X696" s="508"/>
      <c r="Y696" s="509"/>
      <c r="Z696" s="431">
        <f>Z694+Z695</f>
        <v>222098.08</v>
      </c>
      <c r="AA696" s="510"/>
      <c r="AB696" s="510"/>
      <c r="AC696" s="511"/>
      <c r="AD696" s="512">
        <v>0.21</v>
      </c>
      <c r="AE696" s="513"/>
      <c r="AF696" s="513"/>
      <c r="AG696" s="514"/>
    </row>
    <row r="697" spans="1:37" ht="16.5" customHeight="1" x14ac:dyDescent="0.2">
      <c r="D697" s="33"/>
      <c r="E697" s="33"/>
      <c r="F697" s="33"/>
      <c r="G697" s="33"/>
      <c r="H697" s="33"/>
      <c r="I697" s="33"/>
      <c r="J697" s="33"/>
      <c r="K697" s="33"/>
      <c r="L697" s="33"/>
      <c r="M697" s="33"/>
      <c r="N697" s="33"/>
      <c r="O697" s="33"/>
      <c r="P697" s="33"/>
      <c r="Q697" s="33"/>
      <c r="R697" s="33"/>
      <c r="S697" s="33"/>
      <c r="T697" s="33"/>
      <c r="U697" s="33"/>
      <c r="V697" s="33"/>
      <c r="W697" s="33"/>
      <c r="X697" s="33"/>
      <c r="Y697" s="33"/>
      <c r="Z697" s="33"/>
      <c r="AA697" s="33"/>
      <c r="AB697" s="33"/>
      <c r="AC697" s="33"/>
      <c r="AD697" s="33"/>
      <c r="AE697" s="33"/>
      <c r="AF697" s="33"/>
      <c r="AG697" s="33"/>
    </row>
    <row r="698" spans="1:37" s="69" customFormat="1" ht="16.5" customHeight="1" x14ac:dyDescent="0.2">
      <c r="A698" s="67"/>
      <c r="D698" s="77"/>
      <c r="E698" s="77"/>
      <c r="F698" s="77"/>
      <c r="G698" s="77"/>
      <c r="H698" s="77"/>
      <c r="I698" s="77"/>
      <c r="J698" s="77"/>
      <c r="K698" s="77"/>
      <c r="L698" s="156"/>
      <c r="M698" s="77"/>
      <c r="N698" s="77"/>
      <c r="O698" s="77"/>
      <c r="P698" s="77"/>
      <c r="Q698" s="77"/>
      <c r="R698" s="77"/>
      <c r="S698" s="77"/>
      <c r="T698" s="77"/>
      <c r="U698" s="77"/>
      <c r="V698" s="77"/>
      <c r="W698" s="77"/>
      <c r="X698" s="77"/>
      <c r="Y698" s="77"/>
      <c r="Z698" s="77"/>
      <c r="AA698" s="77"/>
      <c r="AB698" s="77"/>
      <c r="AC698" s="77"/>
      <c r="AD698" s="77"/>
      <c r="AE698" s="77"/>
      <c r="AF698" s="77"/>
      <c r="AG698" s="77"/>
      <c r="AH698" s="77"/>
      <c r="AK698" s="156"/>
    </row>
    <row r="699" spans="1:37" ht="14.25" customHeight="1" x14ac:dyDescent="0.25">
      <c r="D699" s="297" t="s">
        <v>339</v>
      </c>
      <c r="E699" s="297"/>
      <c r="F699" s="297"/>
      <c r="G699" s="297"/>
      <c r="H699" s="297"/>
      <c r="I699" s="297"/>
      <c r="J699" s="297"/>
      <c r="K699" s="297"/>
      <c r="L699" s="297"/>
      <c r="M699" s="297"/>
      <c r="N699" s="297"/>
      <c r="O699" s="297"/>
      <c r="P699" s="297"/>
      <c r="Q699" s="297"/>
      <c r="R699" s="297"/>
      <c r="S699" s="297"/>
      <c r="T699" s="297"/>
      <c r="U699" s="297"/>
      <c r="V699" s="297"/>
      <c r="W699" s="297"/>
      <c r="X699" s="297"/>
      <c r="Y699" s="297"/>
      <c r="Z699" s="297"/>
      <c r="AA699" s="297"/>
      <c r="AB699" s="297"/>
      <c r="AC699" s="297"/>
      <c r="AD699" s="297"/>
      <c r="AE699" s="297"/>
      <c r="AF699" s="297"/>
      <c r="AG699" s="297"/>
    </row>
    <row r="700" spans="1:37" ht="14.25" customHeight="1" x14ac:dyDescent="0.2">
      <c r="D700" s="33"/>
      <c r="E700" s="33"/>
      <c r="F700" s="33"/>
      <c r="G700" s="33"/>
      <c r="H700" s="33"/>
      <c r="I700" s="33"/>
      <c r="J700" s="33"/>
      <c r="K700" s="33"/>
      <c r="L700" s="33"/>
      <c r="M700" s="33"/>
      <c r="N700" s="33"/>
      <c r="O700" s="33"/>
      <c r="P700" s="33"/>
      <c r="Q700" s="33"/>
      <c r="R700" s="33"/>
      <c r="S700" s="33"/>
      <c r="T700" s="33"/>
      <c r="U700" s="33"/>
      <c r="V700" s="33"/>
      <c r="W700" s="33"/>
      <c r="X700" s="33"/>
      <c r="Y700" s="33"/>
      <c r="Z700" s="33"/>
      <c r="AA700" s="33"/>
      <c r="AB700" s="33"/>
      <c r="AC700" s="33"/>
      <c r="AD700" s="33"/>
      <c r="AE700" s="33"/>
      <c r="AF700" s="33"/>
      <c r="AG700" s="33"/>
    </row>
    <row r="701" spans="1:37" ht="16.5" customHeight="1" x14ac:dyDescent="0.2">
      <c r="C701" s="3"/>
      <c r="D701" s="281" t="s">
        <v>340</v>
      </c>
      <c r="E701" s="281"/>
      <c r="F701" s="281"/>
      <c r="G701" s="281"/>
      <c r="H701" s="281"/>
      <c r="I701" s="281"/>
      <c r="J701" s="281"/>
      <c r="K701" s="281"/>
      <c r="L701" s="281"/>
      <c r="M701" s="281"/>
      <c r="N701" s="281"/>
      <c r="O701" s="281"/>
      <c r="P701" s="281"/>
      <c r="Q701" s="281"/>
      <c r="R701" s="281"/>
      <c r="S701" s="281"/>
      <c r="T701" s="281"/>
      <c r="U701" s="281"/>
      <c r="V701" s="281"/>
      <c r="W701" s="281"/>
      <c r="X701" s="281"/>
      <c r="Y701" s="281"/>
      <c r="Z701" s="281"/>
      <c r="AA701" s="281"/>
      <c r="AB701" s="281"/>
      <c r="AC701" s="281"/>
      <c r="AD701" s="281"/>
      <c r="AE701" s="281"/>
      <c r="AF701" s="281"/>
      <c r="AG701" s="281"/>
    </row>
    <row r="702" spans="1:37" ht="14.25" customHeight="1" x14ac:dyDescent="0.2">
      <c r="D702" s="281"/>
      <c r="E702" s="281"/>
      <c r="F702" s="281"/>
      <c r="G702" s="281"/>
      <c r="H702" s="281"/>
      <c r="I702" s="281"/>
      <c r="J702" s="281"/>
      <c r="K702" s="281"/>
      <c r="L702" s="281"/>
      <c r="M702" s="281"/>
      <c r="N702" s="281"/>
      <c r="O702" s="281"/>
      <c r="P702" s="281"/>
      <c r="Q702" s="281"/>
      <c r="R702" s="281"/>
      <c r="S702" s="281"/>
      <c r="T702" s="281"/>
      <c r="U702" s="281"/>
      <c r="V702" s="281"/>
      <c r="W702" s="281"/>
      <c r="X702" s="281"/>
      <c r="Y702" s="281"/>
      <c r="Z702" s="281"/>
      <c r="AA702" s="281"/>
      <c r="AB702" s="281"/>
      <c r="AC702" s="281"/>
      <c r="AD702" s="281"/>
      <c r="AE702" s="281"/>
      <c r="AF702" s="281"/>
      <c r="AG702" s="281"/>
    </row>
    <row r="703" spans="1:37" ht="14.25" customHeight="1" x14ac:dyDescent="0.2">
      <c r="A703" s="25"/>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c r="AD703" s="39"/>
      <c r="AE703" s="39"/>
      <c r="AF703" s="39"/>
      <c r="AG703" s="39"/>
    </row>
    <row r="704" spans="1:37" ht="14.25" customHeight="1" x14ac:dyDescent="0.25">
      <c r="D704" s="41" t="s">
        <v>393</v>
      </c>
      <c r="E704" s="33"/>
      <c r="F704" s="33"/>
      <c r="G704" s="33"/>
      <c r="H704" s="33"/>
      <c r="I704" s="33"/>
      <c r="J704" s="33"/>
      <c r="K704" s="33"/>
      <c r="L704" s="33"/>
      <c r="M704" s="33"/>
      <c r="N704" s="33"/>
      <c r="O704" s="33"/>
      <c r="P704" s="33"/>
      <c r="Q704" s="33"/>
      <c r="R704" s="33"/>
      <c r="S704" s="33"/>
      <c r="T704" s="33"/>
      <c r="U704" s="33"/>
      <c r="V704" s="33"/>
      <c r="W704" s="33"/>
      <c r="X704" s="33"/>
      <c r="Y704" s="33"/>
      <c r="Z704" s="33"/>
      <c r="AA704" s="33"/>
      <c r="AB704" s="33"/>
      <c r="AC704" s="33"/>
      <c r="AD704" s="33"/>
      <c r="AE704" s="33"/>
      <c r="AF704" s="33"/>
      <c r="AG704" s="33"/>
    </row>
    <row r="705" spans="1:34" ht="14.25" customHeight="1" x14ac:dyDescent="0.2">
      <c r="D705" s="33"/>
      <c r="E705" s="33"/>
      <c r="F705" s="33"/>
      <c r="G705" s="33"/>
      <c r="H705" s="33"/>
      <c r="I705" s="33"/>
      <c r="J705" s="33"/>
      <c r="K705" s="33"/>
      <c r="L705" s="33"/>
      <c r="M705" s="33"/>
      <c r="N705" s="33"/>
      <c r="O705" s="33"/>
      <c r="P705" s="33"/>
      <c r="Q705" s="33"/>
      <c r="R705" s="33"/>
      <c r="S705" s="33"/>
      <c r="T705" s="33"/>
      <c r="U705" s="33"/>
      <c r="V705" s="33"/>
      <c r="W705" s="33"/>
      <c r="X705" s="33"/>
      <c r="Y705" s="33"/>
      <c r="Z705" s="33"/>
      <c r="AA705" s="33"/>
      <c r="AB705" s="33"/>
      <c r="AC705" s="33"/>
      <c r="AD705" s="33"/>
      <c r="AE705" s="33"/>
      <c r="AF705" s="33"/>
      <c r="AG705" s="33"/>
    </row>
    <row r="706" spans="1:34" ht="14.25" customHeight="1" x14ac:dyDescent="0.2">
      <c r="A706" s="30"/>
      <c r="D706" s="299" t="s">
        <v>412</v>
      </c>
      <c r="E706" s="299"/>
      <c r="F706" s="299"/>
      <c r="G706" s="299"/>
      <c r="H706" s="299"/>
      <c r="I706" s="299"/>
      <c r="J706" s="299"/>
      <c r="K706" s="299"/>
      <c r="L706" s="299"/>
      <c r="M706" s="299"/>
      <c r="N706" s="299"/>
      <c r="O706" s="299"/>
      <c r="P706" s="299"/>
      <c r="Q706" s="299"/>
      <c r="R706" s="299"/>
      <c r="S706" s="299"/>
      <c r="T706" s="299"/>
      <c r="U706" s="299"/>
      <c r="V706" s="299"/>
      <c r="W706" s="299"/>
      <c r="X706" s="299"/>
      <c r="Y706" s="299"/>
      <c r="Z706" s="299"/>
      <c r="AA706" s="299"/>
      <c r="AB706" s="299"/>
      <c r="AC706" s="299"/>
      <c r="AD706" s="299"/>
      <c r="AE706" s="299"/>
      <c r="AF706" s="299"/>
      <c r="AG706" s="299"/>
    </row>
    <row r="707" spans="1:34" ht="14.25" customHeight="1" x14ac:dyDescent="0.2">
      <c r="A707" s="30"/>
      <c r="D707" s="507" t="s">
        <v>2216</v>
      </c>
      <c r="E707" s="233"/>
      <c r="F707" s="233"/>
      <c r="G707" s="233"/>
      <c r="H707" s="233"/>
      <c r="I707" s="233"/>
      <c r="J707" s="233"/>
      <c r="K707" s="233"/>
      <c r="L707" s="233"/>
      <c r="M707" s="233"/>
      <c r="N707" s="233" t="s">
        <v>2217</v>
      </c>
      <c r="O707" s="233"/>
      <c r="P707" s="233"/>
      <c r="Q707" s="233"/>
      <c r="R707" s="233"/>
      <c r="S707" s="233"/>
      <c r="T707" s="233"/>
      <c r="U707" s="233"/>
      <c r="V707" s="233"/>
      <c r="W707" s="233"/>
      <c r="X707" s="233" t="s">
        <v>422</v>
      </c>
      <c r="Y707" s="233"/>
      <c r="Z707" s="233"/>
      <c r="AA707" s="233"/>
      <c r="AB707" s="233"/>
      <c r="AC707" s="233"/>
      <c r="AD707" s="233"/>
      <c r="AE707" s="233"/>
      <c r="AF707" s="233"/>
      <c r="AG707" s="234"/>
    </row>
    <row r="708" spans="1:34" ht="14.25" customHeight="1" x14ac:dyDescent="0.2">
      <c r="A708" s="30"/>
      <c r="D708" s="210" t="s">
        <v>2218</v>
      </c>
      <c r="E708" s="209"/>
      <c r="F708" s="209"/>
      <c r="G708" s="209"/>
      <c r="H708" s="209"/>
      <c r="I708" s="209"/>
      <c r="J708" s="209"/>
      <c r="K708" s="209"/>
      <c r="L708" s="209"/>
      <c r="M708" s="209"/>
      <c r="N708" s="209" t="s">
        <v>426</v>
      </c>
      <c r="O708" s="209"/>
      <c r="P708" s="209"/>
      <c r="Q708" s="209"/>
      <c r="R708" s="209"/>
      <c r="S708" s="209"/>
      <c r="T708" s="209"/>
      <c r="U708" s="209"/>
      <c r="V708" s="209"/>
      <c r="W708" s="209"/>
      <c r="X708" s="209" t="s">
        <v>442</v>
      </c>
      <c r="Y708" s="209"/>
      <c r="Z708" s="209"/>
      <c r="AA708" s="209"/>
      <c r="AB708" s="209"/>
      <c r="AC708" s="209"/>
      <c r="AD708" s="209"/>
      <c r="AE708" s="209"/>
      <c r="AF708" s="209"/>
      <c r="AG708" s="220"/>
    </row>
    <row r="709" spans="1:34" ht="14.25" customHeight="1" x14ac:dyDescent="0.2">
      <c r="A709" s="30"/>
      <c r="D709" s="210" t="s">
        <v>421</v>
      </c>
      <c r="E709" s="209"/>
      <c r="F709" s="209"/>
      <c r="G709" s="209"/>
      <c r="H709" s="209"/>
      <c r="I709" s="209"/>
      <c r="J709" s="209"/>
      <c r="K709" s="209"/>
      <c r="L709" s="209"/>
      <c r="M709" s="209"/>
      <c r="N709" s="209" t="s">
        <v>2226</v>
      </c>
      <c r="O709" s="209"/>
      <c r="P709" s="209"/>
      <c r="Q709" s="209"/>
      <c r="R709" s="209"/>
      <c r="S709" s="209"/>
      <c r="T709" s="209"/>
      <c r="U709" s="209"/>
      <c r="V709" s="209"/>
      <c r="W709" s="209"/>
      <c r="X709" s="209" t="s">
        <v>2227</v>
      </c>
      <c r="Y709" s="209"/>
      <c r="Z709" s="209"/>
      <c r="AA709" s="209"/>
      <c r="AB709" s="209"/>
      <c r="AC709" s="209"/>
      <c r="AD709" s="209"/>
      <c r="AE709" s="209"/>
      <c r="AF709" s="209"/>
      <c r="AG709" s="220"/>
    </row>
    <row r="710" spans="1:34" ht="14.25" customHeight="1" x14ac:dyDescent="0.2">
      <c r="A710" s="30"/>
      <c r="D710" s="210" t="s">
        <v>414</v>
      </c>
      <c r="E710" s="209"/>
      <c r="F710" s="209"/>
      <c r="G710" s="209"/>
      <c r="H710" s="209"/>
      <c r="I710" s="209"/>
      <c r="J710" s="209"/>
      <c r="K710" s="209"/>
      <c r="L710" s="209"/>
      <c r="M710" s="209"/>
      <c r="N710" s="209" t="s">
        <v>445</v>
      </c>
      <c r="O710" s="209"/>
      <c r="P710" s="209"/>
      <c r="Q710" s="209"/>
      <c r="R710" s="209"/>
      <c r="S710" s="209"/>
      <c r="T710" s="209"/>
      <c r="U710" s="209"/>
      <c r="V710" s="209"/>
      <c r="W710" s="209"/>
      <c r="X710" s="209" t="s">
        <v>2228</v>
      </c>
      <c r="Y710" s="209"/>
      <c r="Z710" s="209"/>
      <c r="AA710" s="209"/>
      <c r="AB710" s="209"/>
      <c r="AC710" s="209"/>
      <c r="AD710" s="209"/>
      <c r="AE710" s="209"/>
      <c r="AF710" s="209"/>
      <c r="AG710" s="220"/>
    </row>
    <row r="711" spans="1:34" ht="14.25" customHeight="1" x14ac:dyDescent="0.2">
      <c r="A711" s="30"/>
      <c r="D711" s="210" t="s">
        <v>2219</v>
      </c>
      <c r="E711" s="209"/>
      <c r="F711" s="209"/>
      <c r="G711" s="209"/>
      <c r="H711" s="209"/>
      <c r="I711" s="209"/>
      <c r="J711" s="209"/>
      <c r="K711" s="209"/>
      <c r="L711" s="209"/>
      <c r="M711" s="209"/>
      <c r="N711" s="209" t="s">
        <v>436</v>
      </c>
      <c r="O711" s="209"/>
      <c r="P711" s="209"/>
      <c r="Q711" s="209"/>
      <c r="R711" s="209"/>
      <c r="S711" s="209"/>
      <c r="T711" s="209"/>
      <c r="U711" s="209"/>
      <c r="V711" s="209"/>
      <c r="W711" s="209"/>
      <c r="X711" s="209" t="s">
        <v>2229</v>
      </c>
      <c r="Y711" s="209"/>
      <c r="Z711" s="209"/>
      <c r="AA711" s="209"/>
      <c r="AB711" s="209"/>
      <c r="AC711" s="209"/>
      <c r="AD711" s="209"/>
      <c r="AE711" s="209"/>
      <c r="AF711" s="209"/>
      <c r="AG711" s="220"/>
    </row>
    <row r="712" spans="1:34" ht="14.25" customHeight="1" x14ac:dyDescent="0.2">
      <c r="A712" s="30"/>
      <c r="D712" s="210" t="s">
        <v>425</v>
      </c>
      <c r="E712" s="209"/>
      <c r="F712" s="209"/>
      <c r="G712" s="209"/>
      <c r="H712" s="209"/>
      <c r="I712" s="209"/>
      <c r="J712" s="209"/>
      <c r="K712" s="209"/>
      <c r="L712" s="209"/>
      <c r="M712" s="209"/>
      <c r="N712" s="209" t="s">
        <v>438</v>
      </c>
      <c r="O712" s="209"/>
      <c r="P712" s="209"/>
      <c r="Q712" s="209"/>
      <c r="R712" s="209"/>
      <c r="S712" s="209"/>
      <c r="T712" s="209"/>
      <c r="U712" s="209"/>
      <c r="V712" s="209"/>
      <c r="W712" s="209"/>
      <c r="X712" s="209" t="s">
        <v>2230</v>
      </c>
      <c r="Y712" s="209"/>
      <c r="Z712" s="209"/>
      <c r="AA712" s="209"/>
      <c r="AB712" s="209"/>
      <c r="AC712" s="209"/>
      <c r="AD712" s="209"/>
      <c r="AE712" s="209"/>
      <c r="AF712" s="209"/>
      <c r="AG712" s="220"/>
    </row>
    <row r="713" spans="1:34" s="69" customFormat="1" ht="14.25" customHeight="1" x14ac:dyDescent="0.2">
      <c r="A713" s="67"/>
      <c r="D713" s="210" t="s">
        <v>2220</v>
      </c>
      <c r="E713" s="209"/>
      <c r="F713" s="209"/>
      <c r="G713" s="209"/>
      <c r="H713" s="209"/>
      <c r="I713" s="209"/>
      <c r="J713" s="209"/>
      <c r="K713" s="209"/>
      <c r="L713" s="209"/>
      <c r="M713" s="209"/>
      <c r="N713" s="209" t="s">
        <v>2231</v>
      </c>
      <c r="O713" s="209"/>
      <c r="P713" s="209"/>
      <c r="Q713" s="209"/>
      <c r="R713" s="209"/>
      <c r="S713" s="209"/>
      <c r="T713" s="209"/>
      <c r="U713" s="209"/>
      <c r="V713" s="209"/>
      <c r="W713" s="209"/>
      <c r="X713" s="209" t="s">
        <v>2232</v>
      </c>
      <c r="Y713" s="209"/>
      <c r="Z713" s="209"/>
      <c r="AA713" s="209"/>
      <c r="AB713" s="209"/>
      <c r="AC713" s="209"/>
      <c r="AD713" s="209"/>
      <c r="AE713" s="209"/>
      <c r="AF713" s="209"/>
      <c r="AG713" s="220"/>
      <c r="AH713" s="77"/>
    </row>
    <row r="714" spans="1:34" s="69" customFormat="1" ht="14.25" customHeight="1" x14ac:dyDescent="0.2">
      <c r="A714" s="67"/>
      <c r="D714" s="210" t="s">
        <v>2210</v>
      </c>
      <c r="E714" s="209"/>
      <c r="F714" s="209"/>
      <c r="G714" s="209"/>
      <c r="H714" s="209"/>
      <c r="I714" s="209"/>
      <c r="J714" s="209"/>
      <c r="K714" s="209"/>
      <c r="L714" s="209"/>
      <c r="M714" s="209"/>
      <c r="N714" s="209" t="s">
        <v>439</v>
      </c>
      <c r="O714" s="209"/>
      <c r="P714" s="209"/>
      <c r="Q714" s="209"/>
      <c r="R714" s="209"/>
      <c r="S714" s="209"/>
      <c r="T714" s="209"/>
      <c r="U714" s="209"/>
      <c r="V714" s="209"/>
      <c r="W714" s="209"/>
      <c r="X714" s="209" t="s">
        <v>440</v>
      </c>
      <c r="Y714" s="209"/>
      <c r="Z714" s="209"/>
      <c r="AA714" s="209"/>
      <c r="AB714" s="209"/>
      <c r="AC714" s="209"/>
      <c r="AD714" s="209"/>
      <c r="AE714" s="209"/>
      <c r="AF714" s="209"/>
      <c r="AG714" s="220"/>
      <c r="AH714" s="77"/>
    </row>
    <row r="715" spans="1:34" s="69" customFormat="1" ht="14.25" customHeight="1" x14ac:dyDescent="0.2">
      <c r="A715" s="67"/>
      <c r="D715" s="210" t="s">
        <v>429</v>
      </c>
      <c r="E715" s="209"/>
      <c r="F715" s="209"/>
      <c r="G715" s="209"/>
      <c r="H715" s="209"/>
      <c r="I715" s="209"/>
      <c r="J715" s="209"/>
      <c r="K715" s="209"/>
      <c r="L715" s="209"/>
      <c r="M715" s="209"/>
      <c r="N715" s="209" t="s">
        <v>437</v>
      </c>
      <c r="O715" s="209"/>
      <c r="P715" s="209"/>
      <c r="Q715" s="209"/>
      <c r="R715" s="209"/>
      <c r="S715" s="209"/>
      <c r="T715" s="209"/>
      <c r="U715" s="209"/>
      <c r="V715" s="209"/>
      <c r="W715" s="209"/>
      <c r="X715" s="209" t="s">
        <v>2233</v>
      </c>
      <c r="Y715" s="209"/>
      <c r="Z715" s="209"/>
      <c r="AA715" s="209"/>
      <c r="AB715" s="209"/>
      <c r="AC715" s="209"/>
      <c r="AD715" s="209"/>
      <c r="AE715" s="209"/>
      <c r="AF715" s="209"/>
      <c r="AG715" s="220"/>
      <c r="AH715" s="77"/>
    </row>
    <row r="716" spans="1:34" s="69" customFormat="1" ht="14.25" customHeight="1" x14ac:dyDescent="0.2">
      <c r="A716" s="67"/>
      <c r="D716" s="210" t="s">
        <v>428</v>
      </c>
      <c r="E716" s="209"/>
      <c r="F716" s="209"/>
      <c r="G716" s="209"/>
      <c r="H716" s="209"/>
      <c r="I716" s="209"/>
      <c r="J716" s="209"/>
      <c r="K716" s="209"/>
      <c r="L716" s="209"/>
      <c r="M716" s="209"/>
      <c r="N716" s="209" t="s">
        <v>418</v>
      </c>
      <c r="O716" s="209"/>
      <c r="P716" s="209"/>
      <c r="Q716" s="209"/>
      <c r="R716" s="209"/>
      <c r="S716" s="209"/>
      <c r="T716" s="209"/>
      <c r="U716" s="209"/>
      <c r="V716" s="209"/>
      <c r="W716" s="209"/>
      <c r="X716" s="209" t="s">
        <v>2234</v>
      </c>
      <c r="Y716" s="209"/>
      <c r="Z716" s="209"/>
      <c r="AA716" s="209"/>
      <c r="AB716" s="209"/>
      <c r="AC716" s="209"/>
      <c r="AD716" s="209"/>
      <c r="AE716" s="209"/>
      <c r="AF716" s="209"/>
      <c r="AG716" s="220"/>
      <c r="AH716" s="77"/>
    </row>
    <row r="717" spans="1:34" s="69" customFormat="1" ht="14.25" customHeight="1" x14ac:dyDescent="0.2">
      <c r="A717" s="67"/>
      <c r="D717" s="210" t="s">
        <v>431</v>
      </c>
      <c r="E717" s="209"/>
      <c r="F717" s="209"/>
      <c r="G717" s="209"/>
      <c r="H717" s="209"/>
      <c r="I717" s="209"/>
      <c r="J717" s="209"/>
      <c r="K717" s="209"/>
      <c r="L717" s="209"/>
      <c r="M717" s="209"/>
      <c r="N717" s="209" t="s">
        <v>433</v>
      </c>
      <c r="O717" s="209"/>
      <c r="P717" s="209"/>
      <c r="Q717" s="209"/>
      <c r="R717" s="209"/>
      <c r="S717" s="209"/>
      <c r="T717" s="209"/>
      <c r="U717" s="209"/>
      <c r="V717" s="209"/>
      <c r="W717" s="209"/>
      <c r="X717" s="209" t="s">
        <v>2235</v>
      </c>
      <c r="Y717" s="209"/>
      <c r="Z717" s="209"/>
      <c r="AA717" s="209"/>
      <c r="AB717" s="209"/>
      <c r="AC717" s="209"/>
      <c r="AD717" s="209"/>
      <c r="AE717" s="209"/>
      <c r="AF717" s="209"/>
      <c r="AG717" s="220"/>
      <c r="AH717" s="77"/>
    </row>
    <row r="718" spans="1:34" s="69" customFormat="1" ht="14.25" customHeight="1" x14ac:dyDescent="0.2">
      <c r="A718" s="67"/>
      <c r="D718" s="505" t="s">
        <v>423</v>
      </c>
      <c r="E718" s="506"/>
      <c r="F718" s="506"/>
      <c r="G718" s="506"/>
      <c r="H718" s="506"/>
      <c r="I718" s="506"/>
      <c r="J718" s="506"/>
      <c r="K718" s="506"/>
      <c r="L718" s="506"/>
      <c r="M718" s="506"/>
      <c r="N718" s="209" t="s">
        <v>434</v>
      </c>
      <c r="O718" s="209"/>
      <c r="P718" s="209"/>
      <c r="Q718" s="209"/>
      <c r="R718" s="209"/>
      <c r="S718" s="209"/>
      <c r="T718" s="209"/>
      <c r="U718" s="209"/>
      <c r="V718" s="209"/>
      <c r="W718" s="209"/>
      <c r="X718" s="209" t="s">
        <v>2236</v>
      </c>
      <c r="Y718" s="209"/>
      <c r="Z718" s="209"/>
      <c r="AA718" s="209"/>
      <c r="AB718" s="209"/>
      <c r="AC718" s="209"/>
      <c r="AD718" s="209"/>
      <c r="AE718" s="209"/>
      <c r="AF718" s="209"/>
      <c r="AG718" s="220"/>
      <c r="AH718" s="77"/>
    </row>
    <row r="719" spans="1:34" s="69" customFormat="1" ht="14.25" customHeight="1" x14ac:dyDescent="0.2">
      <c r="A719" s="67"/>
      <c r="D719" s="210" t="s">
        <v>2221</v>
      </c>
      <c r="E719" s="209"/>
      <c r="F719" s="209"/>
      <c r="G719" s="209"/>
      <c r="H719" s="209"/>
      <c r="I719" s="209"/>
      <c r="J719" s="209"/>
      <c r="K719" s="209"/>
      <c r="L719" s="209"/>
      <c r="M719" s="209"/>
      <c r="N719" s="209" t="s">
        <v>444</v>
      </c>
      <c r="O719" s="209"/>
      <c r="P719" s="209"/>
      <c r="Q719" s="209"/>
      <c r="R719" s="209"/>
      <c r="S719" s="209"/>
      <c r="T719" s="209"/>
      <c r="U719" s="209"/>
      <c r="V719" s="209"/>
      <c r="W719" s="209"/>
      <c r="X719" s="209" t="s">
        <v>446</v>
      </c>
      <c r="Y719" s="209"/>
      <c r="Z719" s="209"/>
      <c r="AA719" s="209"/>
      <c r="AB719" s="209"/>
      <c r="AC719" s="209"/>
      <c r="AD719" s="209"/>
      <c r="AE719" s="209"/>
      <c r="AF719" s="209"/>
      <c r="AG719" s="220"/>
      <c r="AH719" s="77"/>
    </row>
    <row r="720" spans="1:34" ht="14.25" customHeight="1" x14ac:dyDescent="0.2">
      <c r="A720" s="30"/>
      <c r="D720" s="210" t="s">
        <v>2222</v>
      </c>
      <c r="E720" s="209"/>
      <c r="F720" s="209"/>
      <c r="G720" s="209"/>
      <c r="H720" s="209"/>
      <c r="I720" s="209"/>
      <c r="J720" s="209"/>
      <c r="K720" s="209"/>
      <c r="L720" s="209"/>
      <c r="M720" s="209"/>
      <c r="N720" s="209" t="s">
        <v>2237</v>
      </c>
      <c r="O720" s="209"/>
      <c r="P720" s="209"/>
      <c r="Q720" s="209"/>
      <c r="R720" s="209"/>
      <c r="S720" s="209"/>
      <c r="T720" s="209"/>
      <c r="U720" s="209"/>
      <c r="V720" s="209"/>
      <c r="W720" s="209"/>
      <c r="X720" s="209" t="s">
        <v>446</v>
      </c>
      <c r="Y720" s="209"/>
      <c r="Z720" s="209"/>
      <c r="AA720" s="209"/>
      <c r="AB720" s="209"/>
      <c r="AC720" s="209"/>
      <c r="AD720" s="209"/>
      <c r="AE720" s="209"/>
      <c r="AF720" s="209"/>
      <c r="AG720" s="220"/>
    </row>
    <row r="721" spans="1:33" ht="14.25" customHeight="1" x14ac:dyDescent="0.2">
      <c r="A721" s="30"/>
      <c r="D721" s="210" t="s">
        <v>443</v>
      </c>
      <c r="E721" s="209"/>
      <c r="F721" s="209"/>
      <c r="G721" s="209"/>
      <c r="H721" s="209"/>
      <c r="I721" s="209"/>
      <c r="J721" s="209"/>
      <c r="K721" s="209"/>
      <c r="L721" s="209"/>
      <c r="M721" s="209"/>
      <c r="N721" s="209" t="s">
        <v>2238</v>
      </c>
      <c r="O721" s="209"/>
      <c r="P721" s="209"/>
      <c r="Q721" s="209"/>
      <c r="R721" s="209"/>
      <c r="S721" s="209"/>
      <c r="T721" s="209"/>
      <c r="U721" s="209"/>
      <c r="V721" s="209"/>
      <c r="W721" s="209"/>
      <c r="X721" s="209" t="s">
        <v>2239</v>
      </c>
      <c r="Y721" s="209"/>
      <c r="Z721" s="209"/>
      <c r="AA721" s="209"/>
      <c r="AB721" s="209"/>
      <c r="AC721" s="209"/>
      <c r="AD721" s="209"/>
      <c r="AE721" s="209"/>
      <c r="AF721" s="209"/>
      <c r="AG721" s="220"/>
    </row>
    <row r="722" spans="1:33" ht="14.25" customHeight="1" x14ac:dyDescent="0.2">
      <c r="A722" s="30"/>
      <c r="D722" s="210" t="s">
        <v>2223</v>
      </c>
      <c r="E722" s="209"/>
      <c r="F722" s="209"/>
      <c r="G722" s="209"/>
      <c r="H722" s="209"/>
      <c r="I722" s="209"/>
      <c r="J722" s="209"/>
      <c r="K722" s="209"/>
      <c r="L722" s="209"/>
      <c r="M722" s="209"/>
      <c r="N722" s="209" t="s">
        <v>2240</v>
      </c>
      <c r="O722" s="209"/>
      <c r="P722" s="209"/>
      <c r="Q722" s="209"/>
      <c r="R722" s="209"/>
      <c r="S722" s="209"/>
      <c r="T722" s="209"/>
      <c r="U722" s="209"/>
      <c r="V722" s="209"/>
      <c r="W722" s="209"/>
      <c r="X722" s="209" t="s">
        <v>2241</v>
      </c>
      <c r="Y722" s="209"/>
      <c r="Z722" s="209"/>
      <c r="AA722" s="209"/>
      <c r="AB722" s="209"/>
      <c r="AC722" s="209"/>
      <c r="AD722" s="209"/>
      <c r="AE722" s="209"/>
      <c r="AF722" s="209"/>
      <c r="AG722" s="220"/>
    </row>
    <row r="723" spans="1:33" ht="14.25" customHeight="1" x14ac:dyDescent="0.2">
      <c r="A723" s="30"/>
      <c r="D723" s="210" t="s">
        <v>2224</v>
      </c>
      <c r="E723" s="209"/>
      <c r="F723" s="209"/>
      <c r="G723" s="209"/>
      <c r="H723" s="209"/>
      <c r="I723" s="209"/>
      <c r="J723" s="209"/>
      <c r="K723" s="209"/>
      <c r="L723" s="209"/>
      <c r="M723" s="209"/>
      <c r="N723" s="209" t="s">
        <v>424</v>
      </c>
      <c r="O723" s="209"/>
      <c r="P723" s="209"/>
      <c r="Q723" s="209"/>
      <c r="R723" s="209"/>
      <c r="S723" s="209"/>
      <c r="T723" s="209"/>
      <c r="U723" s="209"/>
      <c r="V723" s="209"/>
      <c r="W723" s="209"/>
      <c r="X723" s="209" t="s">
        <v>2242</v>
      </c>
      <c r="Y723" s="209"/>
      <c r="Z723" s="209"/>
      <c r="AA723" s="209"/>
      <c r="AB723" s="209"/>
      <c r="AC723" s="209"/>
      <c r="AD723" s="209"/>
      <c r="AE723" s="209"/>
      <c r="AF723" s="209"/>
      <c r="AG723" s="220"/>
    </row>
    <row r="724" spans="1:33" ht="14.25" customHeight="1" x14ac:dyDescent="0.3">
      <c r="A724" s="30"/>
      <c r="D724" s="235" t="s">
        <v>413</v>
      </c>
      <c r="E724" s="236"/>
      <c r="F724" s="236"/>
      <c r="G724" s="236"/>
      <c r="H724" s="236"/>
      <c r="I724" s="236"/>
      <c r="J724" s="236"/>
      <c r="K724" s="236"/>
      <c r="L724" s="236"/>
      <c r="M724" s="236"/>
      <c r="N724" s="209" t="s">
        <v>427</v>
      </c>
      <c r="O724" s="209"/>
      <c r="P724" s="209"/>
      <c r="Q724" s="209"/>
      <c r="R724" s="209"/>
      <c r="S724" s="209"/>
      <c r="T724" s="209"/>
      <c r="U724" s="209"/>
      <c r="V724" s="209"/>
      <c r="W724" s="209"/>
      <c r="X724" s="209" t="s">
        <v>2243</v>
      </c>
      <c r="Y724" s="209"/>
      <c r="Z724" s="209"/>
      <c r="AA724" s="209"/>
      <c r="AB724" s="209"/>
      <c r="AC724" s="209"/>
      <c r="AD724" s="209"/>
      <c r="AE724" s="209"/>
      <c r="AF724" s="209"/>
      <c r="AG724" s="220"/>
    </row>
    <row r="725" spans="1:33" ht="14.25" customHeight="1" x14ac:dyDescent="0.2">
      <c r="A725" s="30"/>
      <c r="D725" s="210" t="s">
        <v>435</v>
      </c>
      <c r="E725" s="209"/>
      <c r="F725" s="209"/>
      <c r="G725" s="209"/>
      <c r="H725" s="209"/>
      <c r="I725" s="209"/>
      <c r="J725" s="209"/>
      <c r="K725" s="209"/>
      <c r="L725" s="209"/>
      <c r="M725" s="209"/>
      <c r="N725" s="209" t="s">
        <v>432</v>
      </c>
      <c r="O725" s="209"/>
      <c r="P725" s="209"/>
      <c r="Q725" s="209"/>
      <c r="R725" s="209"/>
      <c r="S725" s="209"/>
      <c r="T725" s="209"/>
      <c r="U725" s="209"/>
      <c r="V725" s="209"/>
      <c r="W725" s="209"/>
      <c r="X725" s="209" t="s">
        <v>2244</v>
      </c>
      <c r="Y725" s="209"/>
      <c r="Z725" s="209"/>
      <c r="AA725" s="209"/>
      <c r="AB725" s="209"/>
      <c r="AC725" s="209"/>
      <c r="AD725" s="209"/>
      <c r="AE725" s="209"/>
      <c r="AF725" s="209"/>
      <c r="AG725" s="220"/>
    </row>
    <row r="726" spans="1:33" ht="14.25" customHeight="1" x14ac:dyDescent="0.2">
      <c r="A726" s="30"/>
      <c r="D726" s="210" t="s">
        <v>2225</v>
      </c>
      <c r="E726" s="209"/>
      <c r="F726" s="209"/>
      <c r="G726" s="209"/>
      <c r="H726" s="209"/>
      <c r="I726" s="209"/>
      <c r="J726" s="209"/>
      <c r="K726" s="209"/>
      <c r="L726" s="209"/>
      <c r="M726" s="209"/>
      <c r="N726" s="209" t="s">
        <v>419</v>
      </c>
      <c r="O726" s="209"/>
      <c r="P726" s="209"/>
      <c r="Q726" s="209"/>
      <c r="R726" s="209"/>
      <c r="S726" s="209"/>
      <c r="T726" s="209"/>
      <c r="U726" s="209"/>
      <c r="V726" s="209"/>
      <c r="W726" s="209"/>
      <c r="X726" s="209" t="s">
        <v>2245</v>
      </c>
      <c r="Y726" s="209"/>
      <c r="Z726" s="209"/>
      <c r="AA726" s="209"/>
      <c r="AB726" s="209"/>
      <c r="AC726" s="209"/>
      <c r="AD726" s="209"/>
      <c r="AE726" s="209"/>
      <c r="AF726" s="209"/>
      <c r="AG726" s="220"/>
    </row>
    <row r="727" spans="1:33" ht="14.25" customHeight="1" x14ac:dyDescent="0.2">
      <c r="A727" s="30"/>
      <c r="D727" s="210" t="s">
        <v>415</v>
      </c>
      <c r="E727" s="209"/>
      <c r="F727" s="209"/>
      <c r="G727" s="209"/>
      <c r="H727" s="209"/>
      <c r="I727" s="209"/>
      <c r="J727" s="209"/>
      <c r="K727" s="209"/>
      <c r="L727" s="209"/>
      <c r="M727" s="209"/>
      <c r="N727" s="209" t="s">
        <v>417</v>
      </c>
      <c r="O727" s="209"/>
      <c r="P727" s="209"/>
      <c r="Q727" s="209"/>
      <c r="R727" s="209"/>
      <c r="S727" s="209"/>
      <c r="T727" s="209"/>
      <c r="U727" s="209"/>
      <c r="V727" s="209"/>
      <c r="W727" s="209"/>
      <c r="X727" s="209" t="s">
        <v>2246</v>
      </c>
      <c r="Y727" s="209"/>
      <c r="Z727" s="209"/>
      <c r="AA727" s="209"/>
      <c r="AB727" s="209"/>
      <c r="AC727" s="209"/>
      <c r="AD727" s="209"/>
      <c r="AE727" s="209"/>
      <c r="AF727" s="209"/>
      <c r="AG727" s="220"/>
    </row>
    <row r="728" spans="1:33" ht="14.25" customHeight="1" x14ac:dyDescent="0.2">
      <c r="A728" s="30"/>
      <c r="D728" s="210" t="s">
        <v>416</v>
      </c>
      <c r="E728" s="209"/>
      <c r="F728" s="209"/>
      <c r="G728" s="209"/>
      <c r="H728" s="209"/>
      <c r="I728" s="209"/>
      <c r="J728" s="209"/>
      <c r="K728" s="209"/>
      <c r="L728" s="209"/>
      <c r="M728" s="209"/>
      <c r="N728" s="209" t="s">
        <v>441</v>
      </c>
      <c r="O728" s="209"/>
      <c r="P728" s="209"/>
      <c r="Q728" s="209"/>
      <c r="R728" s="209"/>
      <c r="S728" s="209"/>
      <c r="T728" s="209"/>
      <c r="U728" s="209"/>
      <c r="V728" s="209"/>
      <c r="W728" s="209"/>
      <c r="X728" s="209" t="s">
        <v>2247</v>
      </c>
      <c r="Y728" s="209"/>
      <c r="Z728" s="209"/>
      <c r="AA728" s="209"/>
      <c r="AB728" s="209"/>
      <c r="AC728" s="209"/>
      <c r="AD728" s="209"/>
      <c r="AE728" s="209"/>
      <c r="AF728" s="209"/>
      <c r="AG728" s="220"/>
    </row>
    <row r="729" spans="1:33" ht="14.25" customHeight="1" x14ac:dyDescent="0.2">
      <c r="A729" s="30"/>
      <c r="D729" s="210" t="s">
        <v>420</v>
      </c>
      <c r="E729" s="209"/>
      <c r="F729" s="209"/>
      <c r="G729" s="209"/>
      <c r="H729" s="209"/>
      <c r="I729" s="209"/>
      <c r="J729" s="209"/>
      <c r="K729" s="209"/>
      <c r="L729" s="209"/>
      <c r="M729" s="209"/>
      <c r="N729" s="209" t="s">
        <v>2248</v>
      </c>
      <c r="O729" s="209"/>
      <c r="P729" s="209"/>
      <c r="Q729" s="209"/>
      <c r="R729" s="209"/>
      <c r="S729" s="209"/>
      <c r="T729" s="209"/>
      <c r="U729" s="209"/>
      <c r="V729" s="209"/>
      <c r="W729" s="209"/>
      <c r="X729" s="209" t="s">
        <v>2249</v>
      </c>
      <c r="Y729" s="209"/>
      <c r="Z729" s="209"/>
      <c r="AA729" s="209"/>
      <c r="AB729" s="209"/>
      <c r="AC729" s="209"/>
      <c r="AD729" s="209"/>
      <c r="AE729" s="209"/>
      <c r="AF729" s="209"/>
      <c r="AG729" s="220"/>
    </row>
    <row r="730" spans="1:33" ht="14.25" customHeight="1" x14ac:dyDescent="0.2">
      <c r="A730" s="30"/>
      <c r="D730" s="210" t="s">
        <v>2250</v>
      </c>
      <c r="E730" s="209"/>
      <c r="F730" s="209"/>
      <c r="G730" s="209"/>
      <c r="H730" s="209"/>
      <c r="I730" s="209"/>
      <c r="J730" s="209"/>
      <c r="K730" s="209"/>
      <c r="L730" s="209"/>
      <c r="M730" s="209"/>
      <c r="N730" s="209" t="s">
        <v>2251</v>
      </c>
      <c r="O730" s="209"/>
      <c r="P730" s="209"/>
      <c r="Q730" s="209"/>
      <c r="R730" s="209"/>
      <c r="S730" s="209"/>
      <c r="T730" s="209"/>
      <c r="U730" s="209"/>
      <c r="V730" s="209"/>
      <c r="W730" s="209"/>
      <c r="X730" s="209" t="s">
        <v>2252</v>
      </c>
      <c r="Y730" s="209"/>
      <c r="Z730" s="209"/>
      <c r="AA730" s="209"/>
      <c r="AB730" s="209"/>
      <c r="AC730" s="209"/>
      <c r="AD730" s="209"/>
      <c r="AE730" s="209"/>
      <c r="AF730" s="209"/>
      <c r="AG730" s="220"/>
    </row>
    <row r="731" spans="1:33" ht="14.25" customHeight="1" x14ac:dyDescent="0.2">
      <c r="A731" s="30"/>
      <c r="D731" s="210" t="s">
        <v>430</v>
      </c>
      <c r="E731" s="209"/>
      <c r="F731" s="209"/>
      <c r="G731" s="209"/>
      <c r="H731" s="209"/>
      <c r="I731" s="209"/>
      <c r="J731" s="209"/>
      <c r="K731" s="209"/>
      <c r="L731" s="209"/>
      <c r="M731" s="209"/>
      <c r="N731" s="209" t="s">
        <v>2253</v>
      </c>
      <c r="O731" s="209"/>
      <c r="P731" s="209"/>
      <c r="Q731" s="209"/>
      <c r="R731" s="209"/>
      <c r="S731" s="209"/>
      <c r="T731" s="209"/>
      <c r="U731" s="209"/>
      <c r="V731" s="209"/>
      <c r="W731" s="209"/>
      <c r="X731" s="209" t="s">
        <v>2254</v>
      </c>
      <c r="Y731" s="209"/>
      <c r="Z731" s="209"/>
      <c r="AA731" s="209"/>
      <c r="AB731" s="209"/>
      <c r="AC731" s="209"/>
      <c r="AD731" s="209"/>
      <c r="AE731" s="209"/>
      <c r="AF731" s="209"/>
      <c r="AG731" s="220"/>
    </row>
    <row r="732" spans="1:33" ht="14.25" customHeight="1" x14ac:dyDescent="0.2">
      <c r="A732" s="30"/>
      <c r="D732" s="210" t="s">
        <v>2255</v>
      </c>
      <c r="E732" s="209"/>
      <c r="F732" s="209"/>
      <c r="G732" s="209"/>
      <c r="H732" s="209"/>
      <c r="I732" s="209"/>
      <c r="J732" s="209"/>
      <c r="K732" s="209"/>
      <c r="L732" s="209"/>
      <c r="M732" s="209"/>
      <c r="N732" s="209" t="s">
        <v>2256</v>
      </c>
      <c r="O732" s="209"/>
      <c r="P732" s="209"/>
      <c r="Q732" s="209"/>
      <c r="R732" s="209"/>
      <c r="S732" s="209"/>
      <c r="T732" s="209"/>
      <c r="U732" s="209"/>
      <c r="V732" s="209"/>
      <c r="W732" s="209"/>
      <c r="X732" s="209" t="s">
        <v>2257</v>
      </c>
      <c r="Y732" s="209"/>
      <c r="Z732" s="209"/>
      <c r="AA732" s="209"/>
      <c r="AB732" s="209"/>
      <c r="AC732" s="209"/>
      <c r="AD732" s="209"/>
      <c r="AE732" s="209"/>
      <c r="AF732" s="209"/>
      <c r="AG732" s="220"/>
    </row>
    <row r="733" spans="1:33" ht="14.25" customHeight="1" x14ac:dyDescent="0.2">
      <c r="A733" s="30"/>
      <c r="D733" s="246" t="s">
        <v>2258</v>
      </c>
      <c r="E733" s="247"/>
      <c r="F733" s="247"/>
      <c r="G733" s="247"/>
      <c r="H733" s="247"/>
      <c r="I733" s="247"/>
      <c r="J733" s="247"/>
      <c r="K733" s="247"/>
      <c r="L733" s="247"/>
      <c r="M733" s="247"/>
      <c r="N733" s="247" t="s">
        <v>2259</v>
      </c>
      <c r="O733" s="247"/>
      <c r="P733" s="247"/>
      <c r="Q733" s="247"/>
      <c r="R733" s="247"/>
      <c r="S733" s="247"/>
      <c r="T733" s="247"/>
      <c r="U733" s="247"/>
      <c r="V733" s="247"/>
      <c r="W733" s="247"/>
      <c r="X733" s="247"/>
      <c r="Y733" s="247"/>
      <c r="Z733" s="247"/>
      <c r="AA733" s="247"/>
      <c r="AB733" s="247"/>
      <c r="AC733" s="247"/>
      <c r="AD733" s="247"/>
      <c r="AE733" s="247"/>
      <c r="AF733" s="247"/>
      <c r="AG733" s="248"/>
    </row>
    <row r="734" spans="1:33" ht="14.25" customHeight="1" x14ac:dyDescent="0.2">
      <c r="A734" s="30"/>
      <c r="D734" s="77"/>
      <c r="E734" s="77"/>
      <c r="F734" s="77"/>
      <c r="G734" s="77"/>
      <c r="H734" s="77"/>
      <c r="I734" s="77"/>
      <c r="J734" s="77"/>
      <c r="K734" s="77"/>
      <c r="L734" s="77"/>
      <c r="M734" s="77"/>
      <c r="N734" s="77"/>
      <c r="O734" s="77"/>
      <c r="P734" s="77"/>
      <c r="Q734" s="77"/>
      <c r="R734" s="77"/>
      <c r="S734" s="77"/>
      <c r="T734" s="77"/>
      <c r="U734" s="77"/>
      <c r="V734" s="77"/>
      <c r="W734" s="77"/>
      <c r="X734" s="77"/>
      <c r="Y734" s="77"/>
      <c r="Z734" s="77"/>
      <c r="AA734" s="77"/>
      <c r="AB734" s="77"/>
      <c r="AC734" s="77"/>
      <c r="AD734" s="77"/>
      <c r="AE734" s="77"/>
      <c r="AF734" s="77"/>
      <c r="AG734" s="77"/>
    </row>
    <row r="735" spans="1:33" ht="14.25" customHeight="1" x14ac:dyDescent="0.2">
      <c r="D735" s="299" t="s">
        <v>341</v>
      </c>
      <c r="E735" s="299"/>
      <c r="F735" s="299"/>
      <c r="G735" s="299"/>
      <c r="H735" s="299"/>
      <c r="I735" s="299"/>
      <c r="J735" s="299"/>
      <c r="K735" s="299"/>
      <c r="L735" s="299"/>
      <c r="M735" s="299"/>
      <c r="N735" s="299"/>
      <c r="O735" s="299"/>
      <c r="P735" s="299"/>
      <c r="Q735" s="299"/>
      <c r="R735" s="299"/>
      <c r="S735" s="299"/>
      <c r="T735" s="299"/>
      <c r="U735" s="299"/>
      <c r="V735" s="299"/>
      <c r="W735" s="299"/>
      <c r="X735" s="299"/>
      <c r="Y735" s="299"/>
      <c r="Z735" s="299"/>
      <c r="AA735" s="299"/>
      <c r="AB735" s="299"/>
      <c r="AC735" s="299"/>
      <c r="AD735" s="299"/>
      <c r="AE735" s="299"/>
      <c r="AF735" s="299"/>
      <c r="AG735" s="299"/>
    </row>
    <row r="736" spans="1:33" ht="27" customHeight="1" x14ac:dyDescent="0.2">
      <c r="D736" s="422" t="s">
        <v>342</v>
      </c>
      <c r="E736" s="422"/>
      <c r="F736" s="422"/>
      <c r="G736" s="422"/>
      <c r="H736" s="422"/>
      <c r="I736" s="422"/>
      <c r="J736" s="422"/>
      <c r="K736" s="422"/>
      <c r="L736" s="422"/>
      <c r="M736" s="424" t="s">
        <v>343</v>
      </c>
      <c r="N736" s="424"/>
      <c r="O736" s="424"/>
      <c r="P736" s="424"/>
      <c r="Q736" s="424"/>
      <c r="R736" s="424" t="s">
        <v>344</v>
      </c>
      <c r="S736" s="424"/>
      <c r="T736" s="424"/>
      <c r="U736" s="424"/>
      <c r="V736" s="424"/>
      <c r="W736" s="424"/>
      <c r="X736" s="424"/>
      <c r="Y736" s="424"/>
      <c r="Z736" s="424"/>
      <c r="AA736" s="424"/>
      <c r="AB736" s="424"/>
      <c r="AC736" s="424"/>
      <c r="AD736" s="424"/>
      <c r="AE736" s="424"/>
      <c r="AF736" s="424"/>
      <c r="AG736" s="424"/>
    </row>
    <row r="737" spans="1:34" ht="36" customHeight="1" x14ac:dyDescent="0.2">
      <c r="D737" s="422"/>
      <c r="E737" s="422"/>
      <c r="F737" s="422"/>
      <c r="G737" s="422"/>
      <c r="H737" s="422"/>
      <c r="I737" s="422"/>
      <c r="J737" s="422"/>
      <c r="K737" s="422"/>
      <c r="L737" s="422"/>
      <c r="M737" s="424"/>
      <c r="N737" s="424"/>
      <c r="O737" s="424"/>
      <c r="P737" s="424"/>
      <c r="Q737" s="424"/>
      <c r="R737" s="424" t="s">
        <v>16</v>
      </c>
      <c r="S737" s="424"/>
      <c r="T737" s="424"/>
      <c r="U737" s="424"/>
      <c r="V737" s="424"/>
      <c r="W737" s="424"/>
      <c r="X737" s="424"/>
      <c r="Y737" s="424"/>
      <c r="Z737" s="424" t="s">
        <v>345</v>
      </c>
      <c r="AA737" s="424"/>
      <c r="AB737" s="424"/>
      <c r="AC737" s="424"/>
      <c r="AD737" s="424"/>
      <c r="AE737" s="424"/>
      <c r="AF737" s="424"/>
      <c r="AG737" s="424"/>
    </row>
    <row r="738" spans="1:34" s="88" customFormat="1" ht="14.25" customHeight="1" x14ac:dyDescent="0.2">
      <c r="A738" s="87"/>
      <c r="D738" s="422" t="s">
        <v>129</v>
      </c>
      <c r="E738" s="422"/>
      <c r="F738" s="422"/>
      <c r="G738" s="422"/>
      <c r="H738" s="422"/>
      <c r="I738" s="422"/>
      <c r="J738" s="422"/>
      <c r="K738" s="422"/>
      <c r="L738" s="422"/>
      <c r="M738" s="422"/>
      <c r="N738" s="422"/>
      <c r="O738" s="422"/>
      <c r="P738" s="422"/>
      <c r="Q738" s="422"/>
      <c r="R738" s="515">
        <f>SUM(R739:Y744)</f>
        <v>122077.17</v>
      </c>
      <c r="S738" s="515"/>
      <c r="T738" s="515"/>
      <c r="U738" s="515"/>
      <c r="V738" s="515"/>
      <c r="W738" s="515"/>
      <c r="X738" s="515"/>
      <c r="Y738" s="515"/>
      <c r="Z738" s="515">
        <f>SUM(Z739:AG744)</f>
        <v>119119</v>
      </c>
      <c r="AA738" s="515"/>
      <c r="AB738" s="515"/>
      <c r="AC738" s="515"/>
      <c r="AD738" s="515"/>
      <c r="AE738" s="515"/>
      <c r="AF738" s="515"/>
      <c r="AG738" s="515"/>
      <c r="AH738" s="89"/>
    </row>
    <row r="739" spans="1:34" ht="18.600000000000001" customHeight="1" x14ac:dyDescent="0.2">
      <c r="D739" s="232" t="s">
        <v>245</v>
      </c>
      <c r="E739" s="232"/>
      <c r="F739" s="232"/>
      <c r="G739" s="232"/>
      <c r="H739" s="232"/>
      <c r="I739" s="232"/>
      <c r="J739" s="232"/>
      <c r="K739" s="232"/>
      <c r="L739" s="232"/>
      <c r="M739" s="232" t="s">
        <v>346</v>
      </c>
      <c r="N739" s="232"/>
      <c r="O739" s="232"/>
      <c r="P739" s="232"/>
      <c r="Q739" s="232"/>
      <c r="R739" s="221">
        <f>[3]Sheet1!$AI$17</f>
        <v>292</v>
      </c>
      <c r="S739" s="221"/>
      <c r="T739" s="221"/>
      <c r="U739" s="221"/>
      <c r="V739" s="221"/>
      <c r="W739" s="221"/>
      <c r="X739" s="221"/>
      <c r="Y739" s="221"/>
      <c r="Z739" s="221">
        <v>211</v>
      </c>
      <c r="AA739" s="221"/>
      <c r="AB739" s="221"/>
      <c r="AC739" s="221"/>
      <c r="AD739" s="221"/>
      <c r="AE739" s="221"/>
      <c r="AF739" s="221"/>
      <c r="AG739" s="221"/>
    </row>
    <row r="740" spans="1:34" ht="18.75" customHeight="1" x14ac:dyDescent="0.2">
      <c r="D740" s="232" t="s">
        <v>347</v>
      </c>
      <c r="E740" s="232"/>
      <c r="F740" s="232"/>
      <c r="G740" s="232"/>
      <c r="H740" s="232"/>
      <c r="I740" s="232"/>
      <c r="J740" s="232"/>
      <c r="K740" s="232"/>
      <c r="L740" s="232"/>
      <c r="M740" s="232" t="s">
        <v>346</v>
      </c>
      <c r="N740" s="232"/>
      <c r="O740" s="232"/>
      <c r="P740" s="232"/>
      <c r="Q740" s="232"/>
      <c r="R740" s="221"/>
      <c r="S740" s="221"/>
      <c r="T740" s="221"/>
      <c r="U740" s="221"/>
      <c r="V740" s="221"/>
      <c r="W740" s="221"/>
      <c r="X740" s="221"/>
      <c r="Y740" s="221"/>
      <c r="Z740" s="221">
        <v>0</v>
      </c>
      <c r="AA740" s="221"/>
      <c r="AB740" s="221"/>
      <c r="AC740" s="221"/>
      <c r="AD740" s="221"/>
      <c r="AE740" s="221"/>
      <c r="AF740" s="221"/>
      <c r="AG740" s="221"/>
    </row>
    <row r="741" spans="1:34" ht="18.75" customHeight="1" x14ac:dyDescent="0.2">
      <c r="D741" s="232" t="s">
        <v>454</v>
      </c>
      <c r="E741" s="232"/>
      <c r="F741" s="232"/>
      <c r="G741" s="232"/>
      <c r="H741" s="232"/>
      <c r="I741" s="232"/>
      <c r="J741" s="232"/>
      <c r="K741" s="232"/>
      <c r="L741" s="232"/>
      <c r="M741" s="232" t="s">
        <v>346</v>
      </c>
      <c r="N741" s="232"/>
      <c r="O741" s="232"/>
      <c r="P741" s="232"/>
      <c r="Q741" s="232"/>
      <c r="R741" s="221">
        <f>[3]Sheet1!$AI$21</f>
        <v>121348.95</v>
      </c>
      <c r="S741" s="221"/>
      <c r="T741" s="221"/>
      <c r="U741" s="221"/>
      <c r="V741" s="221"/>
      <c r="W741" s="221"/>
      <c r="X741" s="221"/>
      <c r="Y741" s="221"/>
      <c r="Z741" s="221">
        <v>115518</v>
      </c>
      <c r="AA741" s="221"/>
      <c r="AB741" s="221"/>
      <c r="AC741" s="221"/>
      <c r="AD741" s="221"/>
      <c r="AE741" s="221"/>
      <c r="AF741" s="221"/>
      <c r="AG741" s="221"/>
    </row>
    <row r="742" spans="1:34" s="69" customFormat="1" ht="18.75" customHeight="1" x14ac:dyDescent="0.2">
      <c r="A742" s="67"/>
      <c r="D742" s="232" t="s">
        <v>453</v>
      </c>
      <c r="E742" s="232"/>
      <c r="F742" s="232"/>
      <c r="G742" s="232"/>
      <c r="H742" s="232"/>
      <c r="I742" s="232"/>
      <c r="J742" s="232"/>
      <c r="K742" s="232"/>
      <c r="L742" s="232"/>
      <c r="M742" s="232" t="s">
        <v>346</v>
      </c>
      <c r="N742" s="232"/>
      <c r="O742" s="232"/>
      <c r="P742" s="232"/>
      <c r="Q742" s="232"/>
      <c r="R742" s="221">
        <f>[3]Sheet1!$AI$29</f>
        <v>170.22</v>
      </c>
      <c r="S742" s="221"/>
      <c r="T742" s="221"/>
      <c r="U742" s="221"/>
      <c r="V742" s="221"/>
      <c r="W742" s="221"/>
      <c r="X742" s="221"/>
      <c r="Y742" s="221"/>
      <c r="Z742" s="221">
        <v>2839</v>
      </c>
      <c r="AA742" s="221"/>
      <c r="AB742" s="221"/>
      <c r="AC742" s="221"/>
      <c r="AD742" s="221"/>
      <c r="AE742" s="221"/>
      <c r="AF742" s="221"/>
      <c r="AG742" s="221"/>
      <c r="AH742" s="77"/>
    </row>
    <row r="743" spans="1:34" s="69" customFormat="1" ht="18.75" customHeight="1" x14ac:dyDescent="0.2">
      <c r="A743" s="67"/>
      <c r="D743" s="222" t="s">
        <v>351</v>
      </c>
      <c r="E743" s="223"/>
      <c r="F743" s="223"/>
      <c r="G743" s="223"/>
      <c r="H743" s="223"/>
      <c r="I743" s="223"/>
      <c r="J743" s="223"/>
      <c r="K743" s="223"/>
      <c r="L743" s="224"/>
      <c r="M743" s="222" t="s">
        <v>346</v>
      </c>
      <c r="N743" s="223"/>
      <c r="O743" s="223"/>
      <c r="P743" s="223"/>
      <c r="Q743" s="224"/>
      <c r="R743" s="230"/>
      <c r="S743" s="212"/>
      <c r="T743" s="212"/>
      <c r="U743" s="212"/>
      <c r="V743" s="212"/>
      <c r="W743" s="212"/>
      <c r="X743" s="212"/>
      <c r="Y743" s="231"/>
      <c r="Z743" s="230"/>
      <c r="AA743" s="212"/>
      <c r="AB743" s="212"/>
      <c r="AC743" s="212"/>
      <c r="AD743" s="212"/>
      <c r="AE743" s="212"/>
      <c r="AF743" s="212"/>
      <c r="AG743" s="231"/>
      <c r="AH743" s="77"/>
    </row>
    <row r="744" spans="1:34" s="69" customFormat="1" ht="18.75" customHeight="1" x14ac:dyDescent="0.2">
      <c r="A744" s="67"/>
      <c r="D744" s="222" t="s">
        <v>655</v>
      </c>
      <c r="E744" s="223"/>
      <c r="F744" s="223"/>
      <c r="G744" s="223"/>
      <c r="H744" s="223"/>
      <c r="I744" s="223"/>
      <c r="J744" s="223"/>
      <c r="K744" s="223"/>
      <c r="L744" s="224"/>
      <c r="M744" s="222" t="s">
        <v>346</v>
      </c>
      <c r="N744" s="223"/>
      <c r="O744" s="223"/>
      <c r="P744" s="223"/>
      <c r="Q744" s="224"/>
      <c r="R744" s="230">
        <f>[3]Sheet1!$AI$25</f>
        <v>266</v>
      </c>
      <c r="S744" s="212"/>
      <c r="T744" s="212"/>
      <c r="U744" s="212"/>
      <c r="V744" s="212"/>
      <c r="W744" s="212"/>
      <c r="X744" s="212"/>
      <c r="Y744" s="231"/>
      <c r="Z744" s="230">
        <v>551</v>
      </c>
      <c r="AA744" s="212"/>
      <c r="AB744" s="212"/>
      <c r="AC744" s="212"/>
      <c r="AD744" s="212"/>
      <c r="AE744" s="212"/>
      <c r="AF744" s="212"/>
      <c r="AG744" s="231"/>
      <c r="AH744" s="77"/>
    </row>
    <row r="745" spans="1:34" s="88" customFormat="1" ht="18.75" customHeight="1" x14ac:dyDescent="0.2">
      <c r="A745" s="87"/>
      <c r="D745" s="240" t="s">
        <v>348</v>
      </c>
      <c r="E745" s="241"/>
      <c r="F745" s="241"/>
      <c r="G745" s="241"/>
      <c r="H745" s="241"/>
      <c r="I745" s="241"/>
      <c r="J745" s="241"/>
      <c r="K745" s="241"/>
      <c r="L745" s="242"/>
      <c r="M745" s="240"/>
      <c r="N745" s="241"/>
      <c r="O745" s="241"/>
      <c r="P745" s="241"/>
      <c r="Q745" s="242"/>
      <c r="R745" s="237">
        <f>SUM(R746:Y751)</f>
        <v>120730.91</v>
      </c>
      <c r="S745" s="238"/>
      <c r="T745" s="238"/>
      <c r="U745" s="238"/>
      <c r="V745" s="238"/>
      <c r="W745" s="238"/>
      <c r="X745" s="238"/>
      <c r="Y745" s="239"/>
      <c r="Z745" s="237">
        <f>SUM(Z746:AG751)</f>
        <v>135251</v>
      </c>
      <c r="AA745" s="238"/>
      <c r="AB745" s="238"/>
      <c r="AC745" s="238"/>
      <c r="AD745" s="238"/>
      <c r="AE745" s="238"/>
      <c r="AF745" s="238"/>
      <c r="AG745" s="239"/>
      <c r="AH745" s="89"/>
    </row>
    <row r="746" spans="1:34" s="69" customFormat="1" ht="18.75" customHeight="1" x14ac:dyDescent="0.2">
      <c r="A746" s="67"/>
      <c r="D746" s="222" t="s">
        <v>245</v>
      </c>
      <c r="E746" s="223"/>
      <c r="F746" s="223"/>
      <c r="G746" s="223"/>
      <c r="H746" s="223"/>
      <c r="I746" s="223"/>
      <c r="J746" s="223"/>
      <c r="K746" s="223"/>
      <c r="L746" s="224"/>
      <c r="M746" s="222" t="s">
        <v>349</v>
      </c>
      <c r="N746" s="223"/>
      <c r="O746" s="223"/>
      <c r="P746" s="223"/>
      <c r="Q746" s="224"/>
      <c r="R746" s="230">
        <f>-[10]Sheet1!$AK$13</f>
        <v>1835.15</v>
      </c>
      <c r="S746" s="212"/>
      <c r="T746" s="212"/>
      <c r="U746" s="212"/>
      <c r="V746" s="212"/>
      <c r="W746" s="212"/>
      <c r="X746" s="212"/>
      <c r="Y746" s="231"/>
      <c r="Z746" s="230">
        <v>3212</v>
      </c>
      <c r="AA746" s="212"/>
      <c r="AB746" s="212"/>
      <c r="AC746" s="212"/>
      <c r="AD746" s="212"/>
      <c r="AE746" s="212"/>
      <c r="AF746" s="212"/>
      <c r="AG746" s="231"/>
      <c r="AH746" s="77"/>
    </row>
    <row r="747" spans="1:34" ht="18.75" customHeight="1" x14ac:dyDescent="0.2">
      <c r="D747" s="222" t="s">
        <v>347</v>
      </c>
      <c r="E747" s="223"/>
      <c r="F747" s="223"/>
      <c r="G747" s="223"/>
      <c r="H747" s="223"/>
      <c r="I747" s="223"/>
      <c r="J747" s="223"/>
      <c r="K747" s="223"/>
      <c r="L747" s="224"/>
      <c r="M747" s="222" t="s">
        <v>349</v>
      </c>
      <c r="N747" s="223"/>
      <c r="O747" s="223"/>
      <c r="P747" s="223"/>
      <c r="Q747" s="224"/>
      <c r="R747" s="230">
        <f>-[10]Sheet1!$AK$21</f>
        <v>50444.15</v>
      </c>
      <c r="S747" s="212"/>
      <c r="T747" s="212"/>
      <c r="U747" s="212"/>
      <c r="V747" s="212"/>
      <c r="W747" s="212"/>
      <c r="X747" s="212"/>
      <c r="Y747" s="231"/>
      <c r="Z747" s="230">
        <v>30928</v>
      </c>
      <c r="AA747" s="212"/>
      <c r="AB747" s="212"/>
      <c r="AC747" s="212"/>
      <c r="AD747" s="212"/>
      <c r="AE747" s="212"/>
      <c r="AF747" s="212"/>
      <c r="AG747" s="231"/>
    </row>
    <row r="748" spans="1:34" ht="18.75" customHeight="1" x14ac:dyDescent="0.2">
      <c r="D748" s="222" t="s">
        <v>453</v>
      </c>
      <c r="E748" s="223"/>
      <c r="F748" s="223"/>
      <c r="G748" s="223"/>
      <c r="H748" s="223"/>
      <c r="I748" s="223"/>
      <c r="J748" s="223"/>
      <c r="K748" s="223"/>
      <c r="L748" s="224"/>
      <c r="M748" s="222" t="s">
        <v>349</v>
      </c>
      <c r="N748" s="223"/>
      <c r="O748" s="223"/>
      <c r="P748" s="223"/>
      <c r="Q748" s="224"/>
      <c r="R748" s="230"/>
      <c r="S748" s="212"/>
      <c r="T748" s="212"/>
      <c r="U748" s="212"/>
      <c r="V748" s="212"/>
      <c r="W748" s="212"/>
      <c r="X748" s="212"/>
      <c r="Y748" s="231"/>
      <c r="Z748" s="230">
        <v>550</v>
      </c>
      <c r="AA748" s="212"/>
      <c r="AB748" s="212"/>
      <c r="AC748" s="212"/>
      <c r="AD748" s="212"/>
      <c r="AE748" s="212"/>
      <c r="AF748" s="212"/>
      <c r="AG748" s="231"/>
    </row>
    <row r="749" spans="1:34" ht="18.75" customHeight="1" x14ac:dyDescent="0.2">
      <c r="D749" s="222" t="s">
        <v>454</v>
      </c>
      <c r="E749" s="223"/>
      <c r="F749" s="223"/>
      <c r="G749" s="223"/>
      <c r="H749" s="223"/>
      <c r="I749" s="223"/>
      <c r="J749" s="223"/>
      <c r="K749" s="223"/>
      <c r="L749" s="224"/>
      <c r="M749" s="222" t="s">
        <v>349</v>
      </c>
      <c r="N749" s="223"/>
      <c r="O749" s="223"/>
      <c r="P749" s="223"/>
      <c r="Q749" s="224"/>
      <c r="R749" s="230">
        <f>-[10]Sheet1!$AK$25</f>
        <v>9227.07</v>
      </c>
      <c r="S749" s="212"/>
      <c r="T749" s="212"/>
      <c r="U749" s="212"/>
      <c r="V749" s="212"/>
      <c r="W749" s="212"/>
      <c r="X749" s="212"/>
      <c r="Y749" s="231"/>
      <c r="Z749" s="230">
        <v>1200</v>
      </c>
      <c r="AA749" s="212"/>
      <c r="AB749" s="212"/>
      <c r="AC749" s="212"/>
      <c r="AD749" s="212"/>
      <c r="AE749" s="212"/>
      <c r="AF749" s="212"/>
      <c r="AG749" s="231"/>
    </row>
    <row r="750" spans="1:34" s="69" customFormat="1" ht="18.75" customHeight="1" x14ac:dyDescent="0.2">
      <c r="A750" s="67"/>
      <c r="D750" s="222" t="s">
        <v>656</v>
      </c>
      <c r="E750" s="223"/>
      <c r="F750" s="223"/>
      <c r="G750" s="223"/>
      <c r="H750" s="223"/>
      <c r="I750" s="223"/>
      <c r="J750" s="223"/>
      <c r="K750" s="223"/>
      <c r="L750" s="224"/>
      <c r="M750" s="222" t="s">
        <v>349</v>
      </c>
      <c r="N750" s="223"/>
      <c r="O750" s="223"/>
      <c r="P750" s="223"/>
      <c r="Q750" s="224"/>
      <c r="R750" s="230"/>
      <c r="S750" s="212"/>
      <c r="T750" s="212"/>
      <c r="U750" s="212"/>
      <c r="V750" s="212"/>
      <c r="W750" s="212"/>
      <c r="X750" s="212"/>
      <c r="Y750" s="231"/>
      <c r="Z750" s="230"/>
      <c r="AA750" s="212"/>
      <c r="AB750" s="212"/>
      <c r="AC750" s="212"/>
      <c r="AD750" s="212"/>
      <c r="AE750" s="212"/>
      <c r="AF750" s="212"/>
      <c r="AG750" s="231"/>
      <c r="AH750" s="77"/>
    </row>
    <row r="751" spans="1:34" ht="18.75" customHeight="1" x14ac:dyDescent="0.2">
      <c r="D751" s="222" t="s">
        <v>350</v>
      </c>
      <c r="E751" s="223"/>
      <c r="F751" s="223"/>
      <c r="G751" s="223"/>
      <c r="H751" s="223"/>
      <c r="I751" s="223"/>
      <c r="J751" s="223"/>
      <c r="K751" s="223"/>
      <c r="L751" s="224"/>
      <c r="M751" s="222" t="s">
        <v>349</v>
      </c>
      <c r="N751" s="223"/>
      <c r="O751" s="223"/>
      <c r="P751" s="223"/>
      <c r="Q751" s="224"/>
      <c r="R751" s="230">
        <f>-[10]Sheet1!$AK$17</f>
        <v>59224.54</v>
      </c>
      <c r="S751" s="212"/>
      <c r="T751" s="212"/>
      <c r="U751" s="212"/>
      <c r="V751" s="212"/>
      <c r="W751" s="212"/>
      <c r="X751" s="212"/>
      <c r="Y751" s="231"/>
      <c r="Z751" s="230">
        <v>99361</v>
      </c>
      <c r="AA751" s="212"/>
      <c r="AB751" s="212"/>
      <c r="AC751" s="212"/>
      <c r="AD751" s="212"/>
      <c r="AE751" s="212"/>
      <c r="AF751" s="212"/>
      <c r="AG751" s="231"/>
    </row>
    <row r="752" spans="1:34" ht="18.75" customHeight="1" x14ac:dyDescent="0.2">
      <c r="D752" s="51"/>
      <c r="E752" s="51"/>
      <c r="F752" s="51"/>
      <c r="G752" s="51"/>
      <c r="H752" s="51"/>
      <c r="I752" s="51"/>
      <c r="J752" s="51"/>
      <c r="K752" s="51"/>
      <c r="L752" s="51"/>
      <c r="M752" s="51"/>
      <c r="N752" s="51"/>
      <c r="O752" s="51"/>
      <c r="P752" s="51"/>
      <c r="Q752" s="51"/>
      <c r="R752" s="71"/>
      <c r="S752" s="71"/>
      <c r="T752" s="71"/>
      <c r="U752" s="71"/>
      <c r="V752" s="71"/>
      <c r="W752" s="71"/>
      <c r="X752" s="71"/>
      <c r="Y752" s="71"/>
      <c r="Z752" s="71"/>
      <c r="AA752" s="71"/>
      <c r="AB752" s="71"/>
      <c r="AC752" s="71"/>
      <c r="AD752" s="71"/>
      <c r="AE752" s="71"/>
      <c r="AF752" s="71"/>
      <c r="AG752" s="71"/>
    </row>
    <row r="753" spans="4:33" ht="18.75" customHeight="1" x14ac:dyDescent="0.2">
      <c r="D753" s="51"/>
      <c r="E753" s="51"/>
      <c r="F753" s="51"/>
      <c r="G753" s="51"/>
      <c r="H753" s="51"/>
      <c r="I753" s="51"/>
      <c r="J753" s="51"/>
      <c r="K753" s="51"/>
      <c r="L753" s="51"/>
      <c r="M753" s="51"/>
      <c r="N753" s="51"/>
      <c r="O753" s="51"/>
      <c r="P753" s="51"/>
      <c r="Q753" s="51"/>
      <c r="R753" s="71"/>
      <c r="S753" s="71"/>
      <c r="T753" s="71"/>
      <c r="U753" s="71"/>
      <c r="V753" s="71"/>
      <c r="W753" s="71"/>
      <c r="X753" s="71"/>
      <c r="Y753" s="71"/>
      <c r="Z753" s="71"/>
      <c r="AA753" s="71"/>
      <c r="AB753" s="71"/>
      <c r="AC753" s="71"/>
      <c r="AD753" s="71"/>
      <c r="AE753" s="71"/>
      <c r="AF753" s="71"/>
      <c r="AG753" s="71"/>
    </row>
    <row r="754" spans="4:33" ht="18.75" customHeight="1" x14ac:dyDescent="0.2">
      <c r="D754" s="523" t="s">
        <v>342</v>
      </c>
      <c r="E754" s="524"/>
      <c r="F754" s="524"/>
      <c r="G754" s="524"/>
      <c r="H754" s="524"/>
      <c r="I754" s="524"/>
      <c r="J754" s="524"/>
      <c r="K754" s="524"/>
      <c r="L754" s="525"/>
      <c r="M754" s="529" t="s">
        <v>343</v>
      </c>
      <c r="N754" s="530"/>
      <c r="O754" s="530"/>
      <c r="P754" s="530"/>
      <c r="Q754" s="531"/>
      <c r="R754" s="535" t="s">
        <v>344</v>
      </c>
      <c r="S754" s="536"/>
      <c r="T754" s="536"/>
      <c r="U754" s="536"/>
      <c r="V754" s="536"/>
      <c r="W754" s="536"/>
      <c r="X754" s="536"/>
      <c r="Y754" s="536"/>
      <c r="Z754" s="536"/>
      <c r="AA754" s="536"/>
      <c r="AB754" s="536"/>
      <c r="AC754" s="536"/>
      <c r="AD754" s="536"/>
      <c r="AE754" s="536"/>
      <c r="AF754" s="536"/>
      <c r="AG754" s="537"/>
    </row>
    <row r="755" spans="4:33" ht="30.75" customHeight="1" x14ac:dyDescent="0.2">
      <c r="D755" s="526"/>
      <c r="E755" s="527"/>
      <c r="F755" s="527"/>
      <c r="G755" s="527"/>
      <c r="H755" s="527"/>
      <c r="I755" s="527"/>
      <c r="J755" s="527"/>
      <c r="K755" s="527"/>
      <c r="L755" s="528"/>
      <c r="M755" s="532"/>
      <c r="N755" s="533"/>
      <c r="O755" s="533"/>
      <c r="P755" s="533"/>
      <c r="Q755" s="534"/>
      <c r="R755" s="535" t="s">
        <v>16</v>
      </c>
      <c r="S755" s="536"/>
      <c r="T755" s="536"/>
      <c r="U755" s="536"/>
      <c r="V755" s="536"/>
      <c r="W755" s="536"/>
      <c r="X755" s="536"/>
      <c r="Y755" s="537"/>
      <c r="Z755" s="535" t="s">
        <v>345</v>
      </c>
      <c r="AA755" s="536"/>
      <c r="AB755" s="536"/>
      <c r="AC755" s="536"/>
      <c r="AD755" s="536"/>
      <c r="AE755" s="536"/>
      <c r="AF755" s="536"/>
      <c r="AG755" s="537"/>
    </row>
    <row r="756" spans="4:33" ht="18.75" customHeight="1" x14ac:dyDescent="0.2">
      <c r="D756" s="240" t="s">
        <v>290</v>
      </c>
      <c r="E756" s="241"/>
      <c r="F756" s="241"/>
      <c r="G756" s="241"/>
      <c r="H756" s="241"/>
      <c r="I756" s="241"/>
      <c r="J756" s="241"/>
      <c r="K756" s="241"/>
      <c r="L756" s="242"/>
      <c r="M756" s="240"/>
      <c r="N756" s="241"/>
      <c r="O756" s="241"/>
      <c r="P756" s="241"/>
      <c r="Q756" s="242"/>
      <c r="R756" s="237">
        <f>SUM(R757:Y765)</f>
        <v>1591138.4403306348</v>
      </c>
      <c r="S756" s="238"/>
      <c r="T756" s="238"/>
      <c r="U756" s="238"/>
      <c r="V756" s="238"/>
      <c r="W756" s="238"/>
      <c r="X756" s="238"/>
      <c r="Y756" s="239"/>
      <c r="Z756" s="237">
        <f>SUM(Z757:AG765)</f>
        <v>2006048</v>
      </c>
      <c r="AA756" s="238"/>
      <c r="AB756" s="238"/>
      <c r="AC756" s="238"/>
      <c r="AD756" s="238"/>
      <c r="AE756" s="238"/>
      <c r="AF756" s="238"/>
      <c r="AG756" s="239"/>
    </row>
    <row r="757" spans="4:33" ht="18.75" customHeight="1" x14ac:dyDescent="0.2">
      <c r="D757" s="222" t="s">
        <v>245</v>
      </c>
      <c r="E757" s="223"/>
      <c r="F757" s="223"/>
      <c r="G757" s="223"/>
      <c r="H757" s="223"/>
      <c r="I757" s="223"/>
      <c r="J757" s="223"/>
      <c r="K757" s="223"/>
      <c r="L757" s="224"/>
      <c r="M757" s="222" t="s">
        <v>349</v>
      </c>
      <c r="N757" s="223"/>
      <c r="O757" s="223"/>
      <c r="P757" s="223"/>
      <c r="Q757" s="224"/>
      <c r="R757" s="516">
        <f>VLOOKUP(D757,[11]APBA!$B$4:$J$27,9,FALSE)</f>
        <v>350701.69</v>
      </c>
      <c r="S757" s="517"/>
      <c r="T757" s="517"/>
      <c r="U757" s="517"/>
      <c r="V757" s="517"/>
      <c r="W757" s="517"/>
      <c r="X757" s="517"/>
      <c r="Y757" s="518"/>
      <c r="Z757" s="230">
        <v>481035</v>
      </c>
      <c r="AA757" s="212"/>
      <c r="AB757" s="212"/>
      <c r="AC757" s="212"/>
      <c r="AD757" s="212"/>
      <c r="AE757" s="212"/>
      <c r="AF757" s="212"/>
      <c r="AG757" s="231"/>
    </row>
    <row r="758" spans="4:33" ht="18.75" customHeight="1" x14ac:dyDescent="0.2">
      <c r="D758" s="243" t="s">
        <v>2208</v>
      </c>
      <c r="E758" s="244"/>
      <c r="F758" s="244"/>
      <c r="G758" s="244"/>
      <c r="H758" s="244"/>
      <c r="I758" s="244"/>
      <c r="J758" s="244"/>
      <c r="K758" s="244"/>
      <c r="L758" s="245"/>
      <c r="M758" s="222" t="s">
        <v>349</v>
      </c>
      <c r="N758" s="223"/>
      <c r="O758" s="223"/>
      <c r="P758" s="223"/>
      <c r="Q758" s="224"/>
      <c r="R758" s="516">
        <f>VLOOKUP(D758,[11]APBA!$B$4:$J$27,9,FALSE)</f>
        <v>730040.00000000012</v>
      </c>
      <c r="S758" s="517"/>
      <c r="T758" s="517"/>
      <c r="U758" s="517"/>
      <c r="V758" s="517"/>
      <c r="W758" s="517"/>
      <c r="X758" s="517"/>
      <c r="Y758" s="518"/>
      <c r="Z758" s="230">
        <v>654458</v>
      </c>
      <c r="AA758" s="212"/>
      <c r="AB758" s="212"/>
      <c r="AC758" s="212"/>
      <c r="AD758" s="212"/>
      <c r="AE758" s="212"/>
      <c r="AF758" s="212"/>
      <c r="AG758" s="231"/>
    </row>
    <row r="759" spans="4:33" ht="18.75" customHeight="1" x14ac:dyDescent="0.2">
      <c r="D759" s="243" t="s">
        <v>2209</v>
      </c>
      <c r="E759" s="244"/>
      <c r="F759" s="244"/>
      <c r="G759" s="244"/>
      <c r="H759" s="244"/>
      <c r="I759" s="244"/>
      <c r="J759" s="244"/>
      <c r="K759" s="244"/>
      <c r="L759" s="245"/>
      <c r="M759" s="222" t="s">
        <v>349</v>
      </c>
      <c r="N759" s="223"/>
      <c r="O759" s="223"/>
      <c r="P759" s="223"/>
      <c r="Q759" s="224"/>
      <c r="R759" s="516">
        <f>VLOOKUP(D759,[11]APBA!$B$4:$J$27,9,FALSE)</f>
        <v>111720.37</v>
      </c>
      <c r="S759" s="517"/>
      <c r="T759" s="517"/>
      <c r="U759" s="517"/>
      <c r="V759" s="517"/>
      <c r="W759" s="517"/>
      <c r="X759" s="517"/>
      <c r="Y759" s="518"/>
      <c r="Z759" s="230">
        <v>100447</v>
      </c>
      <c r="AA759" s="212"/>
      <c r="AB759" s="212"/>
      <c r="AC759" s="212"/>
      <c r="AD759" s="212"/>
      <c r="AE759" s="212"/>
      <c r="AF759" s="212"/>
      <c r="AG759" s="231"/>
    </row>
    <row r="760" spans="4:33" ht="18.75" customHeight="1" x14ac:dyDescent="0.2">
      <c r="D760" s="222" t="s">
        <v>657</v>
      </c>
      <c r="E760" s="223"/>
      <c r="F760" s="223"/>
      <c r="G760" s="223"/>
      <c r="H760" s="223"/>
      <c r="I760" s="223"/>
      <c r="J760" s="223"/>
      <c r="K760" s="223"/>
      <c r="L760" s="224"/>
      <c r="M760" s="222" t="s">
        <v>349</v>
      </c>
      <c r="N760" s="223"/>
      <c r="O760" s="223"/>
      <c r="P760" s="223"/>
      <c r="Q760" s="224"/>
      <c r="R760" s="516"/>
      <c r="S760" s="517"/>
      <c r="T760" s="517"/>
      <c r="U760" s="517"/>
      <c r="V760" s="517"/>
      <c r="W760" s="517"/>
      <c r="X760" s="517"/>
      <c r="Y760" s="518"/>
      <c r="Z760" s="230">
        <v>7223</v>
      </c>
      <c r="AA760" s="212"/>
      <c r="AB760" s="212"/>
      <c r="AC760" s="212"/>
      <c r="AD760" s="212"/>
      <c r="AE760" s="212"/>
      <c r="AF760" s="212"/>
      <c r="AG760" s="231"/>
    </row>
    <row r="761" spans="4:33" ht="18.75" customHeight="1" x14ac:dyDescent="0.2">
      <c r="D761" s="243" t="s">
        <v>2211</v>
      </c>
      <c r="E761" s="244"/>
      <c r="F761" s="244"/>
      <c r="G761" s="244"/>
      <c r="H761" s="244"/>
      <c r="I761" s="244"/>
      <c r="J761" s="244"/>
      <c r="K761" s="244"/>
      <c r="L761" s="245"/>
      <c r="M761" s="222" t="s">
        <v>349</v>
      </c>
      <c r="N761" s="223"/>
      <c r="O761" s="223"/>
      <c r="P761" s="223"/>
      <c r="Q761" s="224"/>
      <c r="R761" s="516">
        <f>VLOOKUP(D761,[11]APBA!$B$4:$J$27,9,FALSE)</f>
        <v>376948.90164582367</v>
      </c>
      <c r="S761" s="517"/>
      <c r="T761" s="517"/>
      <c r="U761" s="517"/>
      <c r="V761" s="517"/>
      <c r="W761" s="517"/>
      <c r="X761" s="517"/>
      <c r="Y761" s="518"/>
      <c r="Z761" s="230">
        <v>374185</v>
      </c>
      <c r="AA761" s="212"/>
      <c r="AB761" s="212"/>
      <c r="AC761" s="212"/>
      <c r="AD761" s="212"/>
      <c r="AE761" s="212"/>
      <c r="AF761" s="212"/>
      <c r="AG761" s="231"/>
    </row>
    <row r="762" spans="4:33" ht="18.75" customHeight="1" x14ac:dyDescent="0.2">
      <c r="D762" s="222" t="s">
        <v>2214</v>
      </c>
      <c r="E762" s="223"/>
      <c r="F762" s="223"/>
      <c r="G762" s="223"/>
      <c r="H762" s="223"/>
      <c r="I762" s="223"/>
      <c r="J762" s="223"/>
      <c r="K762" s="223"/>
      <c r="L762" s="224"/>
      <c r="M762" s="222" t="s">
        <v>349</v>
      </c>
      <c r="N762" s="223"/>
      <c r="O762" s="223"/>
      <c r="P762" s="223"/>
      <c r="Q762" s="224"/>
      <c r="R762" s="516">
        <f>VLOOKUP(D762,[11]APBA!$B$4:$J$27,9,FALSE)</f>
        <v>0</v>
      </c>
      <c r="S762" s="517"/>
      <c r="T762" s="517"/>
      <c r="U762" s="517"/>
      <c r="V762" s="517"/>
      <c r="W762" s="517"/>
      <c r="X762" s="517"/>
      <c r="Y762" s="518"/>
      <c r="Z762" s="230"/>
      <c r="AA762" s="212"/>
      <c r="AB762" s="212"/>
      <c r="AC762" s="212"/>
      <c r="AD762" s="212"/>
      <c r="AE762" s="212"/>
      <c r="AF762" s="212"/>
      <c r="AG762" s="231"/>
    </row>
    <row r="763" spans="4:33" ht="18.75" customHeight="1" x14ac:dyDescent="0.2">
      <c r="D763" s="243" t="s">
        <v>2212</v>
      </c>
      <c r="E763" s="244"/>
      <c r="F763" s="244"/>
      <c r="G763" s="244"/>
      <c r="H763" s="244"/>
      <c r="I763" s="244"/>
      <c r="J763" s="244"/>
      <c r="K763" s="244"/>
      <c r="L763" s="245"/>
      <c r="M763" s="222" t="s">
        <v>349</v>
      </c>
      <c r="N763" s="223"/>
      <c r="O763" s="223"/>
      <c r="P763" s="223"/>
      <c r="Q763" s="224"/>
      <c r="R763" s="516">
        <f>VLOOKUP(D763,[11]APBA!$B$4:$J$27,9,FALSE)</f>
        <v>21281.942494645067</v>
      </c>
      <c r="S763" s="517"/>
      <c r="T763" s="517"/>
      <c r="U763" s="517"/>
      <c r="V763" s="517"/>
      <c r="W763" s="517"/>
      <c r="X763" s="517"/>
      <c r="Y763" s="518"/>
      <c r="Z763" s="230">
        <v>388689</v>
      </c>
      <c r="AA763" s="212"/>
      <c r="AB763" s="212"/>
      <c r="AC763" s="212"/>
      <c r="AD763" s="212"/>
      <c r="AE763" s="212"/>
      <c r="AF763" s="212"/>
      <c r="AG763" s="231"/>
    </row>
    <row r="764" spans="4:33" ht="18.75" customHeight="1" x14ac:dyDescent="0.2">
      <c r="D764" s="222" t="s">
        <v>2213</v>
      </c>
      <c r="E764" s="223"/>
      <c r="F764" s="223"/>
      <c r="G764" s="223"/>
      <c r="H764" s="223"/>
      <c r="I764" s="223"/>
      <c r="J764" s="223"/>
      <c r="K764" s="223"/>
      <c r="L764" s="224"/>
      <c r="M764" s="222" t="s">
        <v>349</v>
      </c>
      <c r="N764" s="223"/>
      <c r="O764" s="223"/>
      <c r="P764" s="223"/>
      <c r="Q764" s="224"/>
      <c r="R764" s="516">
        <f>VLOOKUP(D764,[11]APBA!$B$4:$J$27,9,FALSE)</f>
        <v>0</v>
      </c>
      <c r="S764" s="517"/>
      <c r="T764" s="517"/>
      <c r="U764" s="517"/>
      <c r="V764" s="517"/>
      <c r="W764" s="517"/>
      <c r="X764" s="517"/>
      <c r="Y764" s="518"/>
      <c r="Z764" s="230"/>
      <c r="AA764" s="212"/>
      <c r="AB764" s="212"/>
      <c r="AC764" s="212"/>
      <c r="AD764" s="212"/>
      <c r="AE764" s="212"/>
      <c r="AF764" s="212"/>
      <c r="AG764" s="231"/>
    </row>
    <row r="765" spans="4:33" ht="18.75" customHeight="1" x14ac:dyDescent="0.2">
      <c r="D765" s="222" t="s">
        <v>2215</v>
      </c>
      <c r="E765" s="223"/>
      <c r="F765" s="223"/>
      <c r="G765" s="223"/>
      <c r="H765" s="223"/>
      <c r="I765" s="223"/>
      <c r="J765" s="223"/>
      <c r="K765" s="223"/>
      <c r="L765" s="224"/>
      <c r="M765" s="222" t="s">
        <v>349</v>
      </c>
      <c r="N765" s="223"/>
      <c r="O765" s="223"/>
      <c r="P765" s="223"/>
      <c r="Q765" s="224"/>
      <c r="R765" s="516">
        <f>VLOOKUP(D765,[11]APBA!$B$4:$J$27,9,FALSE)</f>
        <v>445.53619016607706</v>
      </c>
      <c r="S765" s="517"/>
      <c r="T765" s="517"/>
      <c r="U765" s="517"/>
      <c r="V765" s="517"/>
      <c r="W765" s="517"/>
      <c r="X765" s="517"/>
      <c r="Y765" s="518"/>
      <c r="Z765" s="230">
        <v>11</v>
      </c>
      <c r="AA765" s="212"/>
      <c r="AB765" s="212"/>
      <c r="AC765" s="212"/>
      <c r="AD765" s="212"/>
      <c r="AE765" s="212"/>
      <c r="AF765" s="212"/>
      <c r="AG765" s="231"/>
    </row>
    <row r="766" spans="4:33" ht="18.75" customHeight="1" x14ac:dyDescent="0.2">
      <c r="D766" s="240" t="s">
        <v>352</v>
      </c>
      <c r="E766" s="241"/>
      <c r="F766" s="241"/>
      <c r="G766" s="241"/>
      <c r="H766" s="241"/>
      <c r="I766" s="241"/>
      <c r="J766" s="241"/>
      <c r="K766" s="241"/>
      <c r="L766" s="242"/>
      <c r="M766" s="240"/>
      <c r="N766" s="241"/>
      <c r="O766" s="241"/>
      <c r="P766" s="241"/>
      <c r="Q766" s="242"/>
      <c r="R766" s="237">
        <f>SUM(R767:Y779)</f>
        <v>1956037.9600000002</v>
      </c>
      <c r="S766" s="238"/>
      <c r="T766" s="238"/>
      <c r="U766" s="238"/>
      <c r="V766" s="238"/>
      <c r="W766" s="238"/>
      <c r="X766" s="238"/>
      <c r="Y766" s="239"/>
      <c r="Z766" s="237">
        <f>SUM(Z767:AG779)</f>
        <v>2062182.6500000001</v>
      </c>
      <c r="AA766" s="238"/>
      <c r="AB766" s="238"/>
      <c r="AC766" s="238"/>
      <c r="AD766" s="238"/>
      <c r="AE766" s="238"/>
      <c r="AF766" s="238"/>
      <c r="AG766" s="239"/>
    </row>
    <row r="767" spans="4:33" ht="18.75" customHeight="1" x14ac:dyDescent="0.2">
      <c r="D767" s="222" t="s">
        <v>2208</v>
      </c>
      <c r="E767" s="223"/>
      <c r="F767" s="223"/>
      <c r="G767" s="223"/>
      <c r="H767" s="223"/>
      <c r="I767" s="223"/>
      <c r="J767" s="223"/>
      <c r="K767" s="223"/>
      <c r="L767" s="224"/>
      <c r="M767" s="222" t="s">
        <v>346</v>
      </c>
      <c r="N767" s="223"/>
      <c r="O767" s="223"/>
      <c r="P767" s="223"/>
      <c r="Q767" s="224"/>
      <c r="R767" s="230">
        <f>VLOOKUP(D767,[11]APBA!$B$4:$R$27,17,FALSE)</f>
        <v>0</v>
      </c>
      <c r="S767" s="212"/>
      <c r="T767" s="212"/>
      <c r="U767" s="212"/>
      <c r="V767" s="212"/>
      <c r="W767" s="212"/>
      <c r="X767" s="212"/>
      <c r="Y767" s="231"/>
      <c r="Z767" s="230">
        <v>2.1800000000000002</v>
      </c>
      <c r="AA767" s="212"/>
      <c r="AB767" s="212"/>
      <c r="AC767" s="212"/>
      <c r="AD767" s="212"/>
      <c r="AE767" s="212"/>
      <c r="AF767" s="212"/>
      <c r="AG767" s="231"/>
    </row>
    <row r="768" spans="4:33" ht="18.75" customHeight="1" x14ac:dyDescent="0.2">
      <c r="D768" s="222" t="s">
        <v>2209</v>
      </c>
      <c r="E768" s="223"/>
      <c r="F768" s="223"/>
      <c r="G768" s="223"/>
      <c r="H768" s="223"/>
      <c r="I768" s="223"/>
      <c r="J768" s="223"/>
      <c r="K768" s="223"/>
      <c r="L768" s="224"/>
      <c r="M768" s="222" t="s">
        <v>346</v>
      </c>
      <c r="N768" s="223"/>
      <c r="O768" s="223"/>
      <c r="P768" s="223"/>
      <c r="Q768" s="224"/>
      <c r="R768" s="230">
        <f>VLOOKUP(D768,[11]APBA!$B$4:$R$27,17,FALSE)</f>
        <v>596153.82999999996</v>
      </c>
      <c r="S768" s="212"/>
      <c r="T768" s="212"/>
      <c r="U768" s="212"/>
      <c r="V768" s="212"/>
      <c r="W768" s="212"/>
      <c r="X768" s="212"/>
      <c r="Y768" s="231"/>
      <c r="Z768" s="230">
        <v>943996</v>
      </c>
      <c r="AA768" s="212"/>
      <c r="AB768" s="212"/>
      <c r="AC768" s="212"/>
      <c r="AD768" s="212"/>
      <c r="AE768" s="212"/>
      <c r="AF768" s="212"/>
      <c r="AG768" s="231"/>
    </row>
    <row r="769" spans="1:34" ht="18.75" customHeight="1" x14ac:dyDescent="0.2">
      <c r="D769" s="222" t="s">
        <v>245</v>
      </c>
      <c r="E769" s="223"/>
      <c r="F769" s="223"/>
      <c r="G769" s="223"/>
      <c r="H769" s="223"/>
      <c r="I769" s="223"/>
      <c r="J769" s="223"/>
      <c r="K769" s="223"/>
      <c r="L769" s="224"/>
      <c r="M769" s="222" t="s">
        <v>346</v>
      </c>
      <c r="N769" s="223"/>
      <c r="O769" s="223"/>
      <c r="P769" s="223"/>
      <c r="Q769" s="224"/>
      <c r="R769" s="230">
        <f>VLOOKUP(D769,[11]APBA!$B$4:$R$27,17,FALSE)</f>
        <v>415724.18000000005</v>
      </c>
      <c r="S769" s="212"/>
      <c r="T769" s="212"/>
      <c r="U769" s="212"/>
      <c r="V769" s="212"/>
      <c r="W769" s="212"/>
      <c r="X769" s="212"/>
      <c r="Y769" s="231"/>
      <c r="Z769" s="230">
        <v>810126</v>
      </c>
      <c r="AA769" s="212"/>
      <c r="AB769" s="212"/>
      <c r="AC769" s="212"/>
      <c r="AD769" s="212"/>
      <c r="AE769" s="212"/>
      <c r="AF769" s="212"/>
      <c r="AG769" s="231"/>
    </row>
    <row r="770" spans="1:34" ht="18.75" customHeight="1" x14ac:dyDescent="0.2">
      <c r="D770" s="222" t="s">
        <v>2261</v>
      </c>
      <c r="E770" s="223"/>
      <c r="F770" s="223"/>
      <c r="G770" s="223"/>
      <c r="H770" s="223"/>
      <c r="I770" s="223"/>
      <c r="J770" s="223"/>
      <c r="K770" s="223"/>
      <c r="L770" s="224"/>
      <c r="M770" s="222" t="s">
        <v>346</v>
      </c>
      <c r="N770" s="223"/>
      <c r="O770" s="223"/>
      <c r="P770" s="223"/>
      <c r="Q770" s="224"/>
      <c r="R770" s="230">
        <f>VLOOKUP(D770,[11]APBA!$B$4:$R$27,17,FALSE)</f>
        <v>9567.39</v>
      </c>
      <c r="S770" s="212"/>
      <c r="T770" s="212"/>
      <c r="U770" s="212"/>
      <c r="V770" s="212"/>
      <c r="W770" s="212"/>
      <c r="X770" s="212"/>
      <c r="Y770" s="231"/>
      <c r="Z770" s="230">
        <v>4767</v>
      </c>
      <c r="AA770" s="212"/>
      <c r="AB770" s="212"/>
      <c r="AC770" s="212"/>
      <c r="AD770" s="212"/>
      <c r="AE770" s="212"/>
      <c r="AF770" s="212"/>
      <c r="AG770" s="231"/>
    </row>
    <row r="771" spans="1:34" ht="18.75" customHeight="1" x14ac:dyDescent="0.2">
      <c r="A771" s="29"/>
      <c r="D771" s="222" t="s">
        <v>662</v>
      </c>
      <c r="E771" s="223"/>
      <c r="F771" s="223"/>
      <c r="G771" s="223"/>
      <c r="H771" s="223"/>
      <c r="I771" s="223"/>
      <c r="J771" s="223"/>
      <c r="K771" s="223"/>
      <c r="L771" s="224"/>
      <c r="M771" s="222" t="s">
        <v>346</v>
      </c>
      <c r="N771" s="223"/>
      <c r="O771" s="223"/>
      <c r="P771" s="223"/>
      <c r="Q771" s="224"/>
      <c r="R771" s="230">
        <f>VLOOKUP(D771,[11]APBA!$B$4:$R$27,17,FALSE)</f>
        <v>0</v>
      </c>
      <c r="S771" s="212"/>
      <c r="T771" s="212"/>
      <c r="U771" s="212"/>
      <c r="V771" s="212"/>
      <c r="W771" s="212"/>
      <c r="X771" s="212"/>
      <c r="Y771" s="231"/>
      <c r="Z771" s="230">
        <v>7378</v>
      </c>
      <c r="AA771" s="212"/>
      <c r="AB771" s="212"/>
      <c r="AC771" s="212"/>
      <c r="AD771" s="212"/>
      <c r="AE771" s="212"/>
      <c r="AF771" s="212"/>
      <c r="AG771" s="231"/>
    </row>
    <row r="772" spans="1:34" ht="18.75" customHeight="1" x14ac:dyDescent="0.2">
      <c r="A772" s="29"/>
      <c r="D772" s="243" t="s">
        <v>2212</v>
      </c>
      <c r="E772" s="244"/>
      <c r="F772" s="244"/>
      <c r="G772" s="244"/>
      <c r="H772" s="244"/>
      <c r="I772" s="244"/>
      <c r="J772" s="244"/>
      <c r="K772" s="244"/>
      <c r="L772" s="245"/>
      <c r="M772" s="222" t="s">
        <v>346</v>
      </c>
      <c r="N772" s="223"/>
      <c r="O772" s="223"/>
      <c r="P772" s="223"/>
      <c r="Q772" s="224"/>
      <c r="R772" s="230">
        <f>VLOOKUP(D772,[11]APBA!$B$4:$R$27,17,FALSE)</f>
        <v>918983.08</v>
      </c>
      <c r="S772" s="212"/>
      <c r="T772" s="212"/>
      <c r="U772" s="212"/>
      <c r="V772" s="212"/>
      <c r="W772" s="212"/>
      <c r="X772" s="212"/>
      <c r="Y772" s="231"/>
      <c r="Z772" s="230">
        <v>287839</v>
      </c>
      <c r="AA772" s="212"/>
      <c r="AB772" s="212"/>
      <c r="AC772" s="212"/>
      <c r="AD772" s="212"/>
      <c r="AE772" s="212"/>
      <c r="AF772" s="212"/>
      <c r="AG772" s="231"/>
    </row>
    <row r="773" spans="1:34" ht="18.600000000000001" customHeight="1" x14ac:dyDescent="0.2">
      <c r="D773" s="222" t="s">
        <v>2211</v>
      </c>
      <c r="E773" s="223"/>
      <c r="F773" s="223"/>
      <c r="G773" s="223"/>
      <c r="H773" s="223"/>
      <c r="I773" s="223"/>
      <c r="J773" s="223"/>
      <c r="K773" s="223"/>
      <c r="L773" s="224"/>
      <c r="M773" s="222" t="s">
        <v>346</v>
      </c>
      <c r="N773" s="223"/>
      <c r="O773" s="223"/>
      <c r="P773" s="223"/>
      <c r="Q773" s="224"/>
      <c r="R773" s="230">
        <f>VLOOKUP(D773,[11]APBA!$B$4:$R$27,17,FALSE)</f>
        <v>0</v>
      </c>
      <c r="S773" s="212"/>
      <c r="T773" s="212"/>
      <c r="U773" s="212"/>
      <c r="V773" s="212"/>
      <c r="W773" s="212"/>
      <c r="X773" s="212"/>
      <c r="Y773" s="231"/>
      <c r="Z773" s="230"/>
      <c r="AA773" s="212"/>
      <c r="AB773" s="212"/>
      <c r="AC773" s="212"/>
      <c r="AD773" s="212"/>
      <c r="AE773" s="212"/>
      <c r="AF773" s="212"/>
      <c r="AG773" s="231"/>
    </row>
    <row r="774" spans="1:34" ht="18.600000000000001" customHeight="1" x14ac:dyDescent="0.2">
      <c r="A774" s="32"/>
      <c r="D774" s="222" t="s">
        <v>2215</v>
      </c>
      <c r="E774" s="223"/>
      <c r="F774" s="223"/>
      <c r="G774" s="223"/>
      <c r="H774" s="223"/>
      <c r="I774" s="223"/>
      <c r="J774" s="223"/>
      <c r="K774" s="223"/>
      <c r="L774" s="224"/>
      <c r="M774" s="222" t="s">
        <v>346</v>
      </c>
      <c r="N774" s="223"/>
      <c r="O774" s="223"/>
      <c r="P774" s="223"/>
      <c r="Q774" s="224"/>
      <c r="R774" s="230">
        <f>VLOOKUP(D774,[11]APBA!$B$4:$R$27,17,FALSE)</f>
        <v>1217.95</v>
      </c>
      <c r="S774" s="212"/>
      <c r="T774" s="212"/>
      <c r="U774" s="212"/>
      <c r="V774" s="212"/>
      <c r="W774" s="212"/>
      <c r="X774" s="212"/>
      <c r="Y774" s="231"/>
      <c r="Z774" s="230">
        <v>856</v>
      </c>
      <c r="AA774" s="212"/>
      <c r="AB774" s="212"/>
      <c r="AC774" s="212"/>
      <c r="AD774" s="212"/>
      <c r="AE774" s="212"/>
      <c r="AF774" s="212"/>
      <c r="AG774" s="231"/>
    </row>
    <row r="775" spans="1:34" s="69" customFormat="1" ht="18.600000000000001" customHeight="1" x14ac:dyDescent="0.2">
      <c r="A775" s="67"/>
      <c r="D775" s="222" t="s">
        <v>2214</v>
      </c>
      <c r="E775" s="223"/>
      <c r="F775" s="223"/>
      <c r="G775" s="223"/>
      <c r="H775" s="223"/>
      <c r="I775" s="223"/>
      <c r="J775" s="223"/>
      <c r="K775" s="223"/>
      <c r="L775" s="224"/>
      <c r="M775" s="222" t="s">
        <v>346</v>
      </c>
      <c r="N775" s="223"/>
      <c r="O775" s="223"/>
      <c r="P775" s="223"/>
      <c r="Q775" s="224"/>
      <c r="R775" s="230">
        <f>VLOOKUP(D775,[11]APBA!$B$4:$R$27,17,FALSE)</f>
        <v>4254.05</v>
      </c>
      <c r="S775" s="212"/>
      <c r="T775" s="212"/>
      <c r="U775" s="212"/>
      <c r="V775" s="212"/>
      <c r="W775" s="212"/>
      <c r="X775" s="212"/>
      <c r="Y775" s="231"/>
      <c r="Z775" s="230">
        <v>4768.47</v>
      </c>
      <c r="AA775" s="212"/>
      <c r="AB775" s="212"/>
      <c r="AC775" s="212"/>
      <c r="AD775" s="212"/>
      <c r="AE775" s="212"/>
      <c r="AF775" s="212"/>
      <c r="AG775" s="231"/>
      <c r="AH775" s="77"/>
    </row>
    <row r="776" spans="1:34" s="69" customFormat="1" ht="18.600000000000001" customHeight="1" x14ac:dyDescent="0.2">
      <c r="A776" s="67"/>
      <c r="D776" s="222" t="s">
        <v>2262</v>
      </c>
      <c r="E776" s="223"/>
      <c r="F776" s="223"/>
      <c r="G776" s="223"/>
      <c r="H776" s="223"/>
      <c r="I776" s="223"/>
      <c r="J776" s="223"/>
      <c r="K776" s="223"/>
      <c r="L776" s="224"/>
      <c r="M776" s="222" t="s">
        <v>346</v>
      </c>
      <c r="N776" s="223"/>
      <c r="O776" s="223"/>
      <c r="P776" s="223"/>
      <c r="Q776" s="224"/>
      <c r="R776" s="230">
        <f>VLOOKUP(D776,[11]APBA!$B$4:$R$27,17,FALSE)</f>
        <v>8580.82</v>
      </c>
      <c r="S776" s="212"/>
      <c r="T776" s="212"/>
      <c r="U776" s="212"/>
      <c r="V776" s="212"/>
      <c r="W776" s="212"/>
      <c r="X776" s="212"/>
      <c r="Y776" s="231"/>
      <c r="Z776" s="230"/>
      <c r="AA776" s="212"/>
      <c r="AB776" s="212"/>
      <c r="AC776" s="212"/>
      <c r="AD776" s="212"/>
      <c r="AE776" s="212"/>
      <c r="AF776" s="212"/>
      <c r="AG776" s="231"/>
      <c r="AH776" s="77"/>
    </row>
    <row r="777" spans="1:34" s="69" customFormat="1" ht="18.600000000000001" customHeight="1" x14ac:dyDescent="0.2">
      <c r="A777" s="67"/>
      <c r="D777" s="222" t="s">
        <v>663</v>
      </c>
      <c r="E777" s="223"/>
      <c r="F777" s="223"/>
      <c r="G777" s="223"/>
      <c r="H777" s="223"/>
      <c r="I777" s="223"/>
      <c r="J777" s="223"/>
      <c r="K777" s="223"/>
      <c r="L777" s="224"/>
      <c r="M777" s="222" t="s">
        <v>346</v>
      </c>
      <c r="N777" s="223"/>
      <c r="O777" s="223"/>
      <c r="P777" s="223"/>
      <c r="Q777" s="224"/>
      <c r="R777" s="230">
        <v>0</v>
      </c>
      <c r="S777" s="212"/>
      <c r="T777" s="212"/>
      <c r="U777" s="212"/>
      <c r="V777" s="212"/>
      <c r="W777" s="212"/>
      <c r="X777" s="212"/>
      <c r="Y777" s="231"/>
      <c r="Z777" s="230">
        <v>2450</v>
      </c>
      <c r="AA777" s="212"/>
      <c r="AB777" s="212"/>
      <c r="AC777" s="212"/>
      <c r="AD777" s="212"/>
      <c r="AE777" s="212"/>
      <c r="AF777" s="212"/>
      <c r="AG777" s="231"/>
      <c r="AH777" s="77"/>
    </row>
    <row r="778" spans="1:34" s="69" customFormat="1" ht="18.600000000000001" customHeight="1" x14ac:dyDescent="0.2">
      <c r="A778" s="67"/>
      <c r="D778" s="243" t="s">
        <v>2263</v>
      </c>
      <c r="E778" s="244"/>
      <c r="F778" s="244"/>
      <c r="G778" s="244"/>
      <c r="H778" s="244"/>
      <c r="I778" s="244"/>
      <c r="J778" s="244"/>
      <c r="K778" s="244"/>
      <c r="L778" s="245"/>
      <c r="M778" s="222" t="s">
        <v>346</v>
      </c>
      <c r="N778" s="223"/>
      <c r="O778" s="223"/>
      <c r="P778" s="223"/>
      <c r="Q778" s="224"/>
      <c r="R778" s="230">
        <f>VLOOKUP(D778,[11]APBA!$B$4:$R$27,17,FALSE)</f>
        <v>676.83</v>
      </c>
      <c r="S778" s="212"/>
      <c r="T778" s="212"/>
      <c r="U778" s="212"/>
      <c r="V778" s="212"/>
      <c r="W778" s="212"/>
      <c r="X778" s="212"/>
      <c r="Y778" s="231"/>
      <c r="Z778" s="230"/>
      <c r="AA778" s="212"/>
      <c r="AB778" s="212"/>
      <c r="AC778" s="212"/>
      <c r="AD778" s="212"/>
      <c r="AE778" s="212"/>
      <c r="AF778" s="212"/>
      <c r="AG778" s="231"/>
      <c r="AH778" s="77"/>
    </row>
    <row r="779" spans="1:34" s="69" customFormat="1" ht="18.600000000000001" customHeight="1" x14ac:dyDescent="0.2">
      <c r="A779" s="67"/>
      <c r="D779" s="243" t="s">
        <v>2264</v>
      </c>
      <c r="E779" s="244"/>
      <c r="F779" s="244"/>
      <c r="G779" s="244"/>
      <c r="H779" s="244"/>
      <c r="I779" s="244"/>
      <c r="J779" s="244"/>
      <c r="K779" s="244"/>
      <c r="L779" s="245"/>
      <c r="M779" s="243" t="s">
        <v>346</v>
      </c>
      <c r="N779" s="244"/>
      <c r="O779" s="244"/>
      <c r="P779" s="244"/>
      <c r="Q779" s="245"/>
      <c r="R779" s="230">
        <f>VLOOKUP(D779,[11]APBA!$B$4:$R$27,17,FALSE)</f>
        <v>879.82999999999993</v>
      </c>
      <c r="S779" s="212"/>
      <c r="T779" s="212"/>
      <c r="U779" s="212"/>
      <c r="V779" s="212"/>
      <c r="W779" s="212"/>
      <c r="X779" s="212"/>
      <c r="Y779" s="231"/>
      <c r="Z779" s="230"/>
      <c r="AA779" s="212"/>
      <c r="AB779" s="212"/>
      <c r="AC779" s="212"/>
      <c r="AD779" s="212"/>
      <c r="AE779" s="212"/>
      <c r="AF779" s="212"/>
      <c r="AG779" s="231"/>
      <c r="AH779" s="77"/>
    </row>
    <row r="780" spans="1:34" s="69" customFormat="1" ht="15" customHeight="1" x14ac:dyDescent="0.2">
      <c r="A780" s="67"/>
      <c r="AH780" s="77"/>
    </row>
    <row r="781" spans="1:34" s="69" customFormat="1" ht="14.25" customHeight="1" x14ac:dyDescent="0.2">
      <c r="A781" s="67"/>
      <c r="D781" s="77"/>
      <c r="E781" s="77"/>
      <c r="F781" s="77"/>
      <c r="G781" s="77"/>
      <c r="H781" s="77"/>
      <c r="I781" s="77"/>
      <c r="J781" s="77"/>
      <c r="K781" s="77"/>
      <c r="L781" s="77"/>
      <c r="M781" s="77"/>
      <c r="N781" s="77"/>
      <c r="O781" s="77"/>
      <c r="P781" s="77"/>
      <c r="Q781" s="77"/>
      <c r="R781" s="77"/>
      <c r="S781" s="77"/>
      <c r="T781" s="77"/>
      <c r="U781" s="77"/>
      <c r="V781" s="77"/>
      <c r="W781" s="77"/>
      <c r="X781" s="77"/>
      <c r="Y781" s="77"/>
      <c r="Z781" s="77"/>
      <c r="AA781" s="77"/>
      <c r="AB781" s="77"/>
      <c r="AC781" s="77"/>
      <c r="AD781" s="77"/>
      <c r="AE781" s="77"/>
      <c r="AF781" s="77"/>
      <c r="AG781" s="77"/>
      <c r="AH781" s="77"/>
    </row>
    <row r="782" spans="1:34" ht="14.25" customHeight="1" x14ac:dyDescent="0.2">
      <c r="D782" s="519" t="s">
        <v>394</v>
      </c>
      <c r="E782" s="519"/>
      <c r="F782" s="519"/>
      <c r="G782" s="519"/>
      <c r="H782" s="519"/>
      <c r="I782" s="519"/>
      <c r="J782" s="519"/>
      <c r="K782" s="519"/>
      <c r="L782" s="519"/>
      <c r="M782" s="519"/>
      <c r="N782" s="519"/>
      <c r="O782" s="519"/>
      <c r="P782" s="519"/>
      <c r="Q782" s="519"/>
      <c r="R782" s="519"/>
      <c r="S782" s="519"/>
      <c r="T782" s="519"/>
      <c r="U782" s="519"/>
      <c r="V782" s="519"/>
      <c r="W782" s="519"/>
      <c r="X782" s="519"/>
      <c r="Y782" s="519"/>
      <c r="Z782" s="519"/>
      <c r="AA782" s="519"/>
      <c r="AB782" s="519"/>
      <c r="AC782" s="519"/>
      <c r="AD782" s="519"/>
      <c r="AE782" s="519"/>
      <c r="AF782" s="519"/>
      <c r="AG782" s="519"/>
    </row>
    <row r="783" spans="1:34" ht="14.25" customHeight="1" thickBot="1" x14ac:dyDescent="0.25">
      <c r="D783" s="77"/>
      <c r="E783" s="77"/>
      <c r="F783" s="77"/>
      <c r="G783" s="77"/>
      <c r="H783" s="77"/>
      <c r="I783" s="77"/>
      <c r="J783" s="77"/>
      <c r="K783" s="77"/>
      <c r="L783" s="77"/>
      <c r="M783" s="77"/>
      <c r="N783" s="77"/>
      <c r="O783" s="77"/>
      <c r="P783" s="77"/>
      <c r="Q783" s="77"/>
      <c r="R783" s="77"/>
      <c r="S783" s="77"/>
      <c r="T783" s="77"/>
      <c r="U783" s="77"/>
      <c r="V783" s="77"/>
      <c r="W783" s="77"/>
      <c r="X783" s="77"/>
      <c r="Y783" s="77"/>
      <c r="Z783" s="77"/>
      <c r="AA783" s="77"/>
      <c r="AB783" s="77"/>
      <c r="AC783" s="77"/>
      <c r="AD783" s="77"/>
      <c r="AE783" s="77"/>
      <c r="AF783" s="77"/>
      <c r="AG783" s="77"/>
    </row>
    <row r="784" spans="1:34" ht="14.25" customHeight="1" thickBot="1" x14ac:dyDescent="0.25">
      <c r="D784" s="475" t="s">
        <v>353</v>
      </c>
      <c r="E784" s="476"/>
      <c r="F784" s="476"/>
      <c r="G784" s="476"/>
      <c r="H784" s="476"/>
      <c r="I784" s="476"/>
      <c r="J784" s="476"/>
      <c r="K784" s="476"/>
      <c r="L784" s="476"/>
      <c r="M784" s="477"/>
      <c r="N784" s="300" t="s">
        <v>16</v>
      </c>
      <c r="O784" s="301"/>
      <c r="P784" s="301"/>
      <c r="Q784" s="301"/>
      <c r="R784" s="301"/>
      <c r="S784" s="301"/>
      <c r="T784" s="301"/>
      <c r="U784" s="301"/>
      <c r="V784" s="301"/>
      <c r="W784" s="301"/>
      <c r="X784" s="301"/>
      <c r="Y784" s="301"/>
      <c r="Z784" s="301"/>
      <c r="AA784" s="301"/>
      <c r="AB784" s="301"/>
      <c r="AC784" s="301"/>
      <c r="AD784" s="301"/>
      <c r="AE784" s="301"/>
      <c r="AF784" s="301"/>
      <c r="AG784" s="302"/>
    </row>
    <row r="785" spans="4:36" ht="33.75" customHeight="1" thickBot="1" x14ac:dyDescent="0.25">
      <c r="D785" s="478"/>
      <c r="E785" s="479"/>
      <c r="F785" s="479"/>
      <c r="G785" s="479"/>
      <c r="H785" s="479"/>
      <c r="I785" s="479"/>
      <c r="J785" s="479"/>
      <c r="K785" s="479"/>
      <c r="L785" s="479"/>
      <c r="M785" s="480"/>
      <c r="N785" s="365" t="s">
        <v>354</v>
      </c>
      <c r="O785" s="366"/>
      <c r="P785" s="366"/>
      <c r="Q785" s="367"/>
      <c r="R785" s="365" t="s">
        <v>88</v>
      </c>
      <c r="S785" s="366"/>
      <c r="T785" s="366"/>
      <c r="U785" s="367"/>
      <c r="V785" s="365" t="s">
        <v>89</v>
      </c>
      <c r="W785" s="366"/>
      <c r="X785" s="366"/>
      <c r="Y785" s="367"/>
      <c r="Z785" s="365" t="s">
        <v>90</v>
      </c>
      <c r="AA785" s="366"/>
      <c r="AB785" s="366"/>
      <c r="AC785" s="367"/>
      <c r="AD785" s="365" t="s">
        <v>355</v>
      </c>
      <c r="AE785" s="366"/>
      <c r="AF785" s="366"/>
      <c r="AG785" s="367"/>
    </row>
    <row r="786" spans="4:36" ht="16.8" customHeight="1" x14ac:dyDescent="0.2">
      <c r="D786" s="351" t="s">
        <v>356</v>
      </c>
      <c r="E786" s="352"/>
      <c r="F786" s="352"/>
      <c r="G786" s="352"/>
      <c r="H786" s="352"/>
      <c r="I786" s="352"/>
      <c r="J786" s="352"/>
      <c r="K786" s="352"/>
      <c r="L786" s="352"/>
      <c r="M786" s="353"/>
      <c r="N786" s="271">
        <v>2956639</v>
      </c>
      <c r="O786" s="272"/>
      <c r="P786" s="272"/>
      <c r="Q786" s="273"/>
      <c r="R786" s="271"/>
      <c r="S786" s="272"/>
      <c r="T786" s="272"/>
      <c r="U786" s="273"/>
      <c r="V786" s="271"/>
      <c r="W786" s="272"/>
      <c r="X786" s="272"/>
      <c r="Y786" s="273"/>
      <c r="Z786" s="271"/>
      <c r="AA786" s="272"/>
      <c r="AB786" s="272"/>
      <c r="AC786" s="273"/>
      <c r="AD786" s="271">
        <f>SUM(N786:AC786)</f>
        <v>2956639</v>
      </c>
      <c r="AE786" s="272"/>
      <c r="AF786" s="272"/>
      <c r="AG786" s="273"/>
    </row>
    <row r="787" spans="4:36" ht="16.8" customHeight="1" x14ac:dyDescent="0.2">
      <c r="D787" s="214" t="s">
        <v>357</v>
      </c>
      <c r="E787" s="215"/>
      <c r="F787" s="215"/>
      <c r="G787" s="215"/>
      <c r="H787" s="215"/>
      <c r="I787" s="215"/>
      <c r="J787" s="215"/>
      <c r="K787" s="215"/>
      <c r="L787" s="215"/>
      <c r="M787" s="216"/>
      <c r="N787" s="211">
        <v>0</v>
      </c>
      <c r="O787" s="212"/>
      <c r="P787" s="212"/>
      <c r="Q787" s="213"/>
      <c r="R787" s="211"/>
      <c r="S787" s="212"/>
      <c r="T787" s="212"/>
      <c r="U787" s="213"/>
      <c r="V787" s="211"/>
      <c r="W787" s="212"/>
      <c r="X787" s="212"/>
      <c r="Y787" s="213"/>
      <c r="Z787" s="211"/>
      <c r="AA787" s="212"/>
      <c r="AB787" s="212"/>
      <c r="AC787" s="213"/>
      <c r="AD787" s="211">
        <f t="shared" ref="AD787:AD804" si="23">SUM(N787:AC787)</f>
        <v>0</v>
      </c>
      <c r="AE787" s="212"/>
      <c r="AF787" s="212"/>
      <c r="AG787" s="213"/>
    </row>
    <row r="788" spans="4:36" ht="16.8" customHeight="1" x14ac:dyDescent="0.2">
      <c r="D788" s="214" t="s">
        <v>358</v>
      </c>
      <c r="E788" s="215"/>
      <c r="F788" s="215"/>
      <c r="G788" s="215"/>
      <c r="H788" s="215"/>
      <c r="I788" s="215"/>
      <c r="J788" s="215"/>
      <c r="K788" s="215"/>
      <c r="L788" s="215"/>
      <c r="M788" s="216"/>
      <c r="N788" s="211">
        <v>0</v>
      </c>
      <c r="O788" s="212"/>
      <c r="P788" s="212"/>
      <c r="Q788" s="213"/>
      <c r="R788" s="211"/>
      <c r="S788" s="212"/>
      <c r="T788" s="212"/>
      <c r="U788" s="213"/>
      <c r="V788" s="211"/>
      <c r="W788" s="212"/>
      <c r="X788" s="212"/>
      <c r="Y788" s="213"/>
      <c r="Z788" s="211"/>
      <c r="AA788" s="212"/>
      <c r="AB788" s="212"/>
      <c r="AC788" s="213"/>
      <c r="AD788" s="211">
        <f t="shared" si="23"/>
        <v>0</v>
      </c>
      <c r="AE788" s="212"/>
      <c r="AF788" s="212"/>
      <c r="AG788" s="213"/>
    </row>
    <row r="789" spans="4:36" ht="16.8" customHeight="1" x14ac:dyDescent="0.2">
      <c r="D789" s="214" t="s">
        <v>359</v>
      </c>
      <c r="E789" s="215"/>
      <c r="F789" s="215"/>
      <c r="G789" s="215"/>
      <c r="H789" s="215"/>
      <c r="I789" s="215"/>
      <c r="J789" s="215"/>
      <c r="K789" s="215"/>
      <c r="L789" s="215"/>
      <c r="M789" s="216"/>
      <c r="N789" s="211">
        <v>0</v>
      </c>
      <c r="O789" s="212"/>
      <c r="P789" s="212"/>
      <c r="Q789" s="213"/>
      <c r="R789" s="211"/>
      <c r="S789" s="212"/>
      <c r="T789" s="212"/>
      <c r="U789" s="213"/>
      <c r="V789" s="211"/>
      <c r="W789" s="212"/>
      <c r="X789" s="212"/>
      <c r="Y789" s="213"/>
      <c r="Z789" s="211"/>
      <c r="AA789" s="212"/>
      <c r="AB789" s="212"/>
      <c r="AC789" s="213"/>
      <c r="AD789" s="211">
        <f t="shared" si="23"/>
        <v>0</v>
      </c>
      <c r="AE789" s="212"/>
      <c r="AF789" s="212"/>
      <c r="AG789" s="213"/>
    </row>
    <row r="790" spans="4:36" ht="16.8" customHeight="1" x14ac:dyDescent="0.2">
      <c r="D790" s="214" t="s">
        <v>360</v>
      </c>
      <c r="E790" s="215"/>
      <c r="F790" s="215"/>
      <c r="G790" s="215"/>
      <c r="H790" s="215"/>
      <c r="I790" s="215"/>
      <c r="J790" s="215"/>
      <c r="K790" s="215"/>
      <c r="L790" s="215"/>
      <c r="M790" s="216"/>
      <c r="N790" s="211">
        <v>0</v>
      </c>
      <c r="O790" s="212"/>
      <c r="P790" s="212"/>
      <c r="Q790" s="213"/>
      <c r="R790" s="211"/>
      <c r="S790" s="212"/>
      <c r="T790" s="212"/>
      <c r="U790" s="213"/>
      <c r="V790" s="211"/>
      <c r="W790" s="212"/>
      <c r="X790" s="212"/>
      <c r="Y790" s="213"/>
      <c r="Z790" s="211"/>
      <c r="AA790" s="212"/>
      <c r="AB790" s="212"/>
      <c r="AC790" s="213"/>
      <c r="AD790" s="211">
        <f t="shared" si="23"/>
        <v>0</v>
      </c>
      <c r="AE790" s="212"/>
      <c r="AF790" s="212"/>
      <c r="AG790" s="213"/>
    </row>
    <row r="791" spans="4:36" ht="16.8" customHeight="1" x14ac:dyDescent="0.2">
      <c r="D791" s="214" t="s">
        <v>361</v>
      </c>
      <c r="E791" s="215"/>
      <c r="F791" s="215"/>
      <c r="G791" s="215"/>
      <c r="H791" s="215"/>
      <c r="I791" s="215"/>
      <c r="J791" s="215"/>
      <c r="K791" s="215"/>
      <c r="L791" s="215"/>
      <c r="M791" s="216"/>
      <c r="N791" s="211">
        <v>4346417</v>
      </c>
      <c r="O791" s="212"/>
      <c r="P791" s="212"/>
      <c r="Q791" s="213"/>
      <c r="R791" s="211"/>
      <c r="S791" s="212"/>
      <c r="T791" s="212"/>
      <c r="U791" s="213"/>
      <c r="V791" s="211"/>
      <c r="W791" s="212"/>
      <c r="X791" s="212"/>
      <c r="Y791" s="213"/>
      <c r="Z791" s="211"/>
      <c r="AA791" s="212"/>
      <c r="AB791" s="212"/>
      <c r="AC791" s="213"/>
      <c r="AD791" s="211">
        <f t="shared" si="23"/>
        <v>4346417</v>
      </c>
      <c r="AE791" s="212"/>
      <c r="AF791" s="212"/>
      <c r="AG791" s="213"/>
    </row>
    <row r="792" spans="4:36" ht="20.399999999999999" customHeight="1" x14ac:dyDescent="0.2">
      <c r="D792" s="214" t="s">
        <v>362</v>
      </c>
      <c r="E792" s="215"/>
      <c r="F792" s="215"/>
      <c r="G792" s="215"/>
      <c r="H792" s="215"/>
      <c r="I792" s="215"/>
      <c r="J792" s="215"/>
      <c r="K792" s="215"/>
      <c r="L792" s="215"/>
      <c r="M792" s="216"/>
      <c r="N792" s="211">
        <v>0</v>
      </c>
      <c r="O792" s="212"/>
      <c r="P792" s="212"/>
      <c r="Q792" s="213"/>
      <c r="R792" s="211"/>
      <c r="S792" s="212"/>
      <c r="T792" s="212"/>
      <c r="U792" s="213"/>
      <c r="V792" s="211"/>
      <c r="W792" s="212"/>
      <c r="X792" s="212"/>
      <c r="Y792" s="213"/>
      <c r="Z792" s="211"/>
      <c r="AA792" s="212"/>
      <c r="AB792" s="212"/>
      <c r="AC792" s="213"/>
      <c r="AD792" s="211">
        <f t="shared" si="23"/>
        <v>0</v>
      </c>
      <c r="AE792" s="212"/>
      <c r="AF792" s="212"/>
      <c r="AG792" s="213"/>
    </row>
    <row r="793" spans="4:36" ht="20.399999999999999" customHeight="1" x14ac:dyDescent="0.2">
      <c r="D793" s="214" t="s">
        <v>363</v>
      </c>
      <c r="E793" s="215"/>
      <c r="F793" s="215"/>
      <c r="G793" s="215"/>
      <c r="H793" s="215"/>
      <c r="I793" s="215"/>
      <c r="J793" s="215"/>
      <c r="K793" s="215"/>
      <c r="L793" s="215"/>
      <c r="M793" s="216"/>
      <c r="N793" s="211">
        <v>0</v>
      </c>
      <c r="O793" s="212"/>
      <c r="P793" s="212"/>
      <c r="Q793" s="213"/>
      <c r="R793" s="211"/>
      <c r="S793" s="212"/>
      <c r="T793" s="212"/>
      <c r="U793" s="213"/>
      <c r="V793" s="211"/>
      <c r="W793" s="212"/>
      <c r="X793" s="212"/>
      <c r="Y793" s="213"/>
      <c r="Z793" s="211"/>
      <c r="AA793" s="212"/>
      <c r="AB793" s="212"/>
      <c r="AC793" s="213"/>
      <c r="AD793" s="211">
        <f>SUM(N793:AC793)</f>
        <v>0</v>
      </c>
      <c r="AE793" s="212"/>
      <c r="AF793" s="212"/>
      <c r="AG793" s="213"/>
    </row>
    <row r="794" spans="4:36" ht="16.8" customHeight="1" x14ac:dyDescent="0.2">
      <c r="D794" s="214" t="s">
        <v>364</v>
      </c>
      <c r="E794" s="215"/>
      <c r="F794" s="215"/>
      <c r="G794" s="215"/>
      <c r="H794" s="215"/>
      <c r="I794" s="215"/>
      <c r="J794" s="215"/>
      <c r="K794" s="215"/>
      <c r="L794" s="215"/>
      <c r="M794" s="216"/>
      <c r="N794" s="211">
        <v>0</v>
      </c>
      <c r="O794" s="212"/>
      <c r="P794" s="212"/>
      <c r="Q794" s="213"/>
      <c r="R794" s="211"/>
      <c r="S794" s="212"/>
      <c r="T794" s="212"/>
      <c r="U794" s="213"/>
      <c r="V794" s="211"/>
      <c r="W794" s="212"/>
      <c r="X794" s="212"/>
      <c r="Y794" s="213"/>
      <c r="Z794" s="211"/>
      <c r="AA794" s="212"/>
      <c r="AB794" s="212"/>
      <c r="AC794" s="213"/>
      <c r="AD794" s="211">
        <f t="shared" si="23"/>
        <v>0</v>
      </c>
      <c r="AE794" s="212"/>
      <c r="AF794" s="212"/>
      <c r="AG794" s="213"/>
    </row>
    <row r="795" spans="4:36" ht="20.399999999999999" customHeight="1" x14ac:dyDescent="0.2">
      <c r="D795" s="214" t="s">
        <v>365</v>
      </c>
      <c r="E795" s="215"/>
      <c r="F795" s="215"/>
      <c r="G795" s="215"/>
      <c r="H795" s="215"/>
      <c r="I795" s="215"/>
      <c r="J795" s="215"/>
      <c r="K795" s="215"/>
      <c r="L795" s="215"/>
      <c r="M795" s="216"/>
      <c r="N795" s="211">
        <v>0</v>
      </c>
      <c r="O795" s="212"/>
      <c r="P795" s="212"/>
      <c r="Q795" s="213"/>
      <c r="R795" s="211"/>
      <c r="S795" s="212"/>
      <c r="T795" s="212"/>
      <c r="U795" s="213"/>
      <c r="V795" s="211"/>
      <c r="W795" s="212"/>
      <c r="X795" s="212"/>
      <c r="Y795" s="213"/>
      <c r="Z795" s="211"/>
      <c r="AA795" s="212"/>
      <c r="AB795" s="212"/>
      <c r="AC795" s="213"/>
      <c r="AD795" s="211">
        <f t="shared" si="23"/>
        <v>0</v>
      </c>
      <c r="AE795" s="212"/>
      <c r="AF795" s="212"/>
      <c r="AG795" s="213"/>
    </row>
    <row r="796" spans="4:36" ht="16.8" customHeight="1" x14ac:dyDescent="0.2">
      <c r="D796" s="214" t="s">
        <v>366</v>
      </c>
      <c r="E796" s="215"/>
      <c r="F796" s="215"/>
      <c r="G796" s="215"/>
      <c r="H796" s="215"/>
      <c r="I796" s="215"/>
      <c r="J796" s="215"/>
      <c r="K796" s="215"/>
      <c r="L796" s="215"/>
      <c r="M796" s="216"/>
      <c r="N796" s="211">
        <v>745</v>
      </c>
      <c r="O796" s="212"/>
      <c r="P796" s="212"/>
      <c r="Q796" s="213"/>
      <c r="R796" s="211"/>
      <c r="S796" s="212"/>
      <c r="T796" s="212"/>
      <c r="U796" s="213"/>
      <c r="V796" s="211"/>
      <c r="W796" s="212"/>
      <c r="X796" s="212"/>
      <c r="Y796" s="213"/>
      <c r="Z796" s="211"/>
      <c r="AA796" s="212"/>
      <c r="AB796" s="212"/>
      <c r="AC796" s="213"/>
      <c r="AD796" s="211">
        <f t="shared" si="23"/>
        <v>745</v>
      </c>
      <c r="AE796" s="212"/>
      <c r="AF796" s="212"/>
      <c r="AG796" s="213"/>
      <c r="AJ796" s="5" t="s">
        <v>375</v>
      </c>
    </row>
    <row r="797" spans="4:36" ht="16.8" customHeight="1" x14ac:dyDescent="0.2">
      <c r="D797" s="214" t="s">
        <v>367</v>
      </c>
      <c r="E797" s="215"/>
      <c r="F797" s="215"/>
      <c r="G797" s="215"/>
      <c r="H797" s="215"/>
      <c r="I797" s="215"/>
      <c r="J797" s="215"/>
      <c r="K797" s="215"/>
      <c r="L797" s="215"/>
      <c r="M797" s="216"/>
      <c r="N797" s="211">
        <v>0</v>
      </c>
      <c r="O797" s="212"/>
      <c r="P797" s="212"/>
      <c r="Q797" s="213"/>
      <c r="R797" s="211"/>
      <c r="S797" s="212"/>
      <c r="T797" s="212"/>
      <c r="U797" s="213"/>
      <c r="V797" s="211"/>
      <c r="W797" s="212"/>
      <c r="X797" s="212"/>
      <c r="Y797" s="213"/>
      <c r="Z797" s="211"/>
      <c r="AA797" s="212"/>
      <c r="AB797" s="212"/>
      <c r="AC797" s="213"/>
      <c r="AD797" s="211">
        <f t="shared" si="23"/>
        <v>0</v>
      </c>
      <c r="AE797" s="212"/>
      <c r="AF797" s="212"/>
      <c r="AG797" s="213"/>
    </row>
    <row r="798" spans="4:36" ht="16.8" customHeight="1" x14ac:dyDescent="0.2">
      <c r="D798" s="214" t="s">
        <v>368</v>
      </c>
      <c r="E798" s="215"/>
      <c r="F798" s="215"/>
      <c r="G798" s="215"/>
      <c r="H798" s="215"/>
      <c r="I798" s="215"/>
      <c r="J798" s="215"/>
      <c r="K798" s="215"/>
      <c r="L798" s="215"/>
      <c r="M798" s="216"/>
      <c r="N798" s="211">
        <v>1441</v>
      </c>
      <c r="O798" s="212"/>
      <c r="P798" s="212"/>
      <c r="Q798" s="213"/>
      <c r="R798" s="211"/>
      <c r="S798" s="212"/>
      <c r="T798" s="212"/>
      <c r="U798" s="213"/>
      <c r="V798" s="211"/>
      <c r="W798" s="212"/>
      <c r="X798" s="212"/>
      <c r="Y798" s="213"/>
      <c r="Z798" s="211"/>
      <c r="AA798" s="212"/>
      <c r="AB798" s="212"/>
      <c r="AC798" s="213"/>
      <c r="AD798" s="211">
        <f t="shared" si="23"/>
        <v>1441</v>
      </c>
      <c r="AE798" s="212"/>
      <c r="AF798" s="212"/>
      <c r="AG798" s="213"/>
    </row>
    <row r="799" spans="4:36" ht="16.8" customHeight="1" x14ac:dyDescent="0.2">
      <c r="D799" s="214" t="s">
        <v>369</v>
      </c>
      <c r="E799" s="215"/>
      <c r="F799" s="215"/>
      <c r="G799" s="215"/>
      <c r="H799" s="215"/>
      <c r="I799" s="215"/>
      <c r="J799" s="215"/>
      <c r="K799" s="215"/>
      <c r="L799" s="215"/>
      <c r="M799" s="216"/>
      <c r="N799" s="211">
        <v>4836327</v>
      </c>
      <c r="O799" s="212"/>
      <c r="P799" s="212"/>
      <c r="Q799" s="213"/>
      <c r="R799" s="211"/>
      <c r="S799" s="212"/>
      <c r="T799" s="212"/>
      <c r="U799" s="213"/>
      <c r="V799" s="211"/>
      <c r="W799" s="212"/>
      <c r="X799" s="212"/>
      <c r="Y799" s="213"/>
      <c r="Z799" s="211">
        <f>-Z801</f>
        <v>580518</v>
      </c>
      <c r="AA799" s="212"/>
      <c r="AB799" s="212"/>
      <c r="AC799" s="213"/>
      <c r="AD799" s="211">
        <f>ROUNDDOWN(SUM(N799:AC799),0)</f>
        <v>5416845</v>
      </c>
      <c r="AE799" s="212"/>
      <c r="AF799" s="212"/>
      <c r="AG799" s="213"/>
      <c r="AH799" s="166" t="s">
        <v>2207</v>
      </c>
    </row>
    <row r="800" spans="4:36" ht="16.8" customHeight="1" x14ac:dyDescent="0.2">
      <c r="D800" s="214" t="s">
        <v>370</v>
      </c>
      <c r="E800" s="215"/>
      <c r="F800" s="215"/>
      <c r="G800" s="215"/>
      <c r="H800" s="215"/>
      <c r="I800" s="215"/>
      <c r="J800" s="215"/>
      <c r="K800" s="215"/>
      <c r="L800" s="215"/>
      <c r="M800" s="216"/>
      <c r="N800" s="211">
        <v>-5147926</v>
      </c>
      <c r="O800" s="212"/>
      <c r="P800" s="212"/>
      <c r="Q800" s="213"/>
      <c r="R800" s="211"/>
      <c r="S800" s="212"/>
      <c r="T800" s="212"/>
      <c r="U800" s="213"/>
      <c r="V800" s="211"/>
      <c r="W800" s="212"/>
      <c r="X800" s="212"/>
      <c r="Y800" s="213"/>
      <c r="Z800" s="211"/>
      <c r="AA800" s="212"/>
      <c r="AB800" s="212"/>
      <c r="AC800" s="213"/>
      <c r="AD800" s="211">
        <f t="shared" si="23"/>
        <v>-5147926</v>
      </c>
      <c r="AE800" s="212"/>
      <c r="AF800" s="212"/>
      <c r="AG800" s="213"/>
    </row>
    <row r="801" spans="4:33" ht="16.8" customHeight="1" x14ac:dyDescent="0.2">
      <c r="D801" s="214" t="s">
        <v>371</v>
      </c>
      <c r="E801" s="215"/>
      <c r="F801" s="215"/>
      <c r="G801" s="215"/>
      <c r="H801" s="215"/>
      <c r="I801" s="215"/>
      <c r="J801" s="215"/>
      <c r="K801" s="215"/>
      <c r="L801" s="215"/>
      <c r="M801" s="216"/>
      <c r="N801" s="472">
        <v>580518</v>
      </c>
      <c r="O801" s="473"/>
      <c r="P801" s="473"/>
      <c r="Q801" s="474"/>
      <c r="R801" s="472">
        <f>-VLOOKUP("H/V",'Účtovná osnova'!$A$1:$I$1068,6,FALSE)</f>
        <v>680783.96</v>
      </c>
      <c r="S801" s="473"/>
      <c r="T801" s="473"/>
      <c r="U801" s="474"/>
      <c r="V801" s="472"/>
      <c r="W801" s="473"/>
      <c r="X801" s="473"/>
      <c r="Y801" s="474"/>
      <c r="Z801" s="472">
        <f>-N801</f>
        <v>-580518</v>
      </c>
      <c r="AA801" s="473"/>
      <c r="AB801" s="473"/>
      <c r="AC801" s="474"/>
      <c r="AD801" s="211">
        <f t="shared" si="23"/>
        <v>680783.96</v>
      </c>
      <c r="AE801" s="212"/>
      <c r="AF801" s="212"/>
      <c r="AG801" s="213"/>
    </row>
    <row r="802" spans="4:33" ht="16.8" customHeight="1" x14ac:dyDescent="0.2">
      <c r="D802" s="214" t="s">
        <v>372</v>
      </c>
      <c r="E802" s="215"/>
      <c r="F802" s="215"/>
      <c r="G802" s="215"/>
      <c r="H802" s="215"/>
      <c r="I802" s="215"/>
      <c r="J802" s="215"/>
      <c r="K802" s="215"/>
      <c r="L802" s="215"/>
      <c r="M802" s="216"/>
      <c r="N802" s="211">
        <v>0</v>
      </c>
      <c r="O802" s="212"/>
      <c r="P802" s="212"/>
      <c r="Q802" s="213"/>
      <c r="R802" s="211"/>
      <c r="S802" s="212"/>
      <c r="T802" s="212"/>
      <c r="U802" s="213"/>
      <c r="V802" s="211"/>
      <c r="W802" s="212"/>
      <c r="X802" s="212"/>
      <c r="Y802" s="213"/>
      <c r="Z802" s="211"/>
      <c r="AA802" s="212"/>
      <c r="AB802" s="212"/>
      <c r="AC802" s="213"/>
      <c r="AD802" s="211">
        <f t="shared" si="23"/>
        <v>0</v>
      </c>
      <c r="AE802" s="212"/>
      <c r="AF802" s="212"/>
      <c r="AG802" s="213"/>
    </row>
    <row r="803" spans="4:33" ht="16.8" customHeight="1" x14ac:dyDescent="0.2">
      <c r="D803" s="214" t="s">
        <v>373</v>
      </c>
      <c r="E803" s="215"/>
      <c r="F803" s="215"/>
      <c r="G803" s="215"/>
      <c r="H803" s="215"/>
      <c r="I803" s="215"/>
      <c r="J803" s="215"/>
      <c r="K803" s="215"/>
      <c r="L803" s="215"/>
      <c r="M803" s="216"/>
      <c r="N803" s="211">
        <v>0</v>
      </c>
      <c r="O803" s="212"/>
      <c r="P803" s="212"/>
      <c r="Q803" s="213"/>
      <c r="R803" s="211"/>
      <c r="S803" s="212"/>
      <c r="T803" s="212"/>
      <c r="U803" s="213"/>
      <c r="V803" s="211"/>
      <c r="W803" s="212"/>
      <c r="X803" s="212"/>
      <c r="Y803" s="213"/>
      <c r="Z803" s="211"/>
      <c r="AA803" s="212"/>
      <c r="AB803" s="212"/>
      <c r="AC803" s="213"/>
      <c r="AD803" s="211">
        <f t="shared" si="23"/>
        <v>0</v>
      </c>
      <c r="AE803" s="212"/>
      <c r="AF803" s="212"/>
      <c r="AG803" s="213"/>
    </row>
    <row r="804" spans="4:33" ht="20.399999999999999" customHeight="1" thickBot="1" x14ac:dyDescent="0.25">
      <c r="D804" s="225" t="s">
        <v>374</v>
      </c>
      <c r="E804" s="226"/>
      <c r="F804" s="226"/>
      <c r="G804" s="226"/>
      <c r="H804" s="226"/>
      <c r="I804" s="226"/>
      <c r="J804" s="226"/>
      <c r="K804" s="226"/>
      <c r="L804" s="226"/>
      <c r="M804" s="227"/>
      <c r="N804" s="217">
        <v>0</v>
      </c>
      <c r="O804" s="218"/>
      <c r="P804" s="218"/>
      <c r="Q804" s="219"/>
      <c r="R804" s="217"/>
      <c r="S804" s="218"/>
      <c r="T804" s="218"/>
      <c r="U804" s="219"/>
      <c r="V804" s="217"/>
      <c r="W804" s="218"/>
      <c r="X804" s="218"/>
      <c r="Y804" s="219"/>
      <c r="Z804" s="217"/>
      <c r="AA804" s="218"/>
      <c r="AB804" s="218"/>
      <c r="AC804" s="219"/>
      <c r="AD804" s="217">
        <f t="shared" si="23"/>
        <v>0</v>
      </c>
      <c r="AE804" s="218"/>
      <c r="AF804" s="218"/>
      <c r="AG804" s="219"/>
    </row>
    <row r="805" spans="4:33" ht="14.25" customHeight="1" x14ac:dyDescent="0.2">
      <c r="D805" s="77"/>
      <c r="E805" s="77"/>
      <c r="F805" s="77"/>
      <c r="G805" s="77"/>
      <c r="H805" s="77"/>
      <c r="I805" s="77"/>
      <c r="J805" s="77"/>
      <c r="K805" s="77"/>
      <c r="L805" s="77"/>
      <c r="M805" s="77"/>
      <c r="N805" s="77"/>
      <c r="O805" s="77"/>
      <c r="P805" s="77"/>
      <c r="Q805" s="77"/>
      <c r="R805" s="77"/>
      <c r="S805" s="77"/>
      <c r="T805" s="77"/>
      <c r="U805" s="77"/>
      <c r="V805" s="77"/>
      <c r="W805" s="77"/>
      <c r="X805" s="77"/>
      <c r="Y805" s="77"/>
      <c r="Z805" s="77"/>
      <c r="AA805" s="77"/>
      <c r="AB805" s="77"/>
      <c r="AC805" s="77"/>
      <c r="AD805" s="77"/>
      <c r="AE805" s="77"/>
      <c r="AF805" s="77"/>
      <c r="AG805" s="77"/>
    </row>
    <row r="806" spans="4:33" ht="25.5" customHeight="1" thickBot="1" x14ac:dyDescent="0.25">
      <c r="D806" s="77"/>
      <c r="E806" s="77"/>
      <c r="F806" s="77"/>
      <c r="G806" s="77"/>
      <c r="H806" s="77"/>
      <c r="I806" s="77"/>
      <c r="J806" s="77"/>
      <c r="K806" s="77"/>
      <c r="L806" s="77"/>
      <c r="M806" s="77"/>
      <c r="N806" s="77"/>
      <c r="O806" s="77"/>
      <c r="P806" s="77"/>
      <c r="Q806" s="77"/>
      <c r="R806" s="77"/>
      <c r="S806" s="77"/>
      <c r="T806" s="77"/>
      <c r="U806" s="77"/>
      <c r="V806" s="77"/>
      <c r="W806" s="77"/>
      <c r="X806" s="77"/>
      <c r="Y806" s="77"/>
      <c r="Z806" s="77"/>
      <c r="AA806" s="77"/>
      <c r="AB806" s="77"/>
      <c r="AC806" s="77"/>
      <c r="AD806" s="77"/>
      <c r="AE806" s="77"/>
      <c r="AF806" s="77"/>
      <c r="AG806" s="77"/>
    </row>
    <row r="807" spans="4:33" ht="14.25" customHeight="1" thickBot="1" x14ac:dyDescent="0.25">
      <c r="D807" s="475" t="s">
        <v>353</v>
      </c>
      <c r="E807" s="476"/>
      <c r="F807" s="476"/>
      <c r="G807" s="476"/>
      <c r="H807" s="476"/>
      <c r="I807" s="476"/>
      <c r="J807" s="476"/>
      <c r="K807" s="476"/>
      <c r="L807" s="476"/>
      <c r="M807" s="477"/>
      <c r="N807" s="300" t="s">
        <v>17</v>
      </c>
      <c r="O807" s="301"/>
      <c r="P807" s="301"/>
      <c r="Q807" s="301"/>
      <c r="R807" s="301"/>
      <c r="S807" s="301"/>
      <c r="T807" s="301"/>
      <c r="U807" s="301"/>
      <c r="V807" s="301"/>
      <c r="W807" s="301"/>
      <c r="X807" s="301"/>
      <c r="Y807" s="301"/>
      <c r="Z807" s="301"/>
      <c r="AA807" s="301"/>
      <c r="AB807" s="301"/>
      <c r="AC807" s="301"/>
      <c r="AD807" s="301"/>
      <c r="AE807" s="301"/>
      <c r="AF807" s="301"/>
      <c r="AG807" s="302"/>
    </row>
    <row r="808" spans="4:33" ht="53.25" customHeight="1" thickBot="1" x14ac:dyDescent="0.25">
      <c r="D808" s="478"/>
      <c r="E808" s="479"/>
      <c r="F808" s="479"/>
      <c r="G808" s="479"/>
      <c r="H808" s="479"/>
      <c r="I808" s="479"/>
      <c r="J808" s="479"/>
      <c r="K808" s="479"/>
      <c r="L808" s="479"/>
      <c r="M808" s="480"/>
      <c r="N808" s="365" t="s">
        <v>354</v>
      </c>
      <c r="O808" s="366"/>
      <c r="P808" s="366"/>
      <c r="Q808" s="367"/>
      <c r="R808" s="365" t="s">
        <v>88</v>
      </c>
      <c r="S808" s="366"/>
      <c r="T808" s="366"/>
      <c r="U808" s="367"/>
      <c r="V808" s="365" t="s">
        <v>89</v>
      </c>
      <c r="W808" s="366"/>
      <c r="X808" s="366"/>
      <c r="Y808" s="367"/>
      <c r="Z808" s="365" t="s">
        <v>90</v>
      </c>
      <c r="AA808" s="366"/>
      <c r="AB808" s="366"/>
      <c r="AC808" s="367"/>
      <c r="AD808" s="365" t="s">
        <v>355</v>
      </c>
      <c r="AE808" s="366"/>
      <c r="AF808" s="366"/>
      <c r="AG808" s="367"/>
    </row>
    <row r="809" spans="4:33" ht="16.8" customHeight="1" x14ac:dyDescent="0.2">
      <c r="D809" s="351" t="s">
        <v>356</v>
      </c>
      <c r="E809" s="352"/>
      <c r="F809" s="352"/>
      <c r="G809" s="352"/>
      <c r="H809" s="352"/>
      <c r="I809" s="352"/>
      <c r="J809" s="352"/>
      <c r="K809" s="352"/>
      <c r="L809" s="352"/>
      <c r="M809" s="353"/>
      <c r="N809" s="271">
        <v>2956639</v>
      </c>
      <c r="O809" s="272"/>
      <c r="P809" s="272"/>
      <c r="Q809" s="273"/>
      <c r="R809" s="271"/>
      <c r="S809" s="272"/>
      <c r="T809" s="272"/>
      <c r="U809" s="273"/>
      <c r="V809" s="271"/>
      <c r="W809" s="272"/>
      <c r="X809" s="272"/>
      <c r="Y809" s="273"/>
      <c r="Z809" s="271"/>
      <c r="AA809" s="272"/>
      <c r="AB809" s="272"/>
      <c r="AC809" s="273"/>
      <c r="AD809" s="271">
        <f>SUM(N809:AC809)</f>
        <v>2956639</v>
      </c>
      <c r="AE809" s="272"/>
      <c r="AF809" s="272"/>
      <c r="AG809" s="273"/>
    </row>
    <row r="810" spans="4:33" ht="16.8" customHeight="1" x14ac:dyDescent="0.2">
      <c r="D810" s="214" t="s">
        <v>357</v>
      </c>
      <c r="E810" s="215"/>
      <c r="F810" s="215"/>
      <c r="G810" s="215"/>
      <c r="H810" s="215"/>
      <c r="I810" s="215"/>
      <c r="J810" s="215"/>
      <c r="K810" s="215"/>
      <c r="L810" s="215"/>
      <c r="M810" s="216"/>
      <c r="N810" s="211">
        <v>0</v>
      </c>
      <c r="O810" s="212"/>
      <c r="P810" s="212"/>
      <c r="Q810" s="213"/>
      <c r="R810" s="211"/>
      <c r="S810" s="212"/>
      <c r="T810" s="212"/>
      <c r="U810" s="213"/>
      <c r="V810" s="211"/>
      <c r="W810" s="212"/>
      <c r="X810" s="212"/>
      <c r="Y810" s="213"/>
      <c r="Z810" s="211"/>
      <c r="AA810" s="212"/>
      <c r="AB810" s="212"/>
      <c r="AC810" s="213"/>
      <c r="AD810" s="211">
        <f t="shared" ref="AD810:AD815" si="24">SUM(N810:AC810)</f>
        <v>0</v>
      </c>
      <c r="AE810" s="212"/>
      <c r="AF810" s="212"/>
      <c r="AG810" s="213"/>
    </row>
    <row r="811" spans="4:33" ht="16.8" customHeight="1" x14ac:dyDescent="0.2">
      <c r="D811" s="214" t="s">
        <v>358</v>
      </c>
      <c r="E811" s="215"/>
      <c r="F811" s="215"/>
      <c r="G811" s="215"/>
      <c r="H811" s="215"/>
      <c r="I811" s="215"/>
      <c r="J811" s="215"/>
      <c r="K811" s="215"/>
      <c r="L811" s="215"/>
      <c r="M811" s="216"/>
      <c r="N811" s="211">
        <v>0</v>
      </c>
      <c r="O811" s="212"/>
      <c r="P811" s="212"/>
      <c r="Q811" s="213"/>
      <c r="R811" s="211"/>
      <c r="S811" s="212"/>
      <c r="T811" s="212"/>
      <c r="U811" s="213"/>
      <c r="V811" s="211"/>
      <c r="W811" s="212"/>
      <c r="X811" s="212"/>
      <c r="Y811" s="213"/>
      <c r="Z811" s="211"/>
      <c r="AA811" s="212"/>
      <c r="AB811" s="212"/>
      <c r="AC811" s="213"/>
      <c r="AD811" s="211">
        <f t="shared" si="24"/>
        <v>0</v>
      </c>
      <c r="AE811" s="212"/>
      <c r="AF811" s="212"/>
      <c r="AG811" s="213"/>
    </row>
    <row r="812" spans="4:33" ht="16.8" customHeight="1" x14ac:dyDescent="0.2">
      <c r="D812" s="214" t="s">
        <v>359</v>
      </c>
      <c r="E812" s="215"/>
      <c r="F812" s="215"/>
      <c r="G812" s="215"/>
      <c r="H812" s="215"/>
      <c r="I812" s="215"/>
      <c r="J812" s="215"/>
      <c r="K812" s="215"/>
      <c r="L812" s="215"/>
      <c r="M812" s="216"/>
      <c r="N812" s="211">
        <v>0</v>
      </c>
      <c r="O812" s="212"/>
      <c r="P812" s="212"/>
      <c r="Q812" s="213"/>
      <c r="R812" s="211"/>
      <c r="S812" s="212"/>
      <c r="T812" s="212"/>
      <c r="U812" s="213"/>
      <c r="V812" s="211"/>
      <c r="W812" s="212"/>
      <c r="X812" s="212"/>
      <c r="Y812" s="213"/>
      <c r="Z812" s="211"/>
      <c r="AA812" s="212"/>
      <c r="AB812" s="212"/>
      <c r="AC812" s="213"/>
      <c r="AD812" s="211">
        <f t="shared" si="24"/>
        <v>0</v>
      </c>
      <c r="AE812" s="212"/>
      <c r="AF812" s="212"/>
      <c r="AG812" s="213"/>
    </row>
    <row r="813" spans="4:33" ht="16.8" customHeight="1" x14ac:dyDescent="0.2">
      <c r="D813" s="214" t="s">
        <v>360</v>
      </c>
      <c r="E813" s="215"/>
      <c r="F813" s="215"/>
      <c r="G813" s="215"/>
      <c r="H813" s="215"/>
      <c r="I813" s="215"/>
      <c r="J813" s="215"/>
      <c r="K813" s="215"/>
      <c r="L813" s="215"/>
      <c r="M813" s="216"/>
      <c r="N813" s="211">
        <v>0</v>
      </c>
      <c r="O813" s="212"/>
      <c r="P813" s="212"/>
      <c r="Q813" s="213"/>
      <c r="R813" s="211"/>
      <c r="S813" s="212"/>
      <c r="T813" s="212"/>
      <c r="U813" s="213"/>
      <c r="V813" s="211"/>
      <c r="W813" s="212"/>
      <c r="X813" s="212"/>
      <c r="Y813" s="213"/>
      <c r="Z813" s="211"/>
      <c r="AA813" s="212"/>
      <c r="AB813" s="212"/>
      <c r="AC813" s="213"/>
      <c r="AD813" s="211">
        <f t="shared" si="24"/>
        <v>0</v>
      </c>
      <c r="AE813" s="212"/>
      <c r="AF813" s="212"/>
      <c r="AG813" s="213"/>
    </row>
    <row r="814" spans="4:33" ht="16.8" customHeight="1" x14ac:dyDescent="0.2">
      <c r="D814" s="214" t="s">
        <v>361</v>
      </c>
      <c r="E814" s="215"/>
      <c r="F814" s="215"/>
      <c r="G814" s="215"/>
      <c r="H814" s="215"/>
      <c r="I814" s="215"/>
      <c r="J814" s="215"/>
      <c r="K814" s="215"/>
      <c r="L814" s="215"/>
      <c r="M814" s="216"/>
      <c r="N814" s="211">
        <v>4346417</v>
      </c>
      <c r="O814" s="212"/>
      <c r="P814" s="212"/>
      <c r="Q814" s="213"/>
      <c r="R814" s="211"/>
      <c r="S814" s="212"/>
      <c r="T814" s="212"/>
      <c r="U814" s="213"/>
      <c r="V814" s="211"/>
      <c r="W814" s="212"/>
      <c r="X814" s="212"/>
      <c r="Y814" s="213"/>
      <c r="Z814" s="211"/>
      <c r="AA814" s="212"/>
      <c r="AB814" s="212"/>
      <c r="AC814" s="213"/>
      <c r="AD814" s="211">
        <f t="shared" si="24"/>
        <v>4346417</v>
      </c>
      <c r="AE814" s="212"/>
      <c r="AF814" s="212"/>
      <c r="AG814" s="213"/>
    </row>
    <row r="815" spans="4:33" ht="20.399999999999999" customHeight="1" x14ac:dyDescent="0.2">
      <c r="D815" s="214" t="s">
        <v>362</v>
      </c>
      <c r="E815" s="215"/>
      <c r="F815" s="215"/>
      <c r="G815" s="215"/>
      <c r="H815" s="215"/>
      <c r="I815" s="215"/>
      <c r="J815" s="215"/>
      <c r="K815" s="215"/>
      <c r="L815" s="215"/>
      <c r="M815" s="216"/>
      <c r="N815" s="211">
        <v>0</v>
      </c>
      <c r="O815" s="212"/>
      <c r="P815" s="212"/>
      <c r="Q815" s="213"/>
      <c r="R815" s="211"/>
      <c r="S815" s="212"/>
      <c r="T815" s="212"/>
      <c r="U815" s="213"/>
      <c r="V815" s="211"/>
      <c r="W815" s="212"/>
      <c r="X815" s="212"/>
      <c r="Y815" s="213"/>
      <c r="Z815" s="211"/>
      <c r="AA815" s="212"/>
      <c r="AB815" s="212"/>
      <c r="AC815" s="213"/>
      <c r="AD815" s="211">
        <f t="shared" si="24"/>
        <v>0</v>
      </c>
      <c r="AE815" s="212"/>
      <c r="AF815" s="212"/>
      <c r="AG815" s="213"/>
    </row>
    <row r="816" spans="4:33" ht="20.399999999999999" customHeight="1" x14ac:dyDescent="0.2">
      <c r="D816" s="214" t="s">
        <v>363</v>
      </c>
      <c r="E816" s="215"/>
      <c r="F816" s="215"/>
      <c r="G816" s="215"/>
      <c r="H816" s="215"/>
      <c r="I816" s="215"/>
      <c r="J816" s="215"/>
      <c r="K816" s="215"/>
      <c r="L816" s="215"/>
      <c r="M816" s="216"/>
      <c r="N816" s="211">
        <v>0</v>
      </c>
      <c r="O816" s="212"/>
      <c r="P816" s="212"/>
      <c r="Q816" s="213"/>
      <c r="R816" s="211"/>
      <c r="S816" s="212"/>
      <c r="T816" s="212"/>
      <c r="U816" s="213"/>
      <c r="V816" s="211"/>
      <c r="W816" s="212"/>
      <c r="X816" s="212"/>
      <c r="Y816" s="213"/>
      <c r="Z816" s="211"/>
      <c r="AA816" s="212"/>
      <c r="AB816" s="212"/>
      <c r="AC816" s="213"/>
      <c r="AD816" s="211">
        <f>SUM(N816:AC816)</f>
        <v>0</v>
      </c>
      <c r="AE816" s="212"/>
      <c r="AF816" s="212"/>
      <c r="AG816" s="213"/>
    </row>
    <row r="817" spans="1:34" ht="20.399999999999999" customHeight="1" x14ac:dyDescent="0.2">
      <c r="D817" s="214" t="s">
        <v>364</v>
      </c>
      <c r="E817" s="215"/>
      <c r="F817" s="215"/>
      <c r="G817" s="215"/>
      <c r="H817" s="215"/>
      <c r="I817" s="215"/>
      <c r="J817" s="215"/>
      <c r="K817" s="215"/>
      <c r="L817" s="215"/>
      <c r="M817" s="216"/>
      <c r="N817" s="211">
        <v>0</v>
      </c>
      <c r="O817" s="212"/>
      <c r="P817" s="212"/>
      <c r="Q817" s="213"/>
      <c r="R817" s="211"/>
      <c r="S817" s="212"/>
      <c r="T817" s="212"/>
      <c r="U817" s="213"/>
      <c r="V817" s="211"/>
      <c r="W817" s="212"/>
      <c r="X817" s="212"/>
      <c r="Y817" s="213"/>
      <c r="Z817" s="211"/>
      <c r="AA817" s="212"/>
      <c r="AB817" s="212"/>
      <c r="AC817" s="213"/>
      <c r="AD817" s="211">
        <f t="shared" ref="AD817:AD821" si="25">SUM(N817:AC817)</f>
        <v>0</v>
      </c>
      <c r="AE817" s="212"/>
      <c r="AF817" s="212"/>
      <c r="AG817" s="213"/>
    </row>
    <row r="818" spans="1:34" ht="20.399999999999999" customHeight="1" x14ac:dyDescent="0.2">
      <c r="D818" s="214" t="s">
        <v>365</v>
      </c>
      <c r="E818" s="215"/>
      <c r="F818" s="215"/>
      <c r="G818" s="215"/>
      <c r="H818" s="215"/>
      <c r="I818" s="215"/>
      <c r="J818" s="215"/>
      <c r="K818" s="215"/>
      <c r="L818" s="215"/>
      <c r="M818" s="216"/>
      <c r="N818" s="211">
        <v>0</v>
      </c>
      <c r="O818" s="212"/>
      <c r="P818" s="212"/>
      <c r="Q818" s="213"/>
      <c r="R818" s="211"/>
      <c r="S818" s="212"/>
      <c r="T818" s="212"/>
      <c r="U818" s="213"/>
      <c r="V818" s="211"/>
      <c r="W818" s="212"/>
      <c r="X818" s="212"/>
      <c r="Y818" s="213"/>
      <c r="Z818" s="211"/>
      <c r="AA818" s="212"/>
      <c r="AB818" s="212"/>
      <c r="AC818" s="213"/>
      <c r="AD818" s="211">
        <f t="shared" si="25"/>
        <v>0</v>
      </c>
      <c r="AE818" s="212"/>
      <c r="AF818" s="212"/>
      <c r="AG818" s="213"/>
    </row>
    <row r="819" spans="1:34" ht="16.8" customHeight="1" x14ac:dyDescent="0.2">
      <c r="D819" s="214" t="s">
        <v>366</v>
      </c>
      <c r="E819" s="215"/>
      <c r="F819" s="215"/>
      <c r="G819" s="215"/>
      <c r="H819" s="215"/>
      <c r="I819" s="215"/>
      <c r="J819" s="215"/>
      <c r="K819" s="215"/>
      <c r="L819" s="215"/>
      <c r="M819" s="216"/>
      <c r="N819" s="211">
        <v>745</v>
      </c>
      <c r="O819" s="212"/>
      <c r="P819" s="212"/>
      <c r="Q819" s="213"/>
      <c r="R819" s="211"/>
      <c r="S819" s="212"/>
      <c r="T819" s="212"/>
      <c r="U819" s="213"/>
      <c r="V819" s="211"/>
      <c r="W819" s="212"/>
      <c r="X819" s="212"/>
      <c r="Y819" s="213"/>
      <c r="Z819" s="211"/>
      <c r="AA819" s="212"/>
      <c r="AB819" s="212"/>
      <c r="AC819" s="213"/>
      <c r="AD819" s="211">
        <f t="shared" si="25"/>
        <v>745</v>
      </c>
      <c r="AE819" s="212"/>
      <c r="AF819" s="212"/>
      <c r="AG819" s="213"/>
    </row>
    <row r="820" spans="1:34" ht="16.8" customHeight="1" x14ac:dyDescent="0.2">
      <c r="D820" s="214" t="s">
        <v>367</v>
      </c>
      <c r="E820" s="215"/>
      <c r="F820" s="215"/>
      <c r="G820" s="215"/>
      <c r="H820" s="215"/>
      <c r="I820" s="215"/>
      <c r="J820" s="215"/>
      <c r="K820" s="215"/>
      <c r="L820" s="215"/>
      <c r="M820" s="216"/>
      <c r="N820" s="211">
        <v>0</v>
      </c>
      <c r="O820" s="212"/>
      <c r="P820" s="212"/>
      <c r="Q820" s="213"/>
      <c r="R820" s="211"/>
      <c r="S820" s="212"/>
      <c r="T820" s="212"/>
      <c r="U820" s="213"/>
      <c r="V820" s="211"/>
      <c r="W820" s="212"/>
      <c r="X820" s="212"/>
      <c r="Y820" s="213"/>
      <c r="Z820" s="211"/>
      <c r="AA820" s="212"/>
      <c r="AB820" s="212"/>
      <c r="AC820" s="213"/>
      <c r="AD820" s="211">
        <f t="shared" si="25"/>
        <v>0</v>
      </c>
      <c r="AE820" s="212"/>
      <c r="AF820" s="212"/>
      <c r="AG820" s="213"/>
    </row>
    <row r="821" spans="1:34" ht="16.8" customHeight="1" x14ac:dyDescent="0.2">
      <c r="D821" s="214" t="s">
        <v>368</v>
      </c>
      <c r="E821" s="215"/>
      <c r="F821" s="215"/>
      <c r="G821" s="215"/>
      <c r="H821" s="215"/>
      <c r="I821" s="215"/>
      <c r="J821" s="215"/>
      <c r="K821" s="215"/>
      <c r="L821" s="215"/>
      <c r="M821" s="216"/>
      <c r="N821" s="211">
        <v>1441</v>
      </c>
      <c r="O821" s="212"/>
      <c r="P821" s="212"/>
      <c r="Q821" s="213"/>
      <c r="R821" s="211"/>
      <c r="S821" s="212"/>
      <c r="T821" s="212"/>
      <c r="U821" s="213"/>
      <c r="V821" s="211"/>
      <c r="W821" s="212"/>
      <c r="X821" s="212"/>
      <c r="Y821" s="213"/>
      <c r="Z821" s="211"/>
      <c r="AA821" s="212"/>
      <c r="AB821" s="212"/>
      <c r="AC821" s="213"/>
      <c r="AD821" s="211">
        <f t="shared" si="25"/>
        <v>1441</v>
      </c>
      <c r="AE821" s="212"/>
      <c r="AF821" s="212"/>
      <c r="AG821" s="213"/>
    </row>
    <row r="822" spans="1:34" ht="16.8" customHeight="1" x14ac:dyDescent="0.2">
      <c r="D822" s="214" t="s">
        <v>369</v>
      </c>
      <c r="E822" s="215"/>
      <c r="F822" s="215"/>
      <c r="G822" s="215"/>
      <c r="H822" s="215"/>
      <c r="I822" s="215"/>
      <c r="J822" s="215"/>
      <c r="K822" s="215"/>
      <c r="L822" s="215"/>
      <c r="M822" s="216"/>
      <c r="N822" s="211">
        <v>3979436</v>
      </c>
      <c r="O822" s="212"/>
      <c r="P822" s="212"/>
      <c r="Q822" s="213"/>
      <c r="R822" s="211"/>
      <c r="S822" s="212"/>
      <c r="T822" s="212"/>
      <c r="U822" s="213"/>
      <c r="V822" s="211"/>
      <c r="W822" s="212"/>
      <c r="X822" s="212"/>
      <c r="Y822" s="213"/>
      <c r="Z822" s="211">
        <v>856891</v>
      </c>
      <c r="AA822" s="212"/>
      <c r="AB822" s="212"/>
      <c r="AC822" s="213"/>
      <c r="AD822" s="211">
        <f>SUM(N822:AC822)</f>
        <v>4836327</v>
      </c>
      <c r="AE822" s="212"/>
      <c r="AF822" s="212"/>
      <c r="AG822" s="213"/>
    </row>
    <row r="823" spans="1:34" ht="16.8" customHeight="1" x14ac:dyDescent="0.2">
      <c r="D823" s="214" t="s">
        <v>370</v>
      </c>
      <c r="E823" s="215"/>
      <c r="F823" s="215"/>
      <c r="G823" s="215"/>
      <c r="H823" s="215"/>
      <c r="I823" s="215"/>
      <c r="J823" s="215"/>
      <c r="K823" s="215"/>
      <c r="L823" s="215"/>
      <c r="M823" s="216"/>
      <c r="N823" s="211">
        <v>-5147926</v>
      </c>
      <c r="O823" s="212"/>
      <c r="P823" s="212"/>
      <c r="Q823" s="213"/>
      <c r="R823" s="211"/>
      <c r="S823" s="212"/>
      <c r="T823" s="212"/>
      <c r="U823" s="213"/>
      <c r="V823" s="211"/>
      <c r="W823" s="212"/>
      <c r="X823" s="212"/>
      <c r="Y823" s="213"/>
      <c r="Z823" s="211"/>
      <c r="AA823" s="212"/>
      <c r="AB823" s="212"/>
      <c r="AC823" s="213"/>
      <c r="AD823" s="211">
        <f t="shared" ref="AD823:AD827" si="26">SUM(N823:AC823)</f>
        <v>-5147926</v>
      </c>
      <c r="AE823" s="212"/>
      <c r="AF823" s="212"/>
      <c r="AG823" s="213"/>
    </row>
    <row r="824" spans="1:34" ht="16.8" customHeight="1" x14ac:dyDescent="0.2">
      <c r="D824" s="214" t="s">
        <v>371</v>
      </c>
      <c r="E824" s="215"/>
      <c r="F824" s="215"/>
      <c r="G824" s="215"/>
      <c r="H824" s="215"/>
      <c r="I824" s="215"/>
      <c r="J824" s="215"/>
      <c r="K824" s="215"/>
      <c r="L824" s="215"/>
      <c r="M824" s="216"/>
      <c r="N824" s="472">
        <v>856891</v>
      </c>
      <c r="O824" s="473"/>
      <c r="P824" s="473"/>
      <c r="Q824" s="474"/>
      <c r="R824" s="472">
        <v>580518</v>
      </c>
      <c r="S824" s="473"/>
      <c r="T824" s="473"/>
      <c r="U824" s="474"/>
      <c r="V824" s="472"/>
      <c r="W824" s="473"/>
      <c r="X824" s="473"/>
      <c r="Y824" s="474"/>
      <c r="Z824" s="472">
        <v>-856891</v>
      </c>
      <c r="AA824" s="473"/>
      <c r="AB824" s="473"/>
      <c r="AC824" s="474"/>
      <c r="AD824" s="211">
        <f t="shared" si="26"/>
        <v>580518</v>
      </c>
      <c r="AE824" s="212"/>
      <c r="AF824" s="212"/>
      <c r="AG824" s="213"/>
    </row>
    <row r="825" spans="1:34" ht="16.8" customHeight="1" x14ac:dyDescent="0.2">
      <c r="D825" s="214" t="s">
        <v>372</v>
      </c>
      <c r="E825" s="215"/>
      <c r="F825" s="215"/>
      <c r="G825" s="215"/>
      <c r="H825" s="215"/>
      <c r="I825" s="215"/>
      <c r="J825" s="215"/>
      <c r="K825" s="215"/>
      <c r="L825" s="215"/>
      <c r="M825" s="216"/>
      <c r="N825" s="211">
        <v>0</v>
      </c>
      <c r="O825" s="212"/>
      <c r="P825" s="212"/>
      <c r="Q825" s="213"/>
      <c r="R825" s="211"/>
      <c r="S825" s="212"/>
      <c r="T825" s="212"/>
      <c r="U825" s="213"/>
      <c r="V825" s="211"/>
      <c r="W825" s="212"/>
      <c r="X825" s="212"/>
      <c r="Y825" s="213"/>
      <c r="Z825" s="211"/>
      <c r="AA825" s="212"/>
      <c r="AB825" s="212"/>
      <c r="AC825" s="213"/>
      <c r="AD825" s="211">
        <f t="shared" si="26"/>
        <v>0</v>
      </c>
      <c r="AE825" s="212"/>
      <c r="AF825" s="212"/>
      <c r="AG825" s="213"/>
    </row>
    <row r="826" spans="1:34" ht="16.8" customHeight="1" x14ac:dyDescent="0.2">
      <c r="D826" s="214" t="s">
        <v>373</v>
      </c>
      <c r="E826" s="215"/>
      <c r="F826" s="215"/>
      <c r="G826" s="215"/>
      <c r="H826" s="215"/>
      <c r="I826" s="215"/>
      <c r="J826" s="215"/>
      <c r="K826" s="215"/>
      <c r="L826" s="215"/>
      <c r="M826" s="216"/>
      <c r="N826" s="211">
        <v>0</v>
      </c>
      <c r="O826" s="212"/>
      <c r="P826" s="212"/>
      <c r="Q826" s="213"/>
      <c r="R826" s="211"/>
      <c r="S826" s="212"/>
      <c r="T826" s="212"/>
      <c r="U826" s="213"/>
      <c r="V826" s="211"/>
      <c r="W826" s="212"/>
      <c r="X826" s="212"/>
      <c r="Y826" s="213"/>
      <c r="Z826" s="211"/>
      <c r="AA826" s="212"/>
      <c r="AB826" s="212"/>
      <c r="AC826" s="213"/>
      <c r="AD826" s="211">
        <f t="shared" si="26"/>
        <v>0</v>
      </c>
      <c r="AE826" s="212"/>
      <c r="AF826" s="212"/>
      <c r="AG826" s="213"/>
    </row>
    <row r="827" spans="1:34" ht="20.399999999999999" customHeight="1" thickBot="1" x14ac:dyDescent="0.25">
      <c r="D827" s="225" t="s">
        <v>374</v>
      </c>
      <c r="E827" s="226"/>
      <c r="F827" s="226"/>
      <c r="G827" s="226"/>
      <c r="H827" s="226"/>
      <c r="I827" s="226"/>
      <c r="J827" s="226"/>
      <c r="K827" s="226"/>
      <c r="L827" s="226"/>
      <c r="M827" s="227"/>
      <c r="N827" s="217">
        <v>0</v>
      </c>
      <c r="O827" s="218"/>
      <c r="P827" s="218"/>
      <c r="Q827" s="219"/>
      <c r="R827" s="217"/>
      <c r="S827" s="218"/>
      <c r="T827" s="218"/>
      <c r="U827" s="219"/>
      <c r="V827" s="217"/>
      <c r="W827" s="218"/>
      <c r="X827" s="218"/>
      <c r="Y827" s="219"/>
      <c r="Z827" s="217"/>
      <c r="AA827" s="218"/>
      <c r="AB827" s="218"/>
      <c r="AC827" s="219"/>
      <c r="AD827" s="217">
        <f t="shared" si="26"/>
        <v>0</v>
      </c>
      <c r="AE827" s="218"/>
      <c r="AF827" s="218"/>
      <c r="AG827" s="219"/>
    </row>
    <row r="828" spans="1:34" s="69" customFormat="1" ht="15" customHeight="1" x14ac:dyDescent="0.2">
      <c r="A828" s="67"/>
      <c r="D828" s="85"/>
      <c r="E828" s="85"/>
      <c r="F828" s="85"/>
      <c r="G828" s="85"/>
      <c r="H828" s="85"/>
      <c r="I828" s="85"/>
      <c r="J828" s="85"/>
      <c r="K828" s="85"/>
      <c r="L828" s="85"/>
      <c r="M828" s="85"/>
      <c r="N828" s="71"/>
      <c r="O828" s="71"/>
      <c r="P828" s="71"/>
      <c r="Q828" s="71"/>
      <c r="R828" s="71"/>
      <c r="S828" s="71"/>
      <c r="T828" s="71"/>
      <c r="U828" s="71"/>
      <c r="V828" s="71"/>
      <c r="W828" s="71"/>
      <c r="X828" s="71"/>
      <c r="Y828" s="71"/>
      <c r="Z828" s="71"/>
      <c r="AA828" s="71"/>
      <c r="AB828" s="71"/>
      <c r="AC828" s="71"/>
      <c r="AD828" s="71"/>
      <c r="AE828" s="71"/>
      <c r="AF828" s="71"/>
      <c r="AG828" s="71"/>
      <c r="AH828" s="77"/>
    </row>
    <row r="829" spans="1:34" ht="14.25" customHeight="1" x14ac:dyDescent="0.2">
      <c r="D829" s="77"/>
      <c r="E829" s="77"/>
      <c r="F829" s="77"/>
      <c r="G829" s="77"/>
      <c r="H829" s="77"/>
      <c r="I829" s="77"/>
      <c r="J829" s="77"/>
      <c r="K829" s="77"/>
      <c r="L829" s="77"/>
      <c r="M829" s="77"/>
      <c r="N829" s="77"/>
      <c r="O829" s="77"/>
      <c r="P829" s="77"/>
      <c r="Q829" s="77"/>
      <c r="R829" s="77"/>
      <c r="S829" s="77"/>
      <c r="T829" s="77"/>
      <c r="U829" s="77"/>
      <c r="V829" s="77"/>
      <c r="W829" s="77"/>
      <c r="X829" s="77"/>
      <c r="Y829" s="77"/>
      <c r="Z829" s="77"/>
      <c r="AA829" s="77"/>
      <c r="AB829" s="77"/>
      <c r="AC829" s="77"/>
      <c r="AD829" s="77"/>
      <c r="AE829" s="77"/>
      <c r="AF829" s="77"/>
      <c r="AG829" s="77"/>
    </row>
    <row r="830" spans="1:34" ht="14.25" customHeight="1" x14ac:dyDescent="0.25">
      <c r="D830" s="186" t="s">
        <v>395</v>
      </c>
      <c r="E830" s="185"/>
      <c r="F830" s="185"/>
      <c r="G830" s="185"/>
      <c r="H830" s="185"/>
      <c r="I830" s="185"/>
      <c r="J830" s="185"/>
      <c r="K830" s="185"/>
      <c r="L830" s="185"/>
      <c r="M830" s="185"/>
      <c r="N830" s="185"/>
      <c r="O830" s="185"/>
      <c r="P830" s="185"/>
      <c r="Q830" s="185"/>
      <c r="R830" s="185"/>
      <c r="S830" s="185"/>
      <c r="T830" s="185"/>
      <c r="U830" s="185"/>
      <c r="V830" s="185"/>
      <c r="W830" s="185"/>
      <c r="X830" s="185"/>
      <c r="Y830" s="185"/>
      <c r="Z830" s="185"/>
      <c r="AA830" s="185"/>
      <c r="AB830" s="185"/>
      <c r="AC830" s="185"/>
      <c r="AD830" s="185"/>
      <c r="AE830" s="185"/>
      <c r="AF830" s="185"/>
      <c r="AG830" s="185"/>
    </row>
    <row r="831" spans="1:34" ht="14.25" customHeight="1" x14ac:dyDescent="0.2">
      <c r="D831" s="185"/>
      <c r="E831" s="185"/>
      <c r="F831" s="185"/>
      <c r="G831" s="185"/>
      <c r="H831" s="185"/>
      <c r="I831" s="185"/>
      <c r="J831" s="185"/>
      <c r="K831" s="185"/>
      <c r="L831" s="185"/>
      <c r="M831" s="185"/>
      <c r="N831" s="185"/>
      <c r="O831" s="185"/>
      <c r="P831" s="185"/>
      <c r="Q831" s="185"/>
      <c r="R831" s="185"/>
      <c r="S831" s="185"/>
      <c r="T831" s="185"/>
      <c r="U831" s="185"/>
      <c r="V831" s="185"/>
      <c r="W831" s="185"/>
      <c r="X831" s="185"/>
      <c r="Y831" s="185"/>
      <c r="Z831" s="185"/>
      <c r="AA831" s="185"/>
      <c r="AB831" s="185"/>
      <c r="AC831" s="185"/>
      <c r="AD831" s="185"/>
      <c r="AE831" s="185"/>
      <c r="AF831" s="185"/>
      <c r="AG831" s="185"/>
    </row>
    <row r="832" spans="1:34" ht="14.25" customHeight="1" x14ac:dyDescent="0.2">
      <c r="D832" s="207" t="s">
        <v>381</v>
      </c>
      <c r="E832" s="207"/>
      <c r="F832" s="207"/>
      <c r="G832" s="207"/>
      <c r="H832" s="207"/>
      <c r="I832" s="207"/>
      <c r="J832" s="207"/>
      <c r="K832" s="207"/>
      <c r="L832" s="207"/>
      <c r="M832" s="207"/>
      <c r="N832" s="207"/>
      <c r="O832" s="207"/>
      <c r="P832" s="207"/>
      <c r="Q832" s="207"/>
      <c r="R832" s="207"/>
      <c r="S832" s="207"/>
      <c r="T832" s="207"/>
      <c r="U832" s="207"/>
      <c r="V832" s="207"/>
      <c r="W832" s="207"/>
      <c r="X832" s="207"/>
      <c r="Y832" s="207"/>
      <c r="Z832" s="207"/>
      <c r="AA832" s="207"/>
      <c r="AB832" s="207"/>
      <c r="AC832" s="207"/>
      <c r="AD832" s="207"/>
      <c r="AE832" s="207"/>
      <c r="AF832" s="207"/>
      <c r="AG832" s="207"/>
    </row>
    <row r="833" spans="1:42" ht="14.25" customHeight="1" x14ac:dyDescent="0.2">
      <c r="D833" s="185"/>
      <c r="E833" s="185"/>
      <c r="F833" s="185"/>
      <c r="G833" s="185"/>
      <c r="H833" s="185"/>
      <c r="I833" s="185"/>
      <c r="J833" s="185"/>
      <c r="K833" s="185"/>
      <c r="L833" s="185"/>
      <c r="M833" s="185"/>
      <c r="N833" s="185"/>
      <c r="O833" s="185"/>
      <c r="P833" s="185"/>
      <c r="Q833" s="185"/>
      <c r="R833" s="185"/>
      <c r="S833" s="185"/>
      <c r="T833" s="185"/>
      <c r="U833" s="185"/>
      <c r="V833" s="185"/>
      <c r="W833" s="185"/>
      <c r="X833" s="185"/>
      <c r="Y833" s="185"/>
      <c r="Z833" s="185"/>
      <c r="AA833" s="185"/>
      <c r="AB833" s="185"/>
      <c r="AC833" s="185"/>
      <c r="AD833" s="185"/>
      <c r="AE833" s="185"/>
      <c r="AF833" s="185"/>
      <c r="AG833" s="185"/>
    </row>
    <row r="834" spans="1:42" ht="14.25" customHeight="1" x14ac:dyDescent="0.2">
      <c r="D834" s="185"/>
      <c r="E834" s="185"/>
      <c r="F834" s="185"/>
      <c r="G834" s="185"/>
      <c r="H834" s="185"/>
      <c r="I834" s="185"/>
      <c r="J834" s="185"/>
      <c r="K834" s="185"/>
      <c r="L834" s="185"/>
      <c r="M834" s="185"/>
      <c r="N834" s="185"/>
      <c r="O834" s="185"/>
      <c r="P834" s="185"/>
      <c r="Q834" s="185"/>
      <c r="R834" s="185"/>
      <c r="S834" s="185"/>
      <c r="T834" s="185"/>
      <c r="U834" s="185"/>
      <c r="V834" s="185"/>
      <c r="W834" s="185"/>
      <c r="X834" s="185"/>
      <c r="Y834" s="185"/>
      <c r="Z834" s="185"/>
      <c r="AA834" s="185"/>
      <c r="AB834" s="185"/>
      <c r="AC834" s="185"/>
      <c r="AD834" s="185"/>
      <c r="AE834" s="185"/>
      <c r="AF834" s="185"/>
      <c r="AG834" s="185"/>
    </row>
    <row r="835" spans="1:42" ht="14.25" customHeight="1" x14ac:dyDescent="0.25">
      <c r="D835" s="186" t="s">
        <v>396</v>
      </c>
      <c r="E835" s="185"/>
      <c r="F835" s="185"/>
      <c r="G835" s="185"/>
      <c r="H835" s="185"/>
      <c r="I835" s="185"/>
      <c r="J835" s="185"/>
      <c r="K835" s="185"/>
      <c r="L835" s="185"/>
      <c r="M835" s="185"/>
      <c r="N835" s="185"/>
      <c r="O835" s="185"/>
      <c r="P835" s="185"/>
      <c r="Q835" s="185"/>
      <c r="R835" s="185"/>
      <c r="S835" s="185"/>
      <c r="T835" s="185"/>
      <c r="U835" s="185"/>
      <c r="V835" s="185"/>
      <c r="W835" s="185"/>
      <c r="X835" s="185"/>
      <c r="Y835" s="185"/>
      <c r="Z835" s="185"/>
      <c r="AA835" s="185"/>
      <c r="AB835" s="185"/>
      <c r="AC835" s="185"/>
      <c r="AD835" s="185"/>
      <c r="AE835" s="185"/>
      <c r="AF835" s="185"/>
      <c r="AG835" s="185"/>
    </row>
    <row r="836" spans="1:42" ht="14.25" customHeight="1" x14ac:dyDescent="0.2">
      <c r="D836" s="185"/>
      <c r="E836" s="185"/>
      <c r="F836" s="185"/>
      <c r="G836" s="185"/>
      <c r="H836" s="185"/>
      <c r="I836" s="185"/>
      <c r="J836" s="185"/>
      <c r="K836" s="185"/>
      <c r="L836" s="185"/>
      <c r="M836" s="185"/>
      <c r="N836" s="185"/>
      <c r="O836" s="185"/>
      <c r="P836" s="185"/>
      <c r="Q836" s="185"/>
      <c r="R836" s="185"/>
      <c r="S836" s="185"/>
      <c r="T836" s="185"/>
      <c r="U836" s="185"/>
      <c r="V836" s="185"/>
      <c r="W836" s="185"/>
      <c r="X836" s="185"/>
      <c r="Y836" s="185"/>
      <c r="Z836" s="185"/>
      <c r="AA836" s="185"/>
      <c r="AB836" s="185"/>
      <c r="AC836" s="185"/>
      <c r="AD836" s="185"/>
      <c r="AE836" s="185"/>
      <c r="AF836" s="185"/>
      <c r="AG836" s="185"/>
    </row>
    <row r="837" spans="1:42" ht="14.25" customHeight="1" x14ac:dyDescent="0.2">
      <c r="D837" s="208" t="s">
        <v>2267</v>
      </c>
      <c r="E837" s="208"/>
      <c r="F837" s="208"/>
      <c r="G837" s="208"/>
      <c r="H837" s="208"/>
      <c r="I837" s="208"/>
      <c r="J837" s="208"/>
      <c r="K837" s="208"/>
      <c r="L837" s="208"/>
      <c r="M837" s="208"/>
      <c r="N837" s="208"/>
      <c r="O837" s="208"/>
      <c r="P837" s="208"/>
      <c r="Q837" s="208"/>
      <c r="R837" s="208"/>
      <c r="S837" s="208"/>
      <c r="T837" s="208"/>
      <c r="U837" s="208"/>
      <c r="V837" s="208"/>
      <c r="W837" s="208"/>
      <c r="X837" s="208"/>
      <c r="Y837" s="208"/>
      <c r="Z837" s="208"/>
      <c r="AA837" s="208"/>
      <c r="AB837" s="208"/>
      <c r="AC837" s="208"/>
      <c r="AD837" s="208"/>
      <c r="AE837" s="208"/>
      <c r="AF837" s="208"/>
      <c r="AG837" s="208"/>
    </row>
    <row r="838" spans="1:42" ht="14.25" customHeight="1" x14ac:dyDescent="0.2">
      <c r="D838" s="208"/>
      <c r="E838" s="208"/>
      <c r="F838" s="208"/>
      <c r="G838" s="208"/>
      <c r="H838" s="208"/>
      <c r="I838" s="208"/>
      <c r="J838" s="208"/>
      <c r="K838" s="208"/>
      <c r="L838" s="208"/>
      <c r="M838" s="208"/>
      <c r="N838" s="208"/>
      <c r="O838" s="208"/>
      <c r="P838" s="208"/>
      <c r="Q838" s="208"/>
      <c r="R838" s="208"/>
      <c r="S838" s="208"/>
      <c r="T838" s="208"/>
      <c r="U838" s="208"/>
      <c r="V838" s="208"/>
      <c r="W838" s="208"/>
      <c r="X838" s="208"/>
      <c r="Y838" s="208"/>
      <c r="Z838" s="208"/>
      <c r="AA838" s="208"/>
      <c r="AB838" s="208"/>
      <c r="AC838" s="208"/>
      <c r="AD838" s="208"/>
      <c r="AE838" s="208"/>
      <c r="AF838" s="208"/>
      <c r="AG838" s="208"/>
    </row>
    <row r="839" spans="1:42" ht="14.25" customHeight="1" x14ac:dyDescent="0.2">
      <c r="D839" s="281"/>
      <c r="E839" s="281"/>
      <c r="F839" s="520"/>
      <c r="G839" s="281"/>
      <c r="H839" s="281"/>
      <c r="I839" s="281"/>
      <c r="J839" s="281"/>
      <c r="K839" s="281"/>
      <c r="L839" s="281"/>
      <c r="M839" s="281"/>
      <c r="N839" s="281"/>
      <c r="O839" s="281"/>
      <c r="P839" s="281"/>
      <c r="Q839" s="281"/>
      <c r="R839" s="281"/>
      <c r="S839" s="281"/>
      <c r="T839" s="281"/>
      <c r="U839" s="281"/>
      <c r="V839" s="281"/>
      <c r="W839" s="281"/>
      <c r="X839" s="281"/>
      <c r="Y839" s="281"/>
      <c r="Z839" s="281"/>
      <c r="AA839" s="281"/>
      <c r="AB839" s="281"/>
      <c r="AC839" s="281"/>
      <c r="AD839" s="281"/>
      <c r="AE839" s="281"/>
      <c r="AF839" s="281"/>
      <c r="AG839" s="281"/>
    </row>
    <row r="840" spans="1:42" ht="10.199999999999999" x14ac:dyDescent="0.2">
      <c r="D840" s="521"/>
      <c r="E840" s="520"/>
      <c r="F840" s="521"/>
      <c r="G840" s="281"/>
      <c r="H840" s="281"/>
      <c r="I840" s="281"/>
      <c r="J840" s="281"/>
      <c r="K840" s="281"/>
      <c r="L840" s="281"/>
      <c r="M840" s="281"/>
      <c r="N840" s="281"/>
      <c r="O840" s="281"/>
      <c r="P840" s="281"/>
      <c r="Q840" s="281"/>
      <c r="R840" s="281"/>
      <c r="S840" s="281"/>
      <c r="T840" s="281"/>
      <c r="U840" s="281"/>
      <c r="V840" s="281"/>
      <c r="W840" s="281"/>
      <c r="X840" s="281"/>
      <c r="Y840" s="281"/>
      <c r="Z840" s="281"/>
      <c r="AA840" s="281"/>
      <c r="AB840" s="281"/>
      <c r="AC840" s="281"/>
      <c r="AD840" s="281"/>
      <c r="AE840" s="281"/>
      <c r="AF840" s="281"/>
      <c r="AG840" s="281"/>
    </row>
    <row r="842" spans="1:42" s="184" customFormat="1" ht="13.2" hidden="1" x14ac:dyDescent="0.2">
      <c r="A842" s="3"/>
      <c r="B842" s="5"/>
      <c r="C842" s="5"/>
      <c r="D842" s="520"/>
      <c r="E842" s="520"/>
      <c r="F842" s="521"/>
      <c r="G842" s="521"/>
      <c r="H842" s="521"/>
      <c r="I842" s="521"/>
      <c r="J842" s="521"/>
      <c r="K842" s="521"/>
      <c r="L842" s="521"/>
      <c r="M842" s="521"/>
      <c r="N842" s="521"/>
      <c r="O842" s="521"/>
      <c r="P842" s="521"/>
      <c r="Q842" s="521"/>
      <c r="R842" s="521"/>
      <c r="S842" s="521"/>
      <c r="T842" s="521"/>
      <c r="U842" s="521"/>
      <c r="V842" s="521"/>
      <c r="W842" s="521"/>
      <c r="X842" s="521"/>
      <c r="Y842" s="521"/>
      <c r="Z842" s="521"/>
      <c r="AA842" s="521"/>
      <c r="AB842" s="521"/>
      <c r="AC842" s="521"/>
      <c r="AD842" s="521"/>
      <c r="AE842" s="521"/>
      <c r="AF842" s="521"/>
      <c r="AG842" s="521"/>
      <c r="AH842" s="33"/>
      <c r="AI842" s="5"/>
      <c r="AJ842" s="5"/>
      <c r="AK842" s="5"/>
      <c r="AL842" s="5"/>
      <c r="AM842" s="5"/>
      <c r="AN842" s="5"/>
      <c r="AO842" s="5"/>
      <c r="AP842" s="5"/>
    </row>
  </sheetData>
  <mergeCells count="2320">
    <mergeCell ref="N358:R358"/>
    <mergeCell ref="S357:W357"/>
    <mergeCell ref="X357:AB357"/>
    <mergeCell ref="AC357:AG357"/>
    <mergeCell ref="D351:AG351"/>
    <mergeCell ref="N361:R361"/>
    <mergeCell ref="S361:W361"/>
    <mergeCell ref="X361:AB361"/>
    <mergeCell ref="AC361:AG361"/>
    <mergeCell ref="V578:Y578"/>
    <mergeCell ref="AD591:AG591"/>
    <mergeCell ref="AD577:AG577"/>
    <mergeCell ref="AD588:AG588"/>
    <mergeCell ref="AC358:AG358"/>
    <mergeCell ref="D359:H359"/>
    <mergeCell ref="N355:R355"/>
    <mergeCell ref="S355:W355"/>
    <mergeCell ref="X355:AB355"/>
    <mergeCell ref="AC355:AG355"/>
    <mergeCell ref="I359:M359"/>
    <mergeCell ref="N359:R359"/>
    <mergeCell ref="S359:W359"/>
    <mergeCell ref="X359:AB359"/>
    <mergeCell ref="AC359:AG359"/>
    <mergeCell ref="D360:H360"/>
    <mergeCell ref="I360:M360"/>
    <mergeCell ref="N360:R360"/>
    <mergeCell ref="S360:W360"/>
    <mergeCell ref="X360:AB360"/>
    <mergeCell ref="AC360:AG360"/>
    <mergeCell ref="I355:M355"/>
    <mergeCell ref="D361:H361"/>
    <mergeCell ref="R744:Y744"/>
    <mergeCell ref="M744:Q744"/>
    <mergeCell ref="D744:L744"/>
    <mergeCell ref="D701:AG702"/>
    <mergeCell ref="D735:AG735"/>
    <mergeCell ref="D736:L737"/>
    <mergeCell ref="M736:Q737"/>
    <mergeCell ref="D761:L761"/>
    <mergeCell ref="M761:Q761"/>
    <mergeCell ref="R761:Y761"/>
    <mergeCell ref="Z761:AG761"/>
    <mergeCell ref="D762:L762"/>
    <mergeCell ref="M762:Q762"/>
    <mergeCell ref="R762:Y762"/>
    <mergeCell ref="Z762:AG762"/>
    <mergeCell ref="D759:L759"/>
    <mergeCell ref="M759:Q759"/>
    <mergeCell ref="R759:Y759"/>
    <mergeCell ref="R736:AG736"/>
    <mergeCell ref="R737:Y737"/>
    <mergeCell ref="Z737:AG737"/>
    <mergeCell ref="D758:L758"/>
    <mergeCell ref="M758:Q758"/>
    <mergeCell ref="R758:Y758"/>
    <mergeCell ref="Z758:AG758"/>
    <mergeCell ref="D754:L755"/>
    <mergeCell ref="M754:Q755"/>
    <mergeCell ref="R754:AG754"/>
    <mergeCell ref="R755:Y755"/>
    <mergeCell ref="Z755:AG755"/>
    <mergeCell ref="D756:L756"/>
    <mergeCell ref="M756:Q756"/>
    <mergeCell ref="I361:M361"/>
    <mergeCell ref="AC356:AG356"/>
    <mergeCell ref="D357:H357"/>
    <mergeCell ref="I357:M357"/>
    <mergeCell ref="N357:R357"/>
    <mergeCell ref="D358:H358"/>
    <mergeCell ref="I358:M358"/>
    <mergeCell ref="D356:H356"/>
    <mergeCell ref="I356:M356"/>
    <mergeCell ref="N356:R356"/>
    <mergeCell ref="S356:W356"/>
    <mergeCell ref="X356:AB356"/>
    <mergeCell ref="S358:W358"/>
    <mergeCell ref="X358:AB358"/>
    <mergeCell ref="D355:H355"/>
    <mergeCell ref="Z744:AG744"/>
    <mergeCell ref="Z303:AB303"/>
    <mergeCell ref="AC306:AE306"/>
    <mergeCell ref="AF306:AH306"/>
    <mergeCell ref="D307:G307"/>
    <mergeCell ref="AC308:AE308"/>
    <mergeCell ref="AF308:AH308"/>
    <mergeCell ref="D309:G309"/>
    <mergeCell ref="H309:J309"/>
    <mergeCell ref="K309:M309"/>
    <mergeCell ref="N309:P309"/>
    <mergeCell ref="Q309:S309"/>
    <mergeCell ref="N308:P308"/>
    <mergeCell ref="Q308:S308"/>
    <mergeCell ref="T308:V308"/>
    <mergeCell ref="D308:G308"/>
    <mergeCell ref="H308:J308"/>
    <mergeCell ref="AC301:AE301"/>
    <mergeCell ref="AF301:AH301"/>
    <mergeCell ref="D302:G302"/>
    <mergeCell ref="H302:J302"/>
    <mergeCell ref="K302:M302"/>
    <mergeCell ref="N302:P302"/>
    <mergeCell ref="Q302:S302"/>
    <mergeCell ref="T302:V302"/>
    <mergeCell ref="W302:Y302"/>
    <mergeCell ref="Z302:AB302"/>
    <mergeCell ref="D301:G301"/>
    <mergeCell ref="H301:J301"/>
    <mergeCell ref="K301:M301"/>
    <mergeCell ref="N301:P301"/>
    <mergeCell ref="Q301:S301"/>
    <mergeCell ref="T301:V301"/>
    <mergeCell ref="W301:Y301"/>
    <mergeCell ref="Z301:AB301"/>
    <mergeCell ref="AF302:AH302"/>
    <mergeCell ref="D304:AH304"/>
    <mergeCell ref="D305:G305"/>
    <mergeCell ref="W305:Y305"/>
    <mergeCell ref="Q303:S303"/>
    <mergeCell ref="T303:V303"/>
    <mergeCell ref="W303:Y303"/>
    <mergeCell ref="N306:P306"/>
    <mergeCell ref="Q306:S306"/>
    <mergeCell ref="T306:V306"/>
    <mergeCell ref="W306:Y306"/>
    <mergeCell ref="AC302:AE302"/>
    <mergeCell ref="K308:M308"/>
    <mergeCell ref="D303:G303"/>
    <mergeCell ref="H303:J303"/>
    <mergeCell ref="K303:M303"/>
    <mergeCell ref="N303:P303"/>
    <mergeCell ref="D306:G306"/>
    <mergeCell ref="H306:J306"/>
    <mergeCell ref="K306:M306"/>
    <mergeCell ref="H305:J305"/>
    <mergeCell ref="K305:M305"/>
    <mergeCell ref="N305:P305"/>
    <mergeCell ref="Z305:AB305"/>
    <mergeCell ref="AC305:AE305"/>
    <mergeCell ref="AF305:AH305"/>
    <mergeCell ref="Q305:S305"/>
    <mergeCell ref="T305:V305"/>
    <mergeCell ref="Z307:AB307"/>
    <mergeCell ref="AC307:AE307"/>
    <mergeCell ref="AF307:AH307"/>
    <mergeCell ref="AC303:AE303"/>
    <mergeCell ref="AF303:AH303"/>
    <mergeCell ref="T309:V309"/>
    <mergeCell ref="AC311:AE311"/>
    <mergeCell ref="AF311:AH311"/>
    <mergeCell ref="D310:AH310"/>
    <mergeCell ref="Z308:AB308"/>
    <mergeCell ref="W312:Y312"/>
    <mergeCell ref="Z312:AB312"/>
    <mergeCell ref="AC312:AE312"/>
    <mergeCell ref="AF312:AH312"/>
    <mergeCell ref="W309:Y309"/>
    <mergeCell ref="W311:Y311"/>
    <mergeCell ref="Z311:AB311"/>
    <mergeCell ref="Z306:AB306"/>
    <mergeCell ref="H307:J307"/>
    <mergeCell ref="K307:M307"/>
    <mergeCell ref="N307:P307"/>
    <mergeCell ref="Q307:S307"/>
    <mergeCell ref="T307:V307"/>
    <mergeCell ref="W307:Y307"/>
    <mergeCell ref="W308:Y308"/>
    <mergeCell ref="Z309:AB309"/>
    <mergeCell ref="AC309:AE309"/>
    <mergeCell ref="AF309:AH309"/>
    <mergeCell ref="D313:G313"/>
    <mergeCell ref="H313:J313"/>
    <mergeCell ref="K313:M313"/>
    <mergeCell ref="N313:P313"/>
    <mergeCell ref="Q313:S313"/>
    <mergeCell ref="T313:V313"/>
    <mergeCell ref="D312:G312"/>
    <mergeCell ref="H312:J312"/>
    <mergeCell ref="K312:M312"/>
    <mergeCell ref="N312:P312"/>
    <mergeCell ref="Q312:S312"/>
    <mergeCell ref="T312:V312"/>
    <mergeCell ref="D311:G311"/>
    <mergeCell ref="H311:J311"/>
    <mergeCell ref="K311:M311"/>
    <mergeCell ref="N311:P311"/>
    <mergeCell ref="Q311:S311"/>
    <mergeCell ref="T311:V311"/>
    <mergeCell ref="K314:M314"/>
    <mergeCell ref="D839:AG840"/>
    <mergeCell ref="D842:AG842"/>
    <mergeCell ref="AF315:AH315"/>
    <mergeCell ref="D316:AH316"/>
    <mergeCell ref="D317:G317"/>
    <mergeCell ref="H317:J317"/>
    <mergeCell ref="K317:M317"/>
    <mergeCell ref="N317:P317"/>
    <mergeCell ref="Q317:S317"/>
    <mergeCell ref="D315:G315"/>
    <mergeCell ref="H315:J315"/>
    <mergeCell ref="K315:M315"/>
    <mergeCell ref="N315:P315"/>
    <mergeCell ref="Q315:S315"/>
    <mergeCell ref="T315:V315"/>
    <mergeCell ref="Q314:S314"/>
    <mergeCell ref="T314:V314"/>
    <mergeCell ref="D352:H353"/>
    <mergeCell ref="I352:AG352"/>
    <mergeCell ref="I353:M353"/>
    <mergeCell ref="N353:R353"/>
    <mergeCell ref="S353:W353"/>
    <mergeCell ref="X353:AB353"/>
    <mergeCell ref="AC353:AG353"/>
    <mergeCell ref="D354:H354"/>
    <mergeCell ref="I354:M354"/>
    <mergeCell ref="N354:R354"/>
    <mergeCell ref="S354:W354"/>
    <mergeCell ref="X354:AB354"/>
    <mergeCell ref="AC354:AG354"/>
    <mergeCell ref="D824:M824"/>
    <mergeCell ref="N824:Q824"/>
    <mergeCell ref="R824:U824"/>
    <mergeCell ref="V824:Y824"/>
    <mergeCell ref="Z824:AC824"/>
    <mergeCell ref="AD824:AG824"/>
    <mergeCell ref="D823:M823"/>
    <mergeCell ref="N823:Q823"/>
    <mergeCell ref="R823:U823"/>
    <mergeCell ref="V823:Y823"/>
    <mergeCell ref="Z823:AC823"/>
    <mergeCell ref="AD823:AG823"/>
    <mergeCell ref="D822:M822"/>
    <mergeCell ref="N822:Q822"/>
    <mergeCell ref="R822:U822"/>
    <mergeCell ref="V822:Y822"/>
    <mergeCell ref="Z822:AC822"/>
    <mergeCell ref="AD822:AG822"/>
    <mergeCell ref="D821:M821"/>
    <mergeCell ref="N821:Q821"/>
    <mergeCell ref="R821:U821"/>
    <mergeCell ref="V821:Y821"/>
    <mergeCell ref="Z821:AC821"/>
    <mergeCell ref="AD821:AG821"/>
    <mergeCell ref="D820:M820"/>
    <mergeCell ref="N820:Q820"/>
    <mergeCell ref="R820:U820"/>
    <mergeCell ref="V820:Y820"/>
    <mergeCell ref="Z820:AC820"/>
    <mergeCell ref="AD820:AG820"/>
    <mergeCell ref="D819:M819"/>
    <mergeCell ref="N819:Q819"/>
    <mergeCell ref="R819:U819"/>
    <mergeCell ref="V819:Y819"/>
    <mergeCell ref="Z819:AC819"/>
    <mergeCell ref="AD819:AG819"/>
    <mergeCell ref="D818:M818"/>
    <mergeCell ref="N818:Q818"/>
    <mergeCell ref="R818:U818"/>
    <mergeCell ref="V818:Y818"/>
    <mergeCell ref="Z818:AC818"/>
    <mergeCell ref="AD818:AG818"/>
    <mergeCell ref="D817:M817"/>
    <mergeCell ref="N817:Q817"/>
    <mergeCell ref="R817:U817"/>
    <mergeCell ref="V817:Y817"/>
    <mergeCell ref="Z817:AC817"/>
    <mergeCell ref="AD817:AG817"/>
    <mergeCell ref="D816:M816"/>
    <mergeCell ref="N816:Q816"/>
    <mergeCell ref="R816:U816"/>
    <mergeCell ref="V816:Y816"/>
    <mergeCell ref="Z816:AC816"/>
    <mergeCell ref="AD816:AG816"/>
    <mergeCell ref="D815:M815"/>
    <mergeCell ref="N815:Q815"/>
    <mergeCell ref="R815:U815"/>
    <mergeCell ref="V815:Y815"/>
    <mergeCell ref="Z815:AC815"/>
    <mergeCell ref="AD815:AG815"/>
    <mergeCell ref="D814:M814"/>
    <mergeCell ref="N814:Q814"/>
    <mergeCell ref="R814:U814"/>
    <mergeCell ref="V814:Y814"/>
    <mergeCell ref="Z814:AC814"/>
    <mergeCell ref="AD814:AG814"/>
    <mergeCell ref="D813:M813"/>
    <mergeCell ref="N813:Q813"/>
    <mergeCell ref="R813:U813"/>
    <mergeCell ref="V813:Y813"/>
    <mergeCell ref="Z813:AC813"/>
    <mergeCell ref="AD813:AG813"/>
    <mergeCell ref="D812:M812"/>
    <mergeCell ref="N812:Q812"/>
    <mergeCell ref="R812:U812"/>
    <mergeCell ref="V812:Y812"/>
    <mergeCell ref="Z812:AC812"/>
    <mergeCell ref="AD812:AG812"/>
    <mergeCell ref="D811:M811"/>
    <mergeCell ref="N811:Q811"/>
    <mergeCell ref="R811:U811"/>
    <mergeCell ref="V811:Y811"/>
    <mergeCell ref="Z811:AC811"/>
    <mergeCell ref="AD811:AG811"/>
    <mergeCell ref="D810:M810"/>
    <mergeCell ref="N810:Q810"/>
    <mergeCell ref="R810:U810"/>
    <mergeCell ref="V810:Y810"/>
    <mergeCell ref="Z810:AC810"/>
    <mergeCell ref="AD810:AG810"/>
    <mergeCell ref="D809:M809"/>
    <mergeCell ref="N809:Q809"/>
    <mergeCell ref="R809:U809"/>
    <mergeCell ref="V809:Y809"/>
    <mergeCell ref="Z809:AC809"/>
    <mergeCell ref="AD809:AG809"/>
    <mergeCell ref="D807:M808"/>
    <mergeCell ref="N807:AG807"/>
    <mergeCell ref="N808:Q808"/>
    <mergeCell ref="R808:U808"/>
    <mergeCell ref="V808:Y808"/>
    <mergeCell ref="Z808:AC808"/>
    <mergeCell ref="AD808:AG808"/>
    <mergeCell ref="D804:M804"/>
    <mergeCell ref="N804:Q804"/>
    <mergeCell ref="R804:U804"/>
    <mergeCell ref="V804:Y804"/>
    <mergeCell ref="Z804:AC804"/>
    <mergeCell ref="AD804:AG804"/>
    <mergeCell ref="D803:M803"/>
    <mergeCell ref="N803:Q803"/>
    <mergeCell ref="R803:U803"/>
    <mergeCell ref="V803:Y803"/>
    <mergeCell ref="Z803:AC803"/>
    <mergeCell ref="AD803:AG803"/>
    <mergeCell ref="D802:M802"/>
    <mergeCell ref="N802:Q802"/>
    <mergeCell ref="R802:U802"/>
    <mergeCell ref="V802:Y802"/>
    <mergeCell ref="Z802:AC802"/>
    <mergeCell ref="AD802:AG802"/>
    <mergeCell ref="D801:M801"/>
    <mergeCell ref="N801:Q801"/>
    <mergeCell ref="R801:U801"/>
    <mergeCell ref="V801:Y801"/>
    <mergeCell ref="Z801:AC801"/>
    <mergeCell ref="AD801:AG801"/>
    <mergeCell ref="R791:U791"/>
    <mergeCell ref="V791:Y791"/>
    <mergeCell ref="D800:M800"/>
    <mergeCell ref="N800:Q800"/>
    <mergeCell ref="R800:U800"/>
    <mergeCell ref="V800:Y800"/>
    <mergeCell ref="Z800:AC800"/>
    <mergeCell ref="AD800:AG800"/>
    <mergeCell ref="D799:M799"/>
    <mergeCell ref="N799:Q799"/>
    <mergeCell ref="R799:U799"/>
    <mergeCell ref="V799:Y799"/>
    <mergeCell ref="Z799:AC799"/>
    <mergeCell ref="AD799:AG799"/>
    <mergeCell ref="D798:M798"/>
    <mergeCell ref="N798:Q798"/>
    <mergeCell ref="R798:U798"/>
    <mergeCell ref="V798:Y798"/>
    <mergeCell ref="Z798:AC798"/>
    <mergeCell ref="AD798:AG798"/>
    <mergeCell ref="D797:M797"/>
    <mergeCell ref="N797:Q797"/>
    <mergeCell ref="R797:U797"/>
    <mergeCell ref="V797:Y797"/>
    <mergeCell ref="Z791:AC791"/>
    <mergeCell ref="AD791:AG791"/>
    <mergeCell ref="R775:Y775"/>
    <mergeCell ref="Z775:AG775"/>
    <mergeCell ref="Z797:AC797"/>
    <mergeCell ref="AD797:AG797"/>
    <mergeCell ref="D796:M796"/>
    <mergeCell ref="N796:Q796"/>
    <mergeCell ref="R796:U796"/>
    <mergeCell ref="V796:Y796"/>
    <mergeCell ref="Z796:AC796"/>
    <mergeCell ref="AD796:AG796"/>
    <mergeCell ref="D795:M795"/>
    <mergeCell ref="N795:Q795"/>
    <mergeCell ref="R795:U795"/>
    <mergeCell ref="V795:Y795"/>
    <mergeCell ref="Z795:AC795"/>
    <mergeCell ref="AD795:AG795"/>
    <mergeCell ref="D794:M794"/>
    <mergeCell ref="N794:Q794"/>
    <mergeCell ref="R794:U794"/>
    <mergeCell ref="V794:Y794"/>
    <mergeCell ref="Z794:AC794"/>
    <mergeCell ref="AD794:AG794"/>
    <mergeCell ref="D792:M792"/>
    <mergeCell ref="N792:Q792"/>
    <mergeCell ref="R792:U792"/>
    <mergeCell ref="V792:Y792"/>
    <mergeCell ref="Z792:AC792"/>
    <mergeCell ref="AD792:AG792"/>
    <mergeCell ref="Z786:AC786"/>
    <mergeCell ref="AD786:AG786"/>
    <mergeCell ref="D791:M791"/>
    <mergeCell ref="N791:Q791"/>
    <mergeCell ref="N784:AG784"/>
    <mergeCell ref="N785:Q785"/>
    <mergeCell ref="D793:M793"/>
    <mergeCell ref="N793:Q793"/>
    <mergeCell ref="R793:U793"/>
    <mergeCell ref="V793:Y793"/>
    <mergeCell ref="Z793:AC793"/>
    <mergeCell ref="AD793:AG793"/>
    <mergeCell ref="D772:L772"/>
    <mergeCell ref="M772:Q772"/>
    <mergeCell ref="R772:Y772"/>
    <mergeCell ref="Z772:AG772"/>
    <mergeCell ref="D790:M790"/>
    <mergeCell ref="N790:Q790"/>
    <mergeCell ref="R790:U790"/>
    <mergeCell ref="V790:Y790"/>
    <mergeCell ref="Z790:AC790"/>
    <mergeCell ref="AD790:AG790"/>
    <mergeCell ref="D789:M789"/>
    <mergeCell ref="N789:Q789"/>
    <mergeCell ref="R789:U789"/>
    <mergeCell ref="V789:Y789"/>
    <mergeCell ref="Z789:AC789"/>
    <mergeCell ref="AD789:AG789"/>
    <mergeCell ref="D788:M788"/>
    <mergeCell ref="N788:Q788"/>
    <mergeCell ref="R788:U788"/>
    <mergeCell ref="V788:Y788"/>
    <mergeCell ref="D776:L776"/>
    <mergeCell ref="M776:Q776"/>
    <mergeCell ref="D775:L775"/>
    <mergeCell ref="M775:Q775"/>
    <mergeCell ref="M768:Q768"/>
    <mergeCell ref="R768:Y768"/>
    <mergeCell ref="Z768:AG768"/>
    <mergeCell ref="D766:L766"/>
    <mergeCell ref="R765:Y765"/>
    <mergeCell ref="Z765:AG765"/>
    <mergeCell ref="D763:L763"/>
    <mergeCell ref="M763:Q763"/>
    <mergeCell ref="R763:Y763"/>
    <mergeCell ref="Z763:AG763"/>
    <mergeCell ref="D764:L764"/>
    <mergeCell ref="M764:Q764"/>
    <mergeCell ref="R764:Y764"/>
    <mergeCell ref="Z764:AG764"/>
    <mergeCell ref="Z788:AC788"/>
    <mergeCell ref="AD788:AG788"/>
    <mergeCell ref="D774:L774"/>
    <mergeCell ref="M774:Q774"/>
    <mergeCell ref="R774:Y774"/>
    <mergeCell ref="Z774:AG774"/>
    <mergeCell ref="D787:M787"/>
    <mergeCell ref="N787:Q787"/>
    <mergeCell ref="R787:U787"/>
    <mergeCell ref="V787:Y787"/>
    <mergeCell ref="Z787:AC787"/>
    <mergeCell ref="AD787:AG787"/>
    <mergeCell ref="D786:M786"/>
    <mergeCell ref="N786:Q786"/>
    <mergeCell ref="R786:U786"/>
    <mergeCell ref="V786:Y786"/>
    <mergeCell ref="D782:AG782"/>
    <mergeCell ref="D784:M785"/>
    <mergeCell ref="R776:Y776"/>
    <mergeCell ref="Z776:AG776"/>
    <mergeCell ref="R785:U785"/>
    <mergeCell ref="V785:Y785"/>
    <mergeCell ref="Z785:AC785"/>
    <mergeCell ref="AD785:AG785"/>
    <mergeCell ref="D777:L777"/>
    <mergeCell ref="M777:Q777"/>
    <mergeCell ref="R777:Y777"/>
    <mergeCell ref="Z777:AG777"/>
    <mergeCell ref="M778:Q778"/>
    <mergeCell ref="R778:Y778"/>
    <mergeCell ref="Z778:AG778"/>
    <mergeCell ref="N728:W728"/>
    <mergeCell ref="N729:W729"/>
    <mergeCell ref="Z749:AG749"/>
    <mergeCell ref="D748:L748"/>
    <mergeCell ref="M742:Q742"/>
    <mergeCell ref="R756:Y756"/>
    <mergeCell ref="Z756:AG756"/>
    <mergeCell ref="D771:L771"/>
    <mergeCell ref="M771:Q771"/>
    <mergeCell ref="R771:Y771"/>
    <mergeCell ref="Z771:AG771"/>
    <mergeCell ref="D770:L770"/>
    <mergeCell ref="M770:Q770"/>
    <mergeCell ref="R770:Y770"/>
    <mergeCell ref="M766:Q766"/>
    <mergeCell ref="R766:Y766"/>
    <mergeCell ref="Z766:AG766"/>
    <mergeCell ref="Z769:AG769"/>
    <mergeCell ref="D768:L768"/>
    <mergeCell ref="X726:AG726"/>
    <mergeCell ref="X727:AG727"/>
    <mergeCell ref="Z770:AG770"/>
    <mergeCell ref="D767:L767"/>
    <mergeCell ref="M767:Q767"/>
    <mergeCell ref="R767:Y767"/>
    <mergeCell ref="Z767:AG767"/>
    <mergeCell ref="Z759:AG759"/>
    <mergeCell ref="D760:L760"/>
    <mergeCell ref="M760:Q760"/>
    <mergeCell ref="R760:Y760"/>
    <mergeCell ref="Z760:AG760"/>
    <mergeCell ref="D765:L765"/>
    <mergeCell ref="M765:Q765"/>
    <mergeCell ref="M746:Q746"/>
    <mergeCell ref="R746:Y746"/>
    <mergeCell ref="Z746:AG746"/>
    <mergeCell ref="M747:Q747"/>
    <mergeCell ref="D747:L747"/>
    <mergeCell ref="D757:L757"/>
    <mergeCell ref="M757:Q757"/>
    <mergeCell ref="R757:Y757"/>
    <mergeCell ref="Z757:AG757"/>
    <mergeCell ref="D750:L750"/>
    <mergeCell ref="M750:Q750"/>
    <mergeCell ref="R750:Y750"/>
    <mergeCell ref="Z750:AG750"/>
    <mergeCell ref="M769:Q769"/>
    <mergeCell ref="R769:Y769"/>
    <mergeCell ref="M749:Q749"/>
    <mergeCell ref="R749:Y749"/>
    <mergeCell ref="D769:L769"/>
    <mergeCell ref="Z695:AC695"/>
    <mergeCell ref="D706:AG706"/>
    <mergeCell ref="N711:W711"/>
    <mergeCell ref="N712:W712"/>
    <mergeCell ref="D740:L740"/>
    <mergeCell ref="M740:Q740"/>
    <mergeCell ref="R740:Y740"/>
    <mergeCell ref="Z740:AG740"/>
    <mergeCell ref="D741:L741"/>
    <mergeCell ref="M741:Q741"/>
    <mergeCell ref="R741:Y741"/>
    <mergeCell ref="Z741:AG741"/>
    <mergeCell ref="X728:AG728"/>
    <mergeCell ref="X729:AG729"/>
    <mergeCell ref="X730:AG730"/>
    <mergeCell ref="N722:W722"/>
    <mergeCell ref="X709:AG709"/>
    <mergeCell ref="X710:AG710"/>
    <mergeCell ref="X711:AG711"/>
    <mergeCell ref="X712:AG712"/>
    <mergeCell ref="X722:AG722"/>
    <mergeCell ref="X723:AG723"/>
    <mergeCell ref="D738:L738"/>
    <mergeCell ref="M738:Q738"/>
    <mergeCell ref="R738:Y738"/>
    <mergeCell ref="Z738:AG738"/>
    <mergeCell ref="N723:W723"/>
    <mergeCell ref="N724:W724"/>
    <mergeCell ref="N725:W725"/>
    <mergeCell ref="N726:W726"/>
    <mergeCell ref="N727:W727"/>
    <mergeCell ref="X725:AG725"/>
    <mergeCell ref="Z694:AC694"/>
    <mergeCell ref="AD694:AG694"/>
    <mergeCell ref="D693:I693"/>
    <mergeCell ref="J693:M693"/>
    <mergeCell ref="N693:Q693"/>
    <mergeCell ref="R693:U693"/>
    <mergeCell ref="V693:Y693"/>
    <mergeCell ref="Z693:AC693"/>
    <mergeCell ref="X715:AG715"/>
    <mergeCell ref="D716:M716"/>
    <mergeCell ref="N716:W716"/>
    <mergeCell ref="X716:AG716"/>
    <mergeCell ref="D707:M707"/>
    <mergeCell ref="N707:W707"/>
    <mergeCell ref="N708:W708"/>
    <mergeCell ref="D711:M711"/>
    <mergeCell ref="D712:M712"/>
    <mergeCell ref="D709:M709"/>
    <mergeCell ref="D699:AG699"/>
    <mergeCell ref="AD695:AG695"/>
    <mergeCell ref="D696:I696"/>
    <mergeCell ref="J696:M696"/>
    <mergeCell ref="N696:Q696"/>
    <mergeCell ref="R696:U696"/>
    <mergeCell ref="V696:Y696"/>
    <mergeCell ref="Z696:AC696"/>
    <mergeCell ref="AD696:AG696"/>
    <mergeCell ref="D695:I695"/>
    <mergeCell ref="J695:M695"/>
    <mergeCell ref="N695:Q695"/>
    <mergeCell ref="R695:U695"/>
    <mergeCell ref="V695:Y695"/>
    <mergeCell ref="N720:W720"/>
    <mergeCell ref="D720:M720"/>
    <mergeCell ref="X719:AG719"/>
    <mergeCell ref="N719:W719"/>
    <mergeCell ref="D719:M719"/>
    <mergeCell ref="X718:AG718"/>
    <mergeCell ref="N718:W718"/>
    <mergeCell ref="D718:M718"/>
    <mergeCell ref="X717:AG717"/>
    <mergeCell ref="N717:W717"/>
    <mergeCell ref="AD691:AG691"/>
    <mergeCell ref="D692:I692"/>
    <mergeCell ref="J692:M692"/>
    <mergeCell ref="N692:Q692"/>
    <mergeCell ref="R692:U692"/>
    <mergeCell ref="V692:Y692"/>
    <mergeCell ref="Z692:AC692"/>
    <mergeCell ref="AD692:AG692"/>
    <mergeCell ref="D691:I691"/>
    <mergeCell ref="J691:M691"/>
    <mergeCell ref="N691:Q691"/>
    <mergeCell ref="R691:U691"/>
    <mergeCell ref="V691:Y691"/>
    <mergeCell ref="Z691:AC691"/>
    <mergeCell ref="D715:M715"/>
    <mergeCell ref="N715:W715"/>
    <mergeCell ref="AD693:AG693"/>
    <mergeCell ref="D694:I694"/>
    <mergeCell ref="J694:M694"/>
    <mergeCell ref="N694:Q694"/>
    <mergeCell ref="R694:U694"/>
    <mergeCell ref="V694:Y694"/>
    <mergeCell ref="AD689:AG689"/>
    <mergeCell ref="D690:I690"/>
    <mergeCell ref="J690:M690"/>
    <mergeCell ref="N690:Q690"/>
    <mergeCell ref="R690:U690"/>
    <mergeCell ref="V690:Y690"/>
    <mergeCell ref="Z690:AC690"/>
    <mergeCell ref="AD690:AG690"/>
    <mergeCell ref="D689:I689"/>
    <mergeCell ref="J689:M689"/>
    <mergeCell ref="N689:Q689"/>
    <mergeCell ref="R689:U689"/>
    <mergeCell ref="V689:Y689"/>
    <mergeCell ref="Z689:AC689"/>
    <mergeCell ref="AD687:AG687"/>
    <mergeCell ref="D688:I688"/>
    <mergeCell ref="J688:M688"/>
    <mergeCell ref="N688:Q688"/>
    <mergeCell ref="R688:U688"/>
    <mergeCell ref="V688:Y688"/>
    <mergeCell ref="Z688:AC688"/>
    <mergeCell ref="AD688:AG688"/>
    <mergeCell ref="D687:I687"/>
    <mergeCell ref="J687:M687"/>
    <mergeCell ref="N687:Q687"/>
    <mergeCell ref="R687:U687"/>
    <mergeCell ref="V687:Y687"/>
    <mergeCell ref="Z687:AC687"/>
    <mergeCell ref="AD685:AG685"/>
    <mergeCell ref="D686:I686"/>
    <mergeCell ref="J686:M686"/>
    <mergeCell ref="N686:Q686"/>
    <mergeCell ref="R686:U686"/>
    <mergeCell ref="V686:Y686"/>
    <mergeCell ref="Z686:AC686"/>
    <mergeCell ref="AD686:AG686"/>
    <mergeCell ref="D685:I685"/>
    <mergeCell ref="J685:M685"/>
    <mergeCell ref="N685:Q685"/>
    <mergeCell ref="R685:U685"/>
    <mergeCell ref="V685:Y685"/>
    <mergeCell ref="Z685:AC685"/>
    <mergeCell ref="D680:AG680"/>
    <mergeCell ref="D682:I684"/>
    <mergeCell ref="J682:U683"/>
    <mergeCell ref="V682:AG683"/>
    <mergeCell ref="J684:M684"/>
    <mergeCell ref="N684:Q684"/>
    <mergeCell ref="R684:U684"/>
    <mergeCell ref="V684:Y684"/>
    <mergeCell ref="Z684:AC684"/>
    <mergeCell ref="AD684:AG684"/>
    <mergeCell ref="D677:O677"/>
    <mergeCell ref="P677:X677"/>
    <mergeCell ref="Y677:AG677"/>
    <mergeCell ref="D678:O678"/>
    <mergeCell ref="P678:X678"/>
    <mergeCell ref="Y678:AG678"/>
    <mergeCell ref="D675:O675"/>
    <mergeCell ref="P675:X675"/>
    <mergeCell ref="Y675:AG675"/>
    <mergeCell ref="D676:O676"/>
    <mergeCell ref="P676:X676"/>
    <mergeCell ref="Y676:AG676"/>
    <mergeCell ref="D673:O673"/>
    <mergeCell ref="P673:X673"/>
    <mergeCell ref="Y673:AG673"/>
    <mergeCell ref="D674:O674"/>
    <mergeCell ref="P674:X674"/>
    <mergeCell ref="Y674:AG674"/>
    <mergeCell ref="D672:O672"/>
    <mergeCell ref="P672:X672"/>
    <mergeCell ref="Y672:AG672"/>
    <mergeCell ref="D664:M664"/>
    <mergeCell ref="N664:W664"/>
    <mergeCell ref="X664:AG664"/>
    <mergeCell ref="D665:M665"/>
    <mergeCell ref="N665:W665"/>
    <mergeCell ref="X665:AG665"/>
    <mergeCell ref="D662:M662"/>
    <mergeCell ref="N662:W662"/>
    <mergeCell ref="X662:AG662"/>
    <mergeCell ref="D663:M663"/>
    <mergeCell ref="N663:W663"/>
    <mergeCell ref="X663:AG663"/>
    <mergeCell ref="D670:AG670"/>
    <mergeCell ref="D659:M660"/>
    <mergeCell ref="N659:W660"/>
    <mergeCell ref="X659:AG660"/>
    <mergeCell ref="X647:AG647"/>
    <mergeCell ref="D648:M648"/>
    <mergeCell ref="N648:W648"/>
    <mergeCell ref="X648:AG648"/>
    <mergeCell ref="D661:M661"/>
    <mergeCell ref="N661:W661"/>
    <mergeCell ref="X661:AG661"/>
    <mergeCell ref="D657:M657"/>
    <mergeCell ref="N657:W657"/>
    <mergeCell ref="X657:AG657"/>
    <mergeCell ref="D666:M666"/>
    <mergeCell ref="N666:W666"/>
    <mergeCell ref="X666:AG666"/>
    <mergeCell ref="D668:AG668"/>
    <mergeCell ref="D656:M656"/>
    <mergeCell ref="N656:W656"/>
    <mergeCell ref="X656:AG656"/>
    <mergeCell ref="D653:M653"/>
    <mergeCell ref="N653:W653"/>
    <mergeCell ref="X653:AG653"/>
    <mergeCell ref="D654:M654"/>
    <mergeCell ref="N654:W654"/>
    <mergeCell ref="X654:AG654"/>
    <mergeCell ref="D646:M646"/>
    <mergeCell ref="N646:W646"/>
    <mergeCell ref="X646:AG646"/>
    <mergeCell ref="D655:M655"/>
    <mergeCell ref="N655:W655"/>
    <mergeCell ref="X655:AG655"/>
    <mergeCell ref="D644:M644"/>
    <mergeCell ref="N644:W644"/>
    <mergeCell ref="X644:AG644"/>
    <mergeCell ref="D645:M645"/>
    <mergeCell ref="N645:W645"/>
    <mergeCell ref="X645:AG645"/>
    <mergeCell ref="D642:M642"/>
    <mergeCell ref="N642:W642"/>
    <mergeCell ref="X642:AG642"/>
    <mergeCell ref="D643:M643"/>
    <mergeCell ref="N643:W643"/>
    <mergeCell ref="X643:AG643"/>
    <mergeCell ref="D651:M651"/>
    <mergeCell ref="N651:W651"/>
    <mergeCell ref="X651:AG651"/>
    <mergeCell ref="D652:M652"/>
    <mergeCell ref="N652:W652"/>
    <mergeCell ref="X652:AG652"/>
    <mergeCell ref="D649:M649"/>
    <mergeCell ref="N649:W649"/>
    <mergeCell ref="X649:AG649"/>
    <mergeCell ref="D650:M650"/>
    <mergeCell ref="N650:W650"/>
    <mergeCell ref="X650:AG650"/>
    <mergeCell ref="D647:M647"/>
    <mergeCell ref="N647:W647"/>
    <mergeCell ref="D640:M640"/>
    <mergeCell ref="N640:W640"/>
    <mergeCell ref="X640:AG640"/>
    <mergeCell ref="D641:M641"/>
    <mergeCell ref="N641:W641"/>
    <mergeCell ref="X641:AG641"/>
    <mergeCell ref="D638:M638"/>
    <mergeCell ref="N638:W638"/>
    <mergeCell ref="X638:AG638"/>
    <mergeCell ref="D639:M639"/>
    <mergeCell ref="N639:W639"/>
    <mergeCell ref="X639:AG639"/>
    <mergeCell ref="D631:AG631"/>
    <mergeCell ref="D633:AG633"/>
    <mergeCell ref="D635:M636"/>
    <mergeCell ref="N635:W636"/>
    <mergeCell ref="X635:AG636"/>
    <mergeCell ref="D637:M637"/>
    <mergeCell ref="N637:W637"/>
    <mergeCell ref="X637:AG637"/>
    <mergeCell ref="D629:M629"/>
    <mergeCell ref="N629:W629"/>
    <mergeCell ref="X629:AG629"/>
    <mergeCell ref="D616:M616"/>
    <mergeCell ref="N616:W616"/>
    <mergeCell ref="X616:AG616"/>
    <mergeCell ref="D617:M617"/>
    <mergeCell ref="N617:W617"/>
    <mergeCell ref="X617:AG617"/>
    <mergeCell ref="D626:M626"/>
    <mergeCell ref="N626:W626"/>
    <mergeCell ref="X626:AG626"/>
    <mergeCell ref="D627:M627"/>
    <mergeCell ref="N627:W627"/>
    <mergeCell ref="X627:AG627"/>
    <mergeCell ref="D624:M624"/>
    <mergeCell ref="N624:W624"/>
    <mergeCell ref="X624:AG624"/>
    <mergeCell ref="D625:M625"/>
    <mergeCell ref="N625:W625"/>
    <mergeCell ref="X625:AG625"/>
    <mergeCell ref="D619:AG619"/>
    <mergeCell ref="D621:M622"/>
    <mergeCell ref="N621:W622"/>
    <mergeCell ref="X621:AG622"/>
    <mergeCell ref="D623:M623"/>
    <mergeCell ref="N623:W623"/>
    <mergeCell ref="X623:AG623"/>
    <mergeCell ref="AD581:AG581"/>
    <mergeCell ref="AD578:AG578"/>
    <mergeCell ref="J583:M583"/>
    <mergeCell ref="J581:M581"/>
    <mergeCell ref="J578:M578"/>
    <mergeCell ref="R578:U578"/>
    <mergeCell ref="Z577:AC577"/>
    <mergeCell ref="N578:Q578"/>
    <mergeCell ref="N581:Q581"/>
    <mergeCell ref="D577:I577"/>
    <mergeCell ref="D584:I584"/>
    <mergeCell ref="R579:U579"/>
    <mergeCell ref="V579:Y579"/>
    <mergeCell ref="Z579:AC579"/>
    <mergeCell ref="N577:Q577"/>
    <mergeCell ref="V583:Y583"/>
    <mergeCell ref="D628:M628"/>
    <mergeCell ref="N628:W628"/>
    <mergeCell ref="X628:AG628"/>
    <mergeCell ref="D592:I592"/>
    <mergeCell ref="Z592:AC592"/>
    <mergeCell ref="D594:I594"/>
    <mergeCell ref="J594:M594"/>
    <mergeCell ref="N594:Q594"/>
    <mergeCell ref="Z578:AC578"/>
    <mergeCell ref="AD585:AG585"/>
    <mergeCell ref="Z586:AC586"/>
    <mergeCell ref="AD589:AG589"/>
    <mergeCell ref="D588:I588"/>
    <mergeCell ref="Z581:AC581"/>
    <mergeCell ref="D578:I578"/>
    <mergeCell ref="D614:M614"/>
    <mergeCell ref="D567:AG567"/>
    <mergeCell ref="D569:AG569"/>
    <mergeCell ref="D563:M563"/>
    <mergeCell ref="N563:W563"/>
    <mergeCell ref="X563:AG563"/>
    <mergeCell ref="D561:M561"/>
    <mergeCell ref="N561:W561"/>
    <mergeCell ref="X561:AG561"/>
    <mergeCell ref="AD573:AG573"/>
    <mergeCell ref="D574:I574"/>
    <mergeCell ref="J574:M574"/>
    <mergeCell ref="N574:Q574"/>
    <mergeCell ref="R574:U574"/>
    <mergeCell ref="V574:Y574"/>
    <mergeCell ref="Z574:AC574"/>
    <mergeCell ref="AD574:AG574"/>
    <mergeCell ref="D573:I573"/>
    <mergeCell ref="J573:M573"/>
    <mergeCell ref="N573:Q573"/>
    <mergeCell ref="R573:U573"/>
    <mergeCell ref="V573:Y573"/>
    <mergeCell ref="Z573:AC573"/>
    <mergeCell ref="D571:I572"/>
    <mergeCell ref="J571:Q571"/>
    <mergeCell ref="R571:Y571"/>
    <mergeCell ref="Z571:AG571"/>
    <mergeCell ref="J572:M572"/>
    <mergeCell ref="N572:Q572"/>
    <mergeCell ref="R572:U572"/>
    <mergeCell ref="V572:Y572"/>
    <mergeCell ref="Z572:AC572"/>
    <mergeCell ref="AD572:AG572"/>
    <mergeCell ref="D555:AG555"/>
    <mergeCell ref="D557:M557"/>
    <mergeCell ref="N557:W557"/>
    <mergeCell ref="X557:AG557"/>
    <mergeCell ref="D558:M558"/>
    <mergeCell ref="N558:W558"/>
    <mergeCell ref="X558:AG558"/>
    <mergeCell ref="D559:M559"/>
    <mergeCell ref="N559:W559"/>
    <mergeCell ref="X559:AG559"/>
    <mergeCell ref="D560:M560"/>
    <mergeCell ref="N560:W560"/>
    <mergeCell ref="X560:AG560"/>
    <mergeCell ref="D562:M562"/>
    <mergeCell ref="N562:W562"/>
    <mergeCell ref="X562:AG562"/>
    <mergeCell ref="AD548:AG548"/>
    <mergeCell ref="D549:AG549"/>
    <mergeCell ref="D541:M541"/>
    <mergeCell ref="N541:W541"/>
    <mergeCell ref="X541:AG541"/>
    <mergeCell ref="D546:AG546"/>
    <mergeCell ref="D548:J548"/>
    <mergeCell ref="K548:M548"/>
    <mergeCell ref="N548:Q548"/>
    <mergeCell ref="R548:U548"/>
    <mergeCell ref="V548:Y548"/>
    <mergeCell ref="Z548:AC548"/>
    <mergeCell ref="D550:AG550"/>
    <mergeCell ref="D551:J551"/>
    <mergeCell ref="K551:M551"/>
    <mergeCell ref="N551:Q551"/>
    <mergeCell ref="R551:U551"/>
    <mergeCell ref="V551:Y551"/>
    <mergeCell ref="Z551:AC551"/>
    <mergeCell ref="AD551:AG551"/>
    <mergeCell ref="D539:M539"/>
    <mergeCell ref="N539:W539"/>
    <mergeCell ref="X539:AG539"/>
    <mergeCell ref="D540:M540"/>
    <mergeCell ref="N540:W540"/>
    <mergeCell ref="X540:AG540"/>
    <mergeCell ref="D537:M537"/>
    <mergeCell ref="N537:W537"/>
    <mergeCell ref="X537:AG537"/>
    <mergeCell ref="D538:M538"/>
    <mergeCell ref="N538:W538"/>
    <mergeCell ref="X538:AG538"/>
    <mergeCell ref="D535:M535"/>
    <mergeCell ref="N535:W535"/>
    <mergeCell ref="X535:AG535"/>
    <mergeCell ref="D536:M536"/>
    <mergeCell ref="N536:W536"/>
    <mergeCell ref="X536:AG536"/>
    <mergeCell ref="D527:AG528"/>
    <mergeCell ref="D531:AG531"/>
    <mergeCell ref="D532:AG532"/>
    <mergeCell ref="D534:M534"/>
    <mergeCell ref="N534:W534"/>
    <mergeCell ref="X534:AG534"/>
    <mergeCell ref="D524:M524"/>
    <mergeCell ref="N524:W524"/>
    <mergeCell ref="X524:AG524"/>
    <mergeCell ref="D525:M525"/>
    <mergeCell ref="N525:W525"/>
    <mergeCell ref="X525:AG525"/>
    <mergeCell ref="D522:M522"/>
    <mergeCell ref="N522:W522"/>
    <mergeCell ref="X522:AG522"/>
    <mergeCell ref="D523:M523"/>
    <mergeCell ref="N523:W523"/>
    <mergeCell ref="X523:AG523"/>
    <mergeCell ref="D520:M520"/>
    <mergeCell ref="N520:W520"/>
    <mergeCell ref="X520:AG520"/>
    <mergeCell ref="D521:M521"/>
    <mergeCell ref="N521:W521"/>
    <mergeCell ref="X521:AG521"/>
    <mergeCell ref="D518:M518"/>
    <mergeCell ref="N518:W518"/>
    <mergeCell ref="X518:AG518"/>
    <mergeCell ref="D519:M519"/>
    <mergeCell ref="N519:W519"/>
    <mergeCell ref="X519:AG519"/>
    <mergeCell ref="D516:M516"/>
    <mergeCell ref="N516:W516"/>
    <mergeCell ref="X516:AG516"/>
    <mergeCell ref="D517:M517"/>
    <mergeCell ref="N517:W517"/>
    <mergeCell ref="X517:AG517"/>
    <mergeCell ref="D514:M514"/>
    <mergeCell ref="N514:W514"/>
    <mergeCell ref="X514:AG514"/>
    <mergeCell ref="D515:M515"/>
    <mergeCell ref="N515:W515"/>
    <mergeCell ref="X515:AG515"/>
    <mergeCell ref="D512:M512"/>
    <mergeCell ref="N512:W512"/>
    <mergeCell ref="X512:AG512"/>
    <mergeCell ref="D513:M513"/>
    <mergeCell ref="N513:W513"/>
    <mergeCell ref="X513:AG513"/>
    <mergeCell ref="D510:M510"/>
    <mergeCell ref="N510:W510"/>
    <mergeCell ref="X510:AG510"/>
    <mergeCell ref="D511:M511"/>
    <mergeCell ref="N511:W511"/>
    <mergeCell ref="X511:AG511"/>
    <mergeCell ref="D496:M496"/>
    <mergeCell ref="N496:W496"/>
    <mergeCell ref="X496:AG496"/>
    <mergeCell ref="D497:M497"/>
    <mergeCell ref="N497:W497"/>
    <mergeCell ref="X497:AG497"/>
    <mergeCell ref="D493:AG493"/>
    <mergeCell ref="D494:M494"/>
    <mergeCell ref="N494:W494"/>
    <mergeCell ref="X494:AG494"/>
    <mergeCell ref="D495:M495"/>
    <mergeCell ref="N495:W495"/>
    <mergeCell ref="X495:AG495"/>
    <mergeCell ref="D508:M508"/>
    <mergeCell ref="N508:W508"/>
    <mergeCell ref="X508:AG508"/>
    <mergeCell ref="D509:M509"/>
    <mergeCell ref="N509:W509"/>
    <mergeCell ref="X509:AG509"/>
    <mergeCell ref="D500:M500"/>
    <mergeCell ref="N500:W500"/>
    <mergeCell ref="X500:AG500"/>
    <mergeCell ref="D506:AG506"/>
    <mergeCell ref="D507:M507"/>
    <mergeCell ref="N507:W507"/>
    <mergeCell ref="X507:AG507"/>
    <mergeCell ref="D498:M498"/>
    <mergeCell ref="N498:W498"/>
    <mergeCell ref="X498:AG498"/>
    <mergeCell ref="D499:M499"/>
    <mergeCell ref="N499:W499"/>
    <mergeCell ref="X499:AG499"/>
    <mergeCell ref="D489:H489"/>
    <mergeCell ref="I489:M489"/>
    <mergeCell ref="N489:R489"/>
    <mergeCell ref="S489:W489"/>
    <mergeCell ref="X489:AB489"/>
    <mergeCell ref="AC489:AG489"/>
    <mergeCell ref="D488:H488"/>
    <mergeCell ref="I488:M488"/>
    <mergeCell ref="N488:R488"/>
    <mergeCell ref="S488:W488"/>
    <mergeCell ref="X488:AB488"/>
    <mergeCell ref="AC488:AG488"/>
    <mergeCell ref="D487:H487"/>
    <mergeCell ref="I487:M487"/>
    <mergeCell ref="N487:R487"/>
    <mergeCell ref="S487:W487"/>
    <mergeCell ref="X487:AB487"/>
    <mergeCell ref="AC487:AG487"/>
    <mergeCell ref="D486:H486"/>
    <mergeCell ref="I486:M486"/>
    <mergeCell ref="N486:R486"/>
    <mergeCell ref="S486:W486"/>
    <mergeCell ref="X486:AB486"/>
    <mergeCell ref="AC486:AG486"/>
    <mergeCell ref="D485:H485"/>
    <mergeCell ref="I485:M485"/>
    <mergeCell ref="N485:R485"/>
    <mergeCell ref="S485:W485"/>
    <mergeCell ref="X485:AB485"/>
    <mergeCell ref="AC485:AG485"/>
    <mergeCell ref="D484:H484"/>
    <mergeCell ref="I484:M484"/>
    <mergeCell ref="N484:R484"/>
    <mergeCell ref="S484:W484"/>
    <mergeCell ref="X484:AB484"/>
    <mergeCell ref="AC484:AG484"/>
    <mergeCell ref="D481:H482"/>
    <mergeCell ref="I481:AG481"/>
    <mergeCell ref="I482:M482"/>
    <mergeCell ref="N482:R482"/>
    <mergeCell ref="S482:W482"/>
    <mergeCell ref="X482:AB482"/>
    <mergeCell ref="AC482:AG482"/>
    <mergeCell ref="D478:H478"/>
    <mergeCell ref="I478:M478"/>
    <mergeCell ref="N478:R478"/>
    <mergeCell ref="S478:W478"/>
    <mergeCell ref="X478:AB478"/>
    <mergeCell ref="AC478:AG478"/>
    <mergeCell ref="D483:H483"/>
    <mergeCell ref="I483:M483"/>
    <mergeCell ref="N483:R483"/>
    <mergeCell ref="S483:W483"/>
    <mergeCell ref="X483:AB483"/>
    <mergeCell ref="AC483:AG483"/>
    <mergeCell ref="D477:H477"/>
    <mergeCell ref="I477:M477"/>
    <mergeCell ref="N477:R477"/>
    <mergeCell ref="S477:W477"/>
    <mergeCell ref="X477:AB477"/>
    <mergeCell ref="AC477:AG477"/>
    <mergeCell ref="D476:H476"/>
    <mergeCell ref="I476:M476"/>
    <mergeCell ref="N476:R476"/>
    <mergeCell ref="S476:W476"/>
    <mergeCell ref="X476:AB476"/>
    <mergeCell ref="AC476:AG476"/>
    <mergeCell ref="D475:H475"/>
    <mergeCell ref="I475:M475"/>
    <mergeCell ref="N475:R475"/>
    <mergeCell ref="S475:W475"/>
    <mergeCell ref="X475:AB475"/>
    <mergeCell ref="AC475:AG475"/>
    <mergeCell ref="D472:H472"/>
    <mergeCell ref="I472:M472"/>
    <mergeCell ref="N472:R472"/>
    <mergeCell ref="S472:W472"/>
    <mergeCell ref="X472:AB472"/>
    <mergeCell ref="AC472:AG472"/>
    <mergeCell ref="D468:AG468"/>
    <mergeCell ref="D470:H471"/>
    <mergeCell ref="I470:AG470"/>
    <mergeCell ref="I471:M471"/>
    <mergeCell ref="N471:R471"/>
    <mergeCell ref="S471:W471"/>
    <mergeCell ref="X471:AB471"/>
    <mergeCell ref="AC471:AG471"/>
    <mergeCell ref="D474:H474"/>
    <mergeCell ref="I474:M474"/>
    <mergeCell ref="N474:R474"/>
    <mergeCell ref="S474:W474"/>
    <mergeCell ref="X474:AB474"/>
    <mergeCell ref="AC474:AG474"/>
    <mergeCell ref="D473:H473"/>
    <mergeCell ref="I473:M473"/>
    <mergeCell ref="N473:R473"/>
    <mergeCell ref="S473:W473"/>
    <mergeCell ref="X473:AB473"/>
    <mergeCell ref="AC473:AG473"/>
    <mergeCell ref="D462:Q462"/>
    <mergeCell ref="R462:AG462"/>
    <mergeCell ref="D463:Q463"/>
    <mergeCell ref="R463:AG463"/>
    <mergeCell ref="D464:Q464"/>
    <mergeCell ref="R464:AG464"/>
    <mergeCell ref="D459:Q459"/>
    <mergeCell ref="R459:AG459"/>
    <mergeCell ref="D460:Q460"/>
    <mergeCell ref="R460:AG460"/>
    <mergeCell ref="D461:Q461"/>
    <mergeCell ref="R461:AG461"/>
    <mergeCell ref="D456:Q456"/>
    <mergeCell ref="R456:AG456"/>
    <mergeCell ref="D457:Q457"/>
    <mergeCell ref="R457:AG457"/>
    <mergeCell ref="D458:Q458"/>
    <mergeCell ref="R458:AG458"/>
    <mergeCell ref="D451:Q451"/>
    <mergeCell ref="R451:AG451"/>
    <mergeCell ref="D452:Q452"/>
    <mergeCell ref="R452:AG452"/>
    <mergeCell ref="D455:Q455"/>
    <mergeCell ref="R455:AG455"/>
    <mergeCell ref="D448:Q448"/>
    <mergeCell ref="R448:AG448"/>
    <mergeCell ref="D449:Q449"/>
    <mergeCell ref="R449:AG449"/>
    <mergeCell ref="D450:Q450"/>
    <mergeCell ref="R450:AG450"/>
    <mergeCell ref="D445:Q445"/>
    <mergeCell ref="R445:AG445"/>
    <mergeCell ref="D446:Q446"/>
    <mergeCell ref="R446:AG446"/>
    <mergeCell ref="D447:Q447"/>
    <mergeCell ref="R447:AG447"/>
    <mergeCell ref="D442:Q442"/>
    <mergeCell ref="R442:AG442"/>
    <mergeCell ref="D443:Q443"/>
    <mergeCell ref="R443:AG443"/>
    <mergeCell ref="D444:Q444"/>
    <mergeCell ref="R444:AG444"/>
    <mergeCell ref="D434:O434"/>
    <mergeCell ref="P434:X434"/>
    <mergeCell ref="Y434:AG434"/>
    <mergeCell ref="D439:AG439"/>
    <mergeCell ref="D441:Q441"/>
    <mergeCell ref="R441:AG441"/>
    <mergeCell ref="D432:O432"/>
    <mergeCell ref="P432:X432"/>
    <mergeCell ref="Y432:AG432"/>
    <mergeCell ref="D433:O433"/>
    <mergeCell ref="P433:X433"/>
    <mergeCell ref="Y433:AG433"/>
    <mergeCell ref="D425:AG425"/>
    <mergeCell ref="D427:O427"/>
    <mergeCell ref="P427:X427"/>
    <mergeCell ref="Y427:AG427"/>
    <mergeCell ref="D428:O428"/>
    <mergeCell ref="P428:X428"/>
    <mergeCell ref="Y428:AG428"/>
    <mergeCell ref="D420:M420"/>
    <mergeCell ref="N420:W420"/>
    <mergeCell ref="X420:AG420"/>
    <mergeCell ref="D421:M421"/>
    <mergeCell ref="N421:W421"/>
    <mergeCell ref="X421:AG421"/>
    <mergeCell ref="D431:O431"/>
    <mergeCell ref="P431:X431"/>
    <mergeCell ref="Y431:AG431"/>
    <mergeCell ref="D429:O429"/>
    <mergeCell ref="P429:X429"/>
    <mergeCell ref="Y429:AG429"/>
    <mergeCell ref="D430:O430"/>
    <mergeCell ref="P430:X430"/>
    <mergeCell ref="Y430:AG430"/>
    <mergeCell ref="D418:M418"/>
    <mergeCell ref="N418:W418"/>
    <mergeCell ref="X418:AG418"/>
    <mergeCell ref="D419:M419"/>
    <mergeCell ref="N419:W419"/>
    <mergeCell ref="X419:AG419"/>
    <mergeCell ref="D414:AG414"/>
    <mergeCell ref="D416:M416"/>
    <mergeCell ref="N416:W416"/>
    <mergeCell ref="X416:AG416"/>
    <mergeCell ref="D417:M417"/>
    <mergeCell ref="N417:W417"/>
    <mergeCell ref="X417:AG417"/>
    <mergeCell ref="D409:L409"/>
    <mergeCell ref="M409:S409"/>
    <mergeCell ref="T409:Z409"/>
    <mergeCell ref="AA409:AG409"/>
    <mergeCell ref="D410:L410"/>
    <mergeCell ref="M410:S410"/>
    <mergeCell ref="T410:Z410"/>
    <mergeCell ref="AA410:AG410"/>
    <mergeCell ref="D407:L407"/>
    <mergeCell ref="M407:S407"/>
    <mergeCell ref="T407:Z407"/>
    <mergeCell ref="AA407:AG407"/>
    <mergeCell ref="D408:L408"/>
    <mergeCell ref="M408:S408"/>
    <mergeCell ref="T408:Z408"/>
    <mergeCell ref="AA408:AG408"/>
    <mergeCell ref="D405:L405"/>
    <mergeCell ref="M405:S405"/>
    <mergeCell ref="T405:Z405"/>
    <mergeCell ref="AA405:AG405"/>
    <mergeCell ref="D406:L406"/>
    <mergeCell ref="M406:S406"/>
    <mergeCell ref="T406:Z406"/>
    <mergeCell ref="AA406:AG406"/>
    <mergeCell ref="D402:AG402"/>
    <mergeCell ref="D403:L403"/>
    <mergeCell ref="M403:S403"/>
    <mergeCell ref="T403:Z403"/>
    <mergeCell ref="AA403:AG403"/>
    <mergeCell ref="D404:L404"/>
    <mergeCell ref="M404:S404"/>
    <mergeCell ref="T404:Z404"/>
    <mergeCell ref="AA404:AG404"/>
    <mergeCell ref="D400:L400"/>
    <mergeCell ref="M400:S400"/>
    <mergeCell ref="T400:Z400"/>
    <mergeCell ref="AA400:AG400"/>
    <mergeCell ref="D401:L401"/>
    <mergeCell ref="M401:S401"/>
    <mergeCell ref="T401:Z401"/>
    <mergeCell ref="AA401:AG401"/>
    <mergeCell ref="D397:L397"/>
    <mergeCell ref="M397:S397"/>
    <mergeCell ref="T397:Z397"/>
    <mergeCell ref="AA397:AG397"/>
    <mergeCell ref="D398:L398"/>
    <mergeCell ref="M398:S398"/>
    <mergeCell ref="T398:Z398"/>
    <mergeCell ref="AA398:AG398"/>
    <mergeCell ref="D394:AG394"/>
    <mergeCell ref="D395:L395"/>
    <mergeCell ref="M395:S395"/>
    <mergeCell ref="T395:Z395"/>
    <mergeCell ref="AA395:AG395"/>
    <mergeCell ref="D396:L396"/>
    <mergeCell ref="M396:S396"/>
    <mergeCell ref="T396:Z396"/>
    <mergeCell ref="AA396:AG396"/>
    <mergeCell ref="D399:L399"/>
    <mergeCell ref="M399:S399"/>
    <mergeCell ref="T399:Z399"/>
    <mergeCell ref="AA399:AG399"/>
    <mergeCell ref="K383:L383"/>
    <mergeCell ref="K384:L384"/>
    <mergeCell ref="D386:AG387"/>
    <mergeCell ref="D391:AG391"/>
    <mergeCell ref="D393:L393"/>
    <mergeCell ref="M393:S393"/>
    <mergeCell ref="T393:Z393"/>
    <mergeCell ref="AA393:AG393"/>
    <mergeCell ref="D377:AG377"/>
    <mergeCell ref="K378:L378"/>
    <mergeCell ref="K379:L379"/>
    <mergeCell ref="K380:L380"/>
    <mergeCell ref="K381:L381"/>
    <mergeCell ref="K382:L382"/>
    <mergeCell ref="D375:H375"/>
    <mergeCell ref="I375:M375"/>
    <mergeCell ref="N375:R375"/>
    <mergeCell ref="S375:W375"/>
    <mergeCell ref="X375:AB375"/>
    <mergeCell ref="AC375:AG375"/>
    <mergeCell ref="D389:O389"/>
    <mergeCell ref="P389:R389"/>
    <mergeCell ref="D374:H374"/>
    <mergeCell ref="I374:M374"/>
    <mergeCell ref="N374:R374"/>
    <mergeCell ref="S374:W374"/>
    <mergeCell ref="X374:AB374"/>
    <mergeCell ref="AC374:AG374"/>
    <mergeCell ref="D373:H373"/>
    <mergeCell ref="I373:M373"/>
    <mergeCell ref="N373:R373"/>
    <mergeCell ref="S373:W373"/>
    <mergeCell ref="X373:AB373"/>
    <mergeCell ref="AC373:AG373"/>
    <mergeCell ref="D372:H372"/>
    <mergeCell ref="I372:M372"/>
    <mergeCell ref="N372:R372"/>
    <mergeCell ref="S372:W372"/>
    <mergeCell ref="X372:AB372"/>
    <mergeCell ref="AC372:AG372"/>
    <mergeCell ref="D371:H371"/>
    <mergeCell ref="I371:M371"/>
    <mergeCell ref="N371:R371"/>
    <mergeCell ref="S371:W371"/>
    <mergeCell ref="X371:AB371"/>
    <mergeCell ref="AC371:AG371"/>
    <mergeCell ref="D370:H370"/>
    <mergeCell ref="I370:M370"/>
    <mergeCell ref="N370:R370"/>
    <mergeCell ref="S370:W370"/>
    <mergeCell ref="X370:AB370"/>
    <mergeCell ref="AC370:AG370"/>
    <mergeCell ref="D363:AG363"/>
    <mergeCell ref="D366:AG366"/>
    <mergeCell ref="D368:H369"/>
    <mergeCell ref="I368:AG368"/>
    <mergeCell ref="I369:M369"/>
    <mergeCell ref="N369:R369"/>
    <mergeCell ref="S369:W369"/>
    <mergeCell ref="X369:AB369"/>
    <mergeCell ref="AC369:AG369"/>
    <mergeCell ref="D349:H349"/>
    <mergeCell ref="I349:M349"/>
    <mergeCell ref="N349:R349"/>
    <mergeCell ref="S349:W349"/>
    <mergeCell ref="X349:AB349"/>
    <mergeCell ref="AC349:AG349"/>
    <mergeCell ref="D348:H348"/>
    <mergeCell ref="I348:M348"/>
    <mergeCell ref="N348:R348"/>
    <mergeCell ref="S348:W348"/>
    <mergeCell ref="X348:AB348"/>
    <mergeCell ref="AC348:AG348"/>
    <mergeCell ref="D347:H347"/>
    <mergeCell ref="I347:M347"/>
    <mergeCell ref="N347:R347"/>
    <mergeCell ref="S347:W347"/>
    <mergeCell ref="X347:AB347"/>
    <mergeCell ref="AC347:AG347"/>
    <mergeCell ref="D346:H346"/>
    <mergeCell ref="I346:M346"/>
    <mergeCell ref="N346:R346"/>
    <mergeCell ref="S346:W346"/>
    <mergeCell ref="X346:AB346"/>
    <mergeCell ref="AC346:AG346"/>
    <mergeCell ref="D345:H345"/>
    <mergeCell ref="I345:M345"/>
    <mergeCell ref="N345:R345"/>
    <mergeCell ref="S345:W345"/>
    <mergeCell ref="X345:AB345"/>
    <mergeCell ref="AC345:AG345"/>
    <mergeCell ref="D344:H344"/>
    <mergeCell ref="I344:M344"/>
    <mergeCell ref="N344:R344"/>
    <mergeCell ref="S344:W344"/>
    <mergeCell ref="X344:AB344"/>
    <mergeCell ref="AC344:AG344"/>
    <mergeCell ref="D343:H343"/>
    <mergeCell ref="I343:M343"/>
    <mergeCell ref="N343:R343"/>
    <mergeCell ref="S343:W343"/>
    <mergeCell ref="X343:AB343"/>
    <mergeCell ref="AC343:AG343"/>
    <mergeCell ref="D342:H342"/>
    <mergeCell ref="I342:M342"/>
    <mergeCell ref="N342:R342"/>
    <mergeCell ref="S342:W342"/>
    <mergeCell ref="X342:AB342"/>
    <mergeCell ref="AC342:AG342"/>
    <mergeCell ref="D340:H341"/>
    <mergeCell ref="I340:AG340"/>
    <mergeCell ref="I341:M341"/>
    <mergeCell ref="N341:R341"/>
    <mergeCell ref="S341:W341"/>
    <mergeCell ref="X341:AB341"/>
    <mergeCell ref="AC341:AG341"/>
    <mergeCell ref="D328:AG330"/>
    <mergeCell ref="D339:AG339"/>
    <mergeCell ref="T318:V318"/>
    <mergeCell ref="W318:Y318"/>
    <mergeCell ref="Z318:AB318"/>
    <mergeCell ref="AC318:AE318"/>
    <mergeCell ref="AF318:AH318"/>
    <mergeCell ref="T317:V317"/>
    <mergeCell ref="W314:Y314"/>
    <mergeCell ref="Z314:AB314"/>
    <mergeCell ref="AC314:AE314"/>
    <mergeCell ref="AF314:AH314"/>
    <mergeCell ref="W313:Y313"/>
    <mergeCell ref="Z313:AB313"/>
    <mergeCell ref="AC313:AE313"/>
    <mergeCell ref="AF313:AH313"/>
    <mergeCell ref="D314:G314"/>
    <mergeCell ref="H314:J314"/>
    <mergeCell ref="N314:P314"/>
    <mergeCell ref="W317:Y317"/>
    <mergeCell ref="Z317:AB317"/>
    <mergeCell ref="AC317:AE317"/>
    <mergeCell ref="AF317:AH317"/>
    <mergeCell ref="D318:G318"/>
    <mergeCell ref="H318:J318"/>
    <mergeCell ref="K318:M318"/>
    <mergeCell ref="N318:P318"/>
    <mergeCell ref="Q318:S318"/>
    <mergeCell ref="W315:Y315"/>
    <mergeCell ref="Z315:AB315"/>
    <mergeCell ref="AC315:AE315"/>
    <mergeCell ref="D322:AG324"/>
    <mergeCell ref="D296:G297"/>
    <mergeCell ref="H296:AH296"/>
    <mergeCell ref="H297:J297"/>
    <mergeCell ref="K297:M297"/>
    <mergeCell ref="N297:P297"/>
    <mergeCell ref="D299:G299"/>
    <mergeCell ref="H299:J299"/>
    <mergeCell ref="K299:M299"/>
    <mergeCell ref="N299:P299"/>
    <mergeCell ref="Q299:S299"/>
    <mergeCell ref="T299:V299"/>
    <mergeCell ref="AC300:AE300"/>
    <mergeCell ref="AF300:AH300"/>
    <mergeCell ref="AC299:AE299"/>
    <mergeCell ref="AF299:AH299"/>
    <mergeCell ref="D300:G300"/>
    <mergeCell ref="H300:J300"/>
    <mergeCell ref="K300:M300"/>
    <mergeCell ref="N300:P300"/>
    <mergeCell ref="Q300:S300"/>
    <mergeCell ref="T300:V300"/>
    <mergeCell ref="W300:Y300"/>
    <mergeCell ref="Z300:AB300"/>
    <mergeCell ref="D298:AH298"/>
    <mergeCell ref="Q297:S297"/>
    <mergeCell ref="T297:V297"/>
    <mergeCell ref="W297:Y297"/>
    <mergeCell ref="Z297:AB297"/>
    <mergeCell ref="AC297:AE297"/>
    <mergeCell ref="AF297:AH297"/>
    <mergeCell ref="W299:Y299"/>
    <mergeCell ref="Z299:AB299"/>
    <mergeCell ref="T292:V292"/>
    <mergeCell ref="W292:Y292"/>
    <mergeCell ref="Z292:AB292"/>
    <mergeCell ref="AC292:AE292"/>
    <mergeCell ref="AF292:AH292"/>
    <mergeCell ref="D293:G293"/>
    <mergeCell ref="H293:J293"/>
    <mergeCell ref="K293:M293"/>
    <mergeCell ref="N293:P293"/>
    <mergeCell ref="Q293:S293"/>
    <mergeCell ref="W290:Y290"/>
    <mergeCell ref="Z290:AB290"/>
    <mergeCell ref="AC290:AE290"/>
    <mergeCell ref="AF290:AH290"/>
    <mergeCell ref="D291:AH291"/>
    <mergeCell ref="D292:G292"/>
    <mergeCell ref="H292:J292"/>
    <mergeCell ref="K292:M292"/>
    <mergeCell ref="N292:P292"/>
    <mergeCell ref="Q292:S292"/>
    <mergeCell ref="T293:V293"/>
    <mergeCell ref="W293:Y293"/>
    <mergeCell ref="Z293:AB293"/>
    <mergeCell ref="AC293:AE293"/>
    <mergeCell ref="AF293:AH293"/>
    <mergeCell ref="W289:Y289"/>
    <mergeCell ref="Z289:AB289"/>
    <mergeCell ref="AC289:AE289"/>
    <mergeCell ref="AF289:AH289"/>
    <mergeCell ref="D290:G290"/>
    <mergeCell ref="H290:J290"/>
    <mergeCell ref="K290:M290"/>
    <mergeCell ref="N290:P290"/>
    <mergeCell ref="Q290:S290"/>
    <mergeCell ref="T290:V290"/>
    <mergeCell ref="W288:Y288"/>
    <mergeCell ref="Z288:AB288"/>
    <mergeCell ref="AC288:AE288"/>
    <mergeCell ref="AF288:AH288"/>
    <mergeCell ref="D289:G289"/>
    <mergeCell ref="H289:J289"/>
    <mergeCell ref="K289:M289"/>
    <mergeCell ref="N289:P289"/>
    <mergeCell ref="Q289:S289"/>
    <mergeCell ref="T289:V289"/>
    <mergeCell ref="W287:Y287"/>
    <mergeCell ref="Z287:AB287"/>
    <mergeCell ref="AC287:AE287"/>
    <mergeCell ref="AF287:AH287"/>
    <mergeCell ref="D288:G288"/>
    <mergeCell ref="H288:J288"/>
    <mergeCell ref="K288:M288"/>
    <mergeCell ref="N288:P288"/>
    <mergeCell ref="Q288:S288"/>
    <mergeCell ref="T288:V288"/>
    <mergeCell ref="W286:Y286"/>
    <mergeCell ref="Z286:AB286"/>
    <mergeCell ref="AC286:AE286"/>
    <mergeCell ref="AF286:AH286"/>
    <mergeCell ref="D287:G287"/>
    <mergeCell ref="H287:J287"/>
    <mergeCell ref="K287:M287"/>
    <mergeCell ref="N287:P287"/>
    <mergeCell ref="Q287:S287"/>
    <mergeCell ref="T287:V287"/>
    <mergeCell ref="Z284:AB284"/>
    <mergeCell ref="AC284:AE284"/>
    <mergeCell ref="AF284:AH284"/>
    <mergeCell ref="D285:AH285"/>
    <mergeCell ref="D286:G286"/>
    <mergeCell ref="H286:J286"/>
    <mergeCell ref="K286:M286"/>
    <mergeCell ref="N286:P286"/>
    <mergeCell ref="Q286:S286"/>
    <mergeCell ref="T286:V286"/>
    <mergeCell ref="Z283:AB283"/>
    <mergeCell ref="AC283:AE283"/>
    <mergeCell ref="AF283:AH283"/>
    <mergeCell ref="D284:G284"/>
    <mergeCell ref="H284:J284"/>
    <mergeCell ref="K284:M284"/>
    <mergeCell ref="N284:P284"/>
    <mergeCell ref="Q284:S284"/>
    <mergeCell ref="T284:V284"/>
    <mergeCell ref="W284:Y284"/>
    <mergeCell ref="Z282:AB282"/>
    <mergeCell ref="AC282:AE282"/>
    <mergeCell ref="AF282:AH282"/>
    <mergeCell ref="D283:G283"/>
    <mergeCell ref="H283:J283"/>
    <mergeCell ref="K283:M283"/>
    <mergeCell ref="N283:P283"/>
    <mergeCell ref="Q283:S283"/>
    <mergeCell ref="T283:V283"/>
    <mergeCell ref="W283:Y283"/>
    <mergeCell ref="Z281:AB281"/>
    <mergeCell ref="AC281:AE281"/>
    <mergeCell ref="AF281:AH281"/>
    <mergeCell ref="D282:G282"/>
    <mergeCell ref="H282:J282"/>
    <mergeCell ref="K282:M282"/>
    <mergeCell ref="N282:P282"/>
    <mergeCell ref="Q282:S282"/>
    <mergeCell ref="T282:V282"/>
    <mergeCell ref="W282:Y282"/>
    <mergeCell ref="Z280:AB280"/>
    <mergeCell ref="AC280:AE280"/>
    <mergeCell ref="AF280:AH280"/>
    <mergeCell ref="D281:G281"/>
    <mergeCell ref="H281:J281"/>
    <mergeCell ref="K281:M281"/>
    <mergeCell ref="N281:P281"/>
    <mergeCell ref="Q281:S281"/>
    <mergeCell ref="T281:V281"/>
    <mergeCell ref="W281:Y281"/>
    <mergeCell ref="AC278:AE278"/>
    <mergeCell ref="AF278:AH278"/>
    <mergeCell ref="D279:AH279"/>
    <mergeCell ref="D280:G280"/>
    <mergeCell ref="H280:J280"/>
    <mergeCell ref="K280:M280"/>
    <mergeCell ref="N280:P280"/>
    <mergeCell ref="Q280:S280"/>
    <mergeCell ref="T280:V280"/>
    <mergeCell ref="W280:Y280"/>
    <mergeCell ref="AC277:AE277"/>
    <mergeCell ref="AF277:AH277"/>
    <mergeCell ref="D278:G278"/>
    <mergeCell ref="H278:J278"/>
    <mergeCell ref="K278:M278"/>
    <mergeCell ref="N278:P278"/>
    <mergeCell ref="Q278:S278"/>
    <mergeCell ref="T278:V278"/>
    <mergeCell ref="W278:Y278"/>
    <mergeCell ref="Z278:AB278"/>
    <mergeCell ref="AC276:AE276"/>
    <mergeCell ref="AF276:AH276"/>
    <mergeCell ref="D277:G277"/>
    <mergeCell ref="H277:J277"/>
    <mergeCell ref="K277:M277"/>
    <mergeCell ref="N277:P277"/>
    <mergeCell ref="Q277:S277"/>
    <mergeCell ref="T277:V277"/>
    <mergeCell ref="W277:Y277"/>
    <mergeCell ref="Z277:AB277"/>
    <mergeCell ref="AC275:AE275"/>
    <mergeCell ref="AF275:AH275"/>
    <mergeCell ref="D276:G276"/>
    <mergeCell ref="H276:J276"/>
    <mergeCell ref="K276:M276"/>
    <mergeCell ref="N276:P276"/>
    <mergeCell ref="Q276:S276"/>
    <mergeCell ref="T276:V276"/>
    <mergeCell ref="W276:Y276"/>
    <mergeCell ref="Z276:AB276"/>
    <mergeCell ref="AC274:AE274"/>
    <mergeCell ref="AF274:AH274"/>
    <mergeCell ref="D275:G275"/>
    <mergeCell ref="H275:J275"/>
    <mergeCell ref="K275:M275"/>
    <mergeCell ref="N275:P275"/>
    <mergeCell ref="Q275:S275"/>
    <mergeCell ref="T275:V275"/>
    <mergeCell ref="W275:Y275"/>
    <mergeCell ref="Z275:AB275"/>
    <mergeCell ref="AF272:AH272"/>
    <mergeCell ref="D273:AH273"/>
    <mergeCell ref="D274:G274"/>
    <mergeCell ref="H274:J274"/>
    <mergeCell ref="K274:M274"/>
    <mergeCell ref="N274:P274"/>
    <mergeCell ref="Q274:S274"/>
    <mergeCell ref="T274:V274"/>
    <mergeCell ref="W274:Y274"/>
    <mergeCell ref="Z274:AB274"/>
    <mergeCell ref="D271:G272"/>
    <mergeCell ref="H271:AH271"/>
    <mergeCell ref="H272:J272"/>
    <mergeCell ref="K272:M272"/>
    <mergeCell ref="N272:P272"/>
    <mergeCell ref="Q272:S272"/>
    <mergeCell ref="T272:V272"/>
    <mergeCell ref="W272:Y272"/>
    <mergeCell ref="Z272:AB272"/>
    <mergeCell ref="AC272:AE272"/>
    <mergeCell ref="Y264:AA264"/>
    <mergeCell ref="AB264:AD264"/>
    <mergeCell ref="AE264:AG264"/>
    <mergeCell ref="D264:I264"/>
    <mergeCell ref="J264:L264"/>
    <mergeCell ref="M264:O264"/>
    <mergeCell ref="P264:R264"/>
    <mergeCell ref="S264:U264"/>
    <mergeCell ref="V264:X264"/>
    <mergeCell ref="D262:AG262"/>
    <mergeCell ref="D263:I263"/>
    <mergeCell ref="J263:L263"/>
    <mergeCell ref="M263:O263"/>
    <mergeCell ref="P263:R263"/>
    <mergeCell ref="S263:U263"/>
    <mergeCell ref="V263:X263"/>
    <mergeCell ref="Y263:AA263"/>
    <mergeCell ref="AB263:AD263"/>
    <mergeCell ref="AE263:AG263"/>
    <mergeCell ref="AE260:AG260"/>
    <mergeCell ref="D261:I261"/>
    <mergeCell ref="J261:L261"/>
    <mergeCell ref="M261:O261"/>
    <mergeCell ref="P261:R261"/>
    <mergeCell ref="S261:U261"/>
    <mergeCell ref="V261:X261"/>
    <mergeCell ref="Y261:AA261"/>
    <mergeCell ref="AB261:AD261"/>
    <mergeCell ref="AE261:AG261"/>
    <mergeCell ref="AB259:AD259"/>
    <mergeCell ref="AE259:AG259"/>
    <mergeCell ref="D260:I260"/>
    <mergeCell ref="J260:L260"/>
    <mergeCell ref="M260:O260"/>
    <mergeCell ref="P260:R260"/>
    <mergeCell ref="S260:U260"/>
    <mergeCell ref="V260:X260"/>
    <mergeCell ref="Y260:AA260"/>
    <mergeCell ref="AB260:AD260"/>
    <mergeCell ref="Y258:AA258"/>
    <mergeCell ref="AB258:AD258"/>
    <mergeCell ref="AE258:AG258"/>
    <mergeCell ref="D259:I259"/>
    <mergeCell ref="J259:L259"/>
    <mergeCell ref="M259:O259"/>
    <mergeCell ref="P259:R259"/>
    <mergeCell ref="S259:U259"/>
    <mergeCell ref="V259:X259"/>
    <mergeCell ref="Y259:AA259"/>
    <mergeCell ref="D258:I258"/>
    <mergeCell ref="J258:L258"/>
    <mergeCell ref="M258:O258"/>
    <mergeCell ref="P258:R258"/>
    <mergeCell ref="S258:U258"/>
    <mergeCell ref="V258:X258"/>
    <mergeCell ref="D256:AG256"/>
    <mergeCell ref="D257:I257"/>
    <mergeCell ref="J257:L257"/>
    <mergeCell ref="M257:O257"/>
    <mergeCell ref="P257:R257"/>
    <mergeCell ref="S257:U257"/>
    <mergeCell ref="V257:X257"/>
    <mergeCell ref="Y257:AA257"/>
    <mergeCell ref="AB257:AD257"/>
    <mergeCell ref="AE257:AG257"/>
    <mergeCell ref="AE254:AG254"/>
    <mergeCell ref="D255:I255"/>
    <mergeCell ref="J255:L255"/>
    <mergeCell ref="M255:O255"/>
    <mergeCell ref="P255:R255"/>
    <mergeCell ref="S255:U255"/>
    <mergeCell ref="V255:X255"/>
    <mergeCell ref="Y255:AA255"/>
    <mergeCell ref="AB255:AD255"/>
    <mergeCell ref="AE255:AG255"/>
    <mergeCell ref="AB253:AD253"/>
    <mergeCell ref="AE253:AG253"/>
    <mergeCell ref="D254:I254"/>
    <mergeCell ref="J254:L254"/>
    <mergeCell ref="M254:O254"/>
    <mergeCell ref="P254:R254"/>
    <mergeCell ref="S254:U254"/>
    <mergeCell ref="V254:X254"/>
    <mergeCell ref="Y254:AA254"/>
    <mergeCell ref="AB254:AD254"/>
    <mergeCell ref="Y252:AA252"/>
    <mergeCell ref="AB252:AD252"/>
    <mergeCell ref="AE252:AG252"/>
    <mergeCell ref="D253:I253"/>
    <mergeCell ref="J253:L253"/>
    <mergeCell ref="M253:O253"/>
    <mergeCell ref="P253:R253"/>
    <mergeCell ref="S253:U253"/>
    <mergeCell ref="V253:X253"/>
    <mergeCell ref="Y253:AA253"/>
    <mergeCell ref="D252:I252"/>
    <mergeCell ref="J252:L252"/>
    <mergeCell ref="M252:O252"/>
    <mergeCell ref="P252:R252"/>
    <mergeCell ref="S252:U252"/>
    <mergeCell ref="V252:X252"/>
    <mergeCell ref="D250:AG250"/>
    <mergeCell ref="D251:I251"/>
    <mergeCell ref="J251:L251"/>
    <mergeCell ref="M251:O251"/>
    <mergeCell ref="P251:R251"/>
    <mergeCell ref="S251:U251"/>
    <mergeCell ref="V251:X251"/>
    <mergeCell ref="Y251:AA251"/>
    <mergeCell ref="AB251:AD251"/>
    <mergeCell ref="AE251:AG251"/>
    <mergeCell ref="AE248:AG248"/>
    <mergeCell ref="D249:I249"/>
    <mergeCell ref="J249:L249"/>
    <mergeCell ref="M249:O249"/>
    <mergeCell ref="P249:R249"/>
    <mergeCell ref="S249:U249"/>
    <mergeCell ref="V249:X249"/>
    <mergeCell ref="Y249:AA249"/>
    <mergeCell ref="AB249:AD249"/>
    <mergeCell ref="AE249:AG249"/>
    <mergeCell ref="AB247:AD247"/>
    <mergeCell ref="AE247:AG247"/>
    <mergeCell ref="D248:I248"/>
    <mergeCell ref="J248:L248"/>
    <mergeCell ref="M248:O248"/>
    <mergeCell ref="P248:R248"/>
    <mergeCell ref="S248:U248"/>
    <mergeCell ref="V248:X248"/>
    <mergeCell ref="Y248:AA248"/>
    <mergeCell ref="AB248:AD248"/>
    <mergeCell ref="Y246:AA246"/>
    <mergeCell ref="AB246:AD246"/>
    <mergeCell ref="AE246:AG246"/>
    <mergeCell ref="D247:I247"/>
    <mergeCell ref="J247:L247"/>
    <mergeCell ref="M247:O247"/>
    <mergeCell ref="P247:R247"/>
    <mergeCell ref="S247:U247"/>
    <mergeCell ref="V247:X247"/>
    <mergeCell ref="Y247:AA247"/>
    <mergeCell ref="D246:I246"/>
    <mergeCell ref="J246:L246"/>
    <mergeCell ref="M246:O246"/>
    <mergeCell ref="P246:R246"/>
    <mergeCell ref="S246:U246"/>
    <mergeCell ref="V246:X246"/>
    <mergeCell ref="D244:AG244"/>
    <mergeCell ref="D245:I245"/>
    <mergeCell ref="J245:L245"/>
    <mergeCell ref="M245:O245"/>
    <mergeCell ref="P245:R245"/>
    <mergeCell ref="S245:U245"/>
    <mergeCell ref="V245:X245"/>
    <mergeCell ref="Y245:AA245"/>
    <mergeCell ref="AB245:AD245"/>
    <mergeCell ref="AE245:AG245"/>
    <mergeCell ref="D242:I243"/>
    <mergeCell ref="J242:AG242"/>
    <mergeCell ref="J243:L243"/>
    <mergeCell ref="M243:O243"/>
    <mergeCell ref="P243:R243"/>
    <mergeCell ref="S243:U243"/>
    <mergeCell ref="V243:X243"/>
    <mergeCell ref="Y243:AA243"/>
    <mergeCell ref="AB243:AD243"/>
    <mergeCell ref="AE243:AG243"/>
    <mergeCell ref="AE233:AG233"/>
    <mergeCell ref="D234:I234"/>
    <mergeCell ref="J234:L234"/>
    <mergeCell ref="M234:O234"/>
    <mergeCell ref="P234:R234"/>
    <mergeCell ref="S234:U234"/>
    <mergeCell ref="V234:X234"/>
    <mergeCell ref="Y234:AA234"/>
    <mergeCell ref="AB234:AD234"/>
    <mergeCell ref="AE234:AG234"/>
    <mergeCell ref="P233:R233"/>
    <mergeCell ref="S233:U233"/>
    <mergeCell ref="V233:X233"/>
    <mergeCell ref="Y233:AA233"/>
    <mergeCell ref="AB233:AD233"/>
    <mergeCell ref="AB230:AD230"/>
    <mergeCell ref="AE230:AG230"/>
    <mergeCell ref="D231:I231"/>
    <mergeCell ref="J231:L231"/>
    <mergeCell ref="M231:O231"/>
    <mergeCell ref="P231:R231"/>
    <mergeCell ref="S231:U231"/>
    <mergeCell ref="V231:X231"/>
    <mergeCell ref="Y231:AA231"/>
    <mergeCell ref="AB231:AD231"/>
    <mergeCell ref="D230:I230"/>
    <mergeCell ref="J230:L230"/>
    <mergeCell ref="M230:O230"/>
    <mergeCell ref="P230:R230"/>
    <mergeCell ref="S230:U230"/>
    <mergeCell ref="V230:X230"/>
    <mergeCell ref="Y230:AA230"/>
    <mergeCell ref="AN224:AP224"/>
    <mergeCell ref="P223:R223"/>
    <mergeCell ref="S223:U223"/>
    <mergeCell ref="V223:X223"/>
    <mergeCell ref="D229:I229"/>
    <mergeCell ref="J229:L229"/>
    <mergeCell ref="M229:O229"/>
    <mergeCell ref="P229:R229"/>
    <mergeCell ref="S229:U229"/>
    <mergeCell ref="V229:X229"/>
    <mergeCell ref="AE227:AG227"/>
    <mergeCell ref="D228:I228"/>
    <mergeCell ref="J228:L228"/>
    <mergeCell ref="M228:O228"/>
    <mergeCell ref="P228:R228"/>
    <mergeCell ref="S228:U228"/>
    <mergeCell ref="V228:X228"/>
    <mergeCell ref="Y228:AA228"/>
    <mergeCell ref="AB228:AD228"/>
    <mergeCell ref="AE228:AG228"/>
    <mergeCell ref="M227:O227"/>
    <mergeCell ref="P227:R227"/>
    <mergeCell ref="S227:U227"/>
    <mergeCell ref="V227:X227"/>
    <mergeCell ref="Y227:AA227"/>
    <mergeCell ref="AB227:AD227"/>
    <mergeCell ref="T86:X86"/>
    <mergeCell ref="Y86:AC86"/>
    <mergeCell ref="D52:O52"/>
    <mergeCell ref="D167:AG170"/>
    <mergeCell ref="D171:AG171"/>
    <mergeCell ref="D175:AG176"/>
    <mergeCell ref="D178:AG179"/>
    <mergeCell ref="D135:AG136"/>
    <mergeCell ref="D114:N114"/>
    <mergeCell ref="O114:S114"/>
    <mergeCell ref="T114:X114"/>
    <mergeCell ref="Y114:AC114"/>
    <mergeCell ref="D115:N115"/>
    <mergeCell ref="D217:I217"/>
    <mergeCell ref="J217:L217"/>
    <mergeCell ref="M217:O217"/>
    <mergeCell ref="P217:R217"/>
    <mergeCell ref="S217:U217"/>
    <mergeCell ref="V217:X217"/>
    <mergeCell ref="Y216:AA216"/>
    <mergeCell ref="AB216:AD216"/>
    <mergeCell ref="AE216:AG216"/>
    <mergeCell ref="P215:R215"/>
    <mergeCell ref="S215:U215"/>
    <mergeCell ref="V215:X215"/>
    <mergeCell ref="Y215:AA215"/>
    <mergeCell ref="AB215:AD215"/>
    <mergeCell ref="Y115:AC115"/>
    <mergeCell ref="D159:AG160"/>
    <mergeCell ref="Y217:AA217"/>
    <mergeCell ref="AB217:AD217"/>
    <mergeCell ref="AE217:AG217"/>
    <mergeCell ref="D111:N111"/>
    <mergeCell ref="O111:S111"/>
    <mergeCell ref="T111:X111"/>
    <mergeCell ref="Y111:AC111"/>
    <mergeCell ref="D97:AG98"/>
    <mergeCell ref="D100:AG103"/>
    <mergeCell ref="D87:N87"/>
    <mergeCell ref="O87:S87"/>
    <mergeCell ref="T87:X87"/>
    <mergeCell ref="D212:I213"/>
    <mergeCell ref="J212:AG212"/>
    <mergeCell ref="J213:L213"/>
    <mergeCell ref="M213:O213"/>
    <mergeCell ref="P213:R213"/>
    <mergeCell ref="S213:U213"/>
    <mergeCell ref="V213:X213"/>
    <mergeCell ref="Y213:AA213"/>
    <mergeCell ref="AB213:AD213"/>
    <mergeCell ref="D140:AG141"/>
    <mergeCell ref="D145:AG145"/>
    <mergeCell ref="D146:AG147"/>
    <mergeCell ref="D151:AG152"/>
    <mergeCell ref="D154:AG155"/>
    <mergeCell ref="D117:AG118"/>
    <mergeCell ref="D122:AG125"/>
    <mergeCell ref="D127:AG127"/>
    <mergeCell ref="O112:S112"/>
    <mergeCell ref="T112:X112"/>
    <mergeCell ref="Y112:AC112"/>
    <mergeCell ref="D113:N113"/>
    <mergeCell ref="O113:S113"/>
    <mergeCell ref="T113:X113"/>
    <mergeCell ref="AC40:AG40"/>
    <mergeCell ref="D29:O29"/>
    <mergeCell ref="P29:X29"/>
    <mergeCell ref="O115:S115"/>
    <mergeCell ref="T115:X115"/>
    <mergeCell ref="D164:AG165"/>
    <mergeCell ref="D39:M39"/>
    <mergeCell ref="N39:R39"/>
    <mergeCell ref="S39:W39"/>
    <mergeCell ref="X39:AB39"/>
    <mergeCell ref="AC39:AG39"/>
    <mergeCell ref="D27:O27"/>
    <mergeCell ref="P27:X27"/>
    <mergeCell ref="Y27:AG27"/>
    <mergeCell ref="D28:O28"/>
    <mergeCell ref="P28:X28"/>
    <mergeCell ref="Y28:AG28"/>
    <mergeCell ref="D67:AG68"/>
    <mergeCell ref="D73:AG74"/>
    <mergeCell ref="D64:AG65"/>
    <mergeCell ref="T52:AE52"/>
    <mergeCell ref="Y87:AC87"/>
    <mergeCell ref="D89:AG90"/>
    <mergeCell ref="D94:AG95"/>
    <mergeCell ref="D78:AG79"/>
    <mergeCell ref="D83:AG85"/>
    <mergeCell ref="O86:S86"/>
    <mergeCell ref="D42:AG46"/>
    <mergeCell ref="D47:AG48"/>
    <mergeCell ref="D106:AG108"/>
    <mergeCell ref="O110:S110"/>
    <mergeCell ref="D112:N112"/>
    <mergeCell ref="B1:AH1"/>
    <mergeCell ref="D9:AG12"/>
    <mergeCell ref="D14:AG15"/>
    <mergeCell ref="D26:O26"/>
    <mergeCell ref="P26:X26"/>
    <mergeCell ref="Y26:AG26"/>
    <mergeCell ref="D38:M38"/>
    <mergeCell ref="N38:R38"/>
    <mergeCell ref="S38:W38"/>
    <mergeCell ref="X38:AB38"/>
    <mergeCell ref="AC38:AG38"/>
    <mergeCell ref="Y29:AG29"/>
    <mergeCell ref="D32:AG33"/>
    <mergeCell ref="D35:M36"/>
    <mergeCell ref="N35:W35"/>
    <mergeCell ref="X35:AB36"/>
    <mergeCell ref="N36:R36"/>
    <mergeCell ref="S36:W36"/>
    <mergeCell ref="AC35:AG36"/>
    <mergeCell ref="D37:M37"/>
    <mergeCell ref="N37:R37"/>
    <mergeCell ref="S37:W37"/>
    <mergeCell ref="X37:AB37"/>
    <mergeCell ref="AC37:AG37"/>
    <mergeCell ref="D40:M40"/>
    <mergeCell ref="N40:R40"/>
    <mergeCell ref="S40:W40"/>
    <mergeCell ref="X40:AB40"/>
    <mergeCell ref="T110:X110"/>
    <mergeCell ref="Y110:AC110"/>
    <mergeCell ref="V590:Y590"/>
    <mergeCell ref="AD587:AG587"/>
    <mergeCell ref="AD590:AG590"/>
    <mergeCell ref="AD592:AG592"/>
    <mergeCell ref="D591:I591"/>
    <mergeCell ref="N591:Q591"/>
    <mergeCell ref="D597:AG597"/>
    <mergeCell ref="D599:AG600"/>
    <mergeCell ref="D602:M603"/>
    <mergeCell ref="N608:W608"/>
    <mergeCell ref="X608:AG608"/>
    <mergeCell ref="D608:M608"/>
    <mergeCell ref="D190:AG192"/>
    <mergeCell ref="E194:AG195"/>
    <mergeCell ref="D181:AG181"/>
    <mergeCell ref="D185:AG186"/>
    <mergeCell ref="D221:I221"/>
    <mergeCell ref="J589:M589"/>
    <mergeCell ref="J587:M587"/>
    <mergeCell ref="R587:U587"/>
    <mergeCell ref="J590:M590"/>
    <mergeCell ref="R590:U590"/>
    <mergeCell ref="Z587:AC587"/>
    <mergeCell ref="Z590:AC590"/>
    <mergeCell ref="N587:Q587"/>
    <mergeCell ref="N590:Q590"/>
    <mergeCell ref="E196:AG197"/>
    <mergeCell ref="AE215:AG215"/>
    <mergeCell ref="D216:I216"/>
    <mergeCell ref="J216:L216"/>
    <mergeCell ref="M216:O216"/>
    <mergeCell ref="P216:R216"/>
    <mergeCell ref="S216:U216"/>
    <mergeCell ref="V216:X216"/>
    <mergeCell ref="E198:AG198"/>
    <mergeCell ref="D200:AG200"/>
    <mergeCell ref="AD586:AG586"/>
    <mergeCell ref="D579:I579"/>
    <mergeCell ref="J579:M579"/>
    <mergeCell ref="N579:Q579"/>
    <mergeCell ref="AE219:AG219"/>
    <mergeCell ref="D220:AG220"/>
    <mergeCell ref="AD582:AG582"/>
    <mergeCell ref="Y222:AA222"/>
    <mergeCell ref="AB222:AD222"/>
    <mergeCell ref="AE222:AG222"/>
    <mergeCell ref="M221:O221"/>
    <mergeCell ref="P221:R221"/>
    <mergeCell ref="S221:U221"/>
    <mergeCell ref="V221:X221"/>
    <mergeCell ref="Y221:AA221"/>
    <mergeCell ref="AB221:AD221"/>
    <mergeCell ref="M223:O223"/>
    <mergeCell ref="AB224:AD224"/>
    <mergeCell ref="AE224:AG224"/>
    <mergeCell ref="D225:I225"/>
    <mergeCell ref="J225:L225"/>
    <mergeCell ref="M225:O225"/>
    <mergeCell ref="M222:O222"/>
    <mergeCell ref="P222:R222"/>
    <mergeCell ref="S222:U222"/>
    <mergeCell ref="V222:X222"/>
    <mergeCell ref="N614:W614"/>
    <mergeCell ref="X614:AG614"/>
    <mergeCell ref="D615:M615"/>
    <mergeCell ref="N615:W615"/>
    <mergeCell ref="X615:AG615"/>
    <mergeCell ref="N602:W603"/>
    <mergeCell ref="X602:AG603"/>
    <mergeCell ref="D590:I590"/>
    <mergeCell ref="N605:W605"/>
    <mergeCell ref="X605:AG605"/>
    <mergeCell ref="R594:U594"/>
    <mergeCell ref="V594:Y594"/>
    <mergeCell ref="Z594:AC594"/>
    <mergeCell ref="AD594:AG594"/>
    <mergeCell ref="Z591:AC591"/>
    <mergeCell ref="P225:R225"/>
    <mergeCell ref="S225:U225"/>
    <mergeCell ref="V225:X225"/>
    <mergeCell ref="Y225:AA225"/>
    <mergeCell ref="AB225:AD225"/>
    <mergeCell ref="Y229:AA229"/>
    <mergeCell ref="AB229:AD229"/>
    <mergeCell ref="AE229:AG229"/>
    <mergeCell ref="AE231:AG231"/>
    <mergeCell ref="D232:AG232"/>
    <mergeCell ref="D233:I233"/>
    <mergeCell ref="J233:L233"/>
    <mergeCell ref="M233:O233"/>
    <mergeCell ref="AD575:AG575"/>
    <mergeCell ref="J584:M584"/>
    <mergeCell ref="N584:Q584"/>
    <mergeCell ref="R584:U584"/>
    <mergeCell ref="Y113:AC113"/>
    <mergeCell ref="AE213:AG213"/>
    <mergeCell ref="D214:AG214"/>
    <mergeCell ref="D215:I215"/>
    <mergeCell ref="J215:L215"/>
    <mergeCell ref="M215:O215"/>
    <mergeCell ref="D131:AG133"/>
    <mergeCell ref="J223:L223"/>
    <mergeCell ref="J221:L221"/>
    <mergeCell ref="AB218:AD218"/>
    <mergeCell ref="AE218:AG218"/>
    <mergeCell ref="D219:I219"/>
    <mergeCell ref="J219:L219"/>
    <mergeCell ref="M219:O219"/>
    <mergeCell ref="P219:R219"/>
    <mergeCell ref="S219:U219"/>
    <mergeCell ref="V219:X219"/>
    <mergeCell ref="D218:I218"/>
    <mergeCell ref="J218:L218"/>
    <mergeCell ref="M218:O218"/>
    <mergeCell ref="P218:R218"/>
    <mergeCell ref="S218:U218"/>
    <mergeCell ref="V218:X218"/>
    <mergeCell ref="Y218:AA218"/>
    <mergeCell ref="Y223:AA223"/>
    <mergeCell ref="AE221:AG221"/>
    <mergeCell ref="D222:I222"/>
    <mergeCell ref="J222:L222"/>
    <mergeCell ref="D581:I581"/>
    <mergeCell ref="V587:Y587"/>
    <mergeCell ref="D575:I575"/>
    <mergeCell ref="R575:U575"/>
    <mergeCell ref="R591:U591"/>
    <mergeCell ref="R581:U581"/>
    <mergeCell ref="R589:U589"/>
    <mergeCell ref="R588:U588"/>
    <mergeCell ref="Z575:AC575"/>
    <mergeCell ref="D576:I576"/>
    <mergeCell ref="J576:M576"/>
    <mergeCell ref="N576:Q576"/>
    <mergeCell ref="R576:U576"/>
    <mergeCell ref="V576:Y576"/>
    <mergeCell ref="Z576:AC576"/>
    <mergeCell ref="J575:M575"/>
    <mergeCell ref="V575:Y575"/>
    <mergeCell ref="D585:I585"/>
    <mergeCell ref="Z585:AC585"/>
    <mergeCell ref="J588:M588"/>
    <mergeCell ref="R583:U583"/>
    <mergeCell ref="D612:M612"/>
    <mergeCell ref="N612:W612"/>
    <mergeCell ref="X612:AG612"/>
    <mergeCell ref="Y219:AA219"/>
    <mergeCell ref="AB219:AD219"/>
    <mergeCell ref="AB223:AD223"/>
    <mergeCell ref="AE223:AG223"/>
    <mergeCell ref="D224:I224"/>
    <mergeCell ref="J224:L224"/>
    <mergeCell ref="M224:O224"/>
    <mergeCell ref="P224:R224"/>
    <mergeCell ref="S224:U224"/>
    <mergeCell ref="V224:X224"/>
    <mergeCell ref="Y224:AA224"/>
    <mergeCell ref="D223:I223"/>
    <mergeCell ref="AE225:AG225"/>
    <mergeCell ref="D226:AG226"/>
    <mergeCell ref="D227:I227"/>
    <mergeCell ref="J227:L227"/>
    <mergeCell ref="N610:W610"/>
    <mergeCell ref="X610:AG610"/>
    <mergeCell ref="N592:Q592"/>
    <mergeCell ref="N589:Q589"/>
    <mergeCell ref="N575:Q575"/>
    <mergeCell ref="N583:Q583"/>
    <mergeCell ref="AD576:AG576"/>
    <mergeCell ref="D582:I582"/>
    <mergeCell ref="J582:M582"/>
    <mergeCell ref="N582:Q582"/>
    <mergeCell ref="R582:U582"/>
    <mergeCell ref="V582:Y582"/>
    <mergeCell ref="Z582:AC582"/>
    <mergeCell ref="N606:W606"/>
    <mergeCell ref="X606:AG606"/>
    <mergeCell ref="D607:M607"/>
    <mergeCell ref="N607:W607"/>
    <mergeCell ref="X607:AG607"/>
    <mergeCell ref="D604:M604"/>
    <mergeCell ref="N604:W604"/>
    <mergeCell ref="R592:U592"/>
    <mergeCell ref="V584:Y584"/>
    <mergeCell ref="Z584:AC584"/>
    <mergeCell ref="AD583:AG583"/>
    <mergeCell ref="D589:I589"/>
    <mergeCell ref="Z589:AC589"/>
    <mergeCell ref="D586:I586"/>
    <mergeCell ref="J586:M586"/>
    <mergeCell ref="N586:Q586"/>
    <mergeCell ref="R586:U586"/>
    <mergeCell ref="V586:Y586"/>
    <mergeCell ref="AD584:AG584"/>
    <mergeCell ref="D583:I583"/>
    <mergeCell ref="Z583:AC583"/>
    <mergeCell ref="D593:I593"/>
    <mergeCell ref="J593:M593"/>
    <mergeCell ref="N593:Q593"/>
    <mergeCell ref="R593:U593"/>
    <mergeCell ref="V593:Y593"/>
    <mergeCell ref="Z593:AC593"/>
    <mergeCell ref="D611:M611"/>
    <mergeCell ref="N611:W611"/>
    <mergeCell ref="X611:AG611"/>
    <mergeCell ref="X604:AG604"/>
    <mergeCell ref="D605:M605"/>
    <mergeCell ref="J585:M585"/>
    <mergeCell ref="R577:U577"/>
    <mergeCell ref="R585:U585"/>
    <mergeCell ref="D580:I580"/>
    <mergeCell ref="J580:M580"/>
    <mergeCell ref="N580:Q580"/>
    <mergeCell ref="R580:U580"/>
    <mergeCell ref="V580:Y580"/>
    <mergeCell ref="Z580:AC580"/>
    <mergeCell ref="AD580:AG580"/>
    <mergeCell ref="J591:M591"/>
    <mergeCell ref="J592:M592"/>
    <mergeCell ref="J577:M577"/>
    <mergeCell ref="Z588:AC588"/>
    <mergeCell ref="AD579:AG579"/>
    <mergeCell ref="D587:I587"/>
    <mergeCell ref="AD593:AG593"/>
    <mergeCell ref="N588:Q588"/>
    <mergeCell ref="V591:Y591"/>
    <mergeCell ref="V581:Y581"/>
    <mergeCell ref="V592:Y592"/>
    <mergeCell ref="V589:Y589"/>
    <mergeCell ref="V588:Y588"/>
    <mergeCell ref="D609:M609"/>
    <mergeCell ref="N609:W609"/>
    <mergeCell ref="X609:AG609"/>
    <mergeCell ref="D606:M606"/>
    <mergeCell ref="D717:M717"/>
    <mergeCell ref="Z743:AG743"/>
    <mergeCell ref="R743:Y743"/>
    <mergeCell ref="M743:Q743"/>
    <mergeCell ref="D743:L743"/>
    <mergeCell ref="Z745:AG745"/>
    <mergeCell ref="R745:Y745"/>
    <mergeCell ref="M745:Q745"/>
    <mergeCell ref="D745:L745"/>
    <mergeCell ref="Z747:AG747"/>
    <mergeCell ref="R747:Y747"/>
    <mergeCell ref="D779:L779"/>
    <mergeCell ref="M779:Q779"/>
    <mergeCell ref="R779:Y779"/>
    <mergeCell ref="Z779:AG779"/>
    <mergeCell ref="D778:L778"/>
    <mergeCell ref="M748:Q748"/>
    <mergeCell ref="R748:Y748"/>
    <mergeCell ref="Z748:AG748"/>
    <mergeCell ref="D746:L746"/>
    <mergeCell ref="D733:M733"/>
    <mergeCell ref="N733:W733"/>
    <mergeCell ref="X733:AG733"/>
    <mergeCell ref="M773:Q773"/>
    <mergeCell ref="X731:AG731"/>
    <mergeCell ref="X732:AG732"/>
    <mergeCell ref="X724:AG724"/>
    <mergeCell ref="D722:M722"/>
    <mergeCell ref="X721:AG721"/>
    <mergeCell ref="N721:W721"/>
    <mergeCell ref="D721:M721"/>
    <mergeCell ref="X720:AG720"/>
    <mergeCell ref="D613:M613"/>
    <mergeCell ref="N613:W613"/>
    <mergeCell ref="X613:AG613"/>
    <mergeCell ref="D610:M610"/>
    <mergeCell ref="R773:Y773"/>
    <mergeCell ref="Z773:AG773"/>
    <mergeCell ref="D739:L739"/>
    <mergeCell ref="M739:Q739"/>
    <mergeCell ref="R739:Y739"/>
    <mergeCell ref="N732:W732"/>
    <mergeCell ref="D726:M726"/>
    <mergeCell ref="D727:M727"/>
    <mergeCell ref="D728:M728"/>
    <mergeCell ref="D729:M729"/>
    <mergeCell ref="D730:M730"/>
    <mergeCell ref="D731:M731"/>
    <mergeCell ref="D732:M732"/>
    <mergeCell ref="D710:M710"/>
    <mergeCell ref="D708:M708"/>
    <mergeCell ref="X707:AG707"/>
    <mergeCell ref="X708:AG708"/>
    <mergeCell ref="Z739:AG739"/>
    <mergeCell ref="D742:L742"/>
    <mergeCell ref="D751:L751"/>
    <mergeCell ref="M751:Q751"/>
    <mergeCell ref="N730:W730"/>
    <mergeCell ref="N731:W731"/>
    <mergeCell ref="D724:M724"/>
    <mergeCell ref="R751:Y751"/>
    <mergeCell ref="Z751:AG751"/>
    <mergeCell ref="D749:L749"/>
    <mergeCell ref="D725:M725"/>
    <mergeCell ref="D832:AG832"/>
    <mergeCell ref="D837:AG838"/>
    <mergeCell ref="N709:W709"/>
    <mergeCell ref="N710:W710"/>
    <mergeCell ref="D723:M723"/>
    <mergeCell ref="AD825:AG825"/>
    <mergeCell ref="Z825:AC825"/>
    <mergeCell ref="V825:Y825"/>
    <mergeCell ref="R825:U825"/>
    <mergeCell ref="N825:Q825"/>
    <mergeCell ref="D825:M825"/>
    <mergeCell ref="AD826:AG826"/>
    <mergeCell ref="Z826:AC826"/>
    <mergeCell ref="V826:Y826"/>
    <mergeCell ref="R826:U826"/>
    <mergeCell ref="N826:Q826"/>
    <mergeCell ref="D826:M826"/>
    <mergeCell ref="AD827:AG827"/>
    <mergeCell ref="Z827:AC827"/>
    <mergeCell ref="D713:M713"/>
    <mergeCell ref="N713:W713"/>
    <mergeCell ref="X713:AG713"/>
    <mergeCell ref="D714:M714"/>
    <mergeCell ref="N714:W714"/>
    <mergeCell ref="X714:AG714"/>
    <mergeCell ref="R742:Y742"/>
    <mergeCell ref="Z742:AG742"/>
    <mergeCell ref="D773:L773"/>
    <mergeCell ref="V827:Y827"/>
    <mergeCell ref="R827:U827"/>
    <mergeCell ref="N827:Q827"/>
    <mergeCell ref="D827:M827"/>
  </mergeCells>
  <phoneticPr fontId="41" type="noConversion"/>
  <pageMargins left="0.70866141732283472" right="0.23622047244094491" top="0.31496062992125984" bottom="0.70866141732283472" header="0.31496062992125984" footer="0.35433070866141736"/>
  <pageSetup paperSize="9" scale="81" firstPageNumber="13" orientation="portrait" blackAndWhite="1" useFirstPageNumber="1" r:id="rId1"/>
  <headerFooter>
    <oddFooter>&amp;C&amp;P
Neoddeliteľnou súčasťou účtovnej závierky je súvaha, výkaz ziskov a strát a poznámky.</oddFooter>
  </headerFooter>
  <rowBreaks count="11" manualBreakCount="11">
    <brk id="266" min="1" max="33" man="1"/>
    <brk id="295" min="1" max="33" man="1"/>
    <brk id="336" min="1" max="33" man="1"/>
    <brk id="363" min="1" max="33" man="1"/>
    <brk id="436" min="1" max="33" man="1"/>
    <brk id="490" min="1" max="33" man="1"/>
    <brk id="529" min="1" max="33" man="1"/>
    <brk id="564" min="1" max="33" man="1"/>
    <brk id="596" min="1" max="33" man="1"/>
    <brk id="630" min="1" max="33" man="1"/>
    <brk id="781" min="1" max="33" man="1"/>
  </rowBreaks>
  <ignoredErrors>
    <ignoredError sqref="AC473 N498 N615 N607 N573 V573 N278"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207"/>
  <sheetViews>
    <sheetView showGridLines="0" zoomScale="60" zoomScaleNormal="60" workbookViewId="0"/>
  </sheetViews>
  <sheetFormatPr defaultColWidth="10.33203125" defaultRowHeight="17.399999999999999" x14ac:dyDescent="0.3"/>
  <cols>
    <col min="1" max="1" width="5" style="96" customWidth="1"/>
    <col min="2" max="2" width="15.33203125" style="93" customWidth="1"/>
    <col min="3" max="3" width="187.5546875" style="154" bestFit="1" customWidth="1"/>
    <col min="4" max="4" width="21.33203125" style="95" bestFit="1" customWidth="1"/>
    <col min="5" max="5" width="22" style="95" bestFit="1" customWidth="1"/>
    <col min="6" max="16384" width="10.33203125" style="96"/>
  </cols>
  <sheetData>
    <row r="2" spans="2:10" ht="33" x14ac:dyDescent="0.6">
      <c r="C2" s="94" t="s">
        <v>477</v>
      </c>
    </row>
    <row r="3" spans="2:10" ht="24" customHeight="1" x14ac:dyDescent="0.4">
      <c r="C3" s="97" t="s">
        <v>2266</v>
      </c>
      <c r="D3" s="98"/>
    </row>
    <row r="4" spans="2:10" ht="24" customHeight="1" x14ac:dyDescent="0.3">
      <c r="C4" s="99" t="s">
        <v>478</v>
      </c>
      <c r="D4" s="98"/>
    </row>
    <row r="5" spans="2:10" ht="24" customHeight="1" x14ac:dyDescent="0.3">
      <c r="C5" s="99"/>
      <c r="D5" s="98"/>
    </row>
    <row r="6" spans="2:10" ht="20.100000000000001" customHeight="1" thickBot="1" x14ac:dyDescent="0.35">
      <c r="B6" s="100"/>
      <c r="C6" s="101"/>
    </row>
    <row r="7" spans="2:10" s="103" customFormat="1" ht="20.25" customHeight="1" x14ac:dyDescent="0.3">
      <c r="B7" s="540" t="s">
        <v>479</v>
      </c>
      <c r="C7" s="541" t="s">
        <v>15</v>
      </c>
      <c r="D7" s="542" t="s">
        <v>480</v>
      </c>
      <c r="E7" s="543"/>
      <c r="F7" s="191"/>
      <c r="G7" s="191"/>
      <c r="H7" s="191"/>
      <c r="I7" s="191"/>
      <c r="J7" s="191"/>
    </row>
    <row r="8" spans="2:10" s="103" customFormat="1" ht="20.25" customHeight="1" x14ac:dyDescent="0.3">
      <c r="B8" s="544"/>
      <c r="C8" s="538"/>
      <c r="D8" s="104" t="s">
        <v>481</v>
      </c>
      <c r="E8" s="545" t="s">
        <v>482</v>
      </c>
      <c r="F8" s="191"/>
      <c r="G8" s="191"/>
      <c r="H8" s="191"/>
      <c r="I8" s="191"/>
      <c r="J8" s="191"/>
    </row>
    <row r="9" spans="2:10" s="103" customFormat="1" ht="20.25" customHeight="1" x14ac:dyDescent="0.3">
      <c r="B9" s="546"/>
      <c r="C9" s="539"/>
      <c r="D9" s="105" t="s">
        <v>483</v>
      </c>
      <c r="E9" s="547" t="s">
        <v>483</v>
      </c>
      <c r="F9" s="191"/>
      <c r="G9" s="191"/>
      <c r="H9" s="191"/>
      <c r="I9" s="191"/>
      <c r="J9" s="191"/>
    </row>
    <row r="10" spans="2:10" s="103" customFormat="1" ht="34.200000000000003" customHeight="1" x14ac:dyDescent="0.3">
      <c r="B10" s="548"/>
      <c r="C10" s="106" t="s">
        <v>484</v>
      </c>
      <c r="D10" s="107"/>
      <c r="E10" s="549"/>
      <c r="F10" s="191"/>
      <c r="G10" s="191"/>
      <c r="H10" s="191"/>
      <c r="I10" s="191"/>
      <c r="J10" s="191"/>
    </row>
    <row r="11" spans="2:10" s="103" customFormat="1" x14ac:dyDescent="0.3">
      <c r="B11" s="550" t="s">
        <v>485</v>
      </c>
      <c r="C11" s="108" t="s">
        <v>486</v>
      </c>
      <c r="D11" s="109">
        <f>-VLOOKUP("H/V PRED DP",'Účtovná osnova'!$A$1:$I$1068,6,FALSE)</f>
        <v>886246.91</v>
      </c>
      <c r="E11" s="551">
        <v>802616</v>
      </c>
      <c r="F11" s="191"/>
      <c r="G11" s="191"/>
      <c r="H11" s="191"/>
      <c r="I11" s="191"/>
      <c r="J11" s="191"/>
    </row>
    <row r="12" spans="2:10" s="103" customFormat="1" x14ac:dyDescent="0.3">
      <c r="B12" s="110"/>
      <c r="C12" s="111"/>
      <c r="D12" s="112"/>
      <c r="E12" s="552"/>
      <c r="F12" s="191"/>
      <c r="G12" s="191"/>
      <c r="H12" s="191"/>
      <c r="I12" s="191"/>
      <c r="J12" s="191"/>
    </row>
    <row r="13" spans="2:10" s="103" customFormat="1" x14ac:dyDescent="0.3">
      <c r="B13" s="113" t="s">
        <v>487</v>
      </c>
      <c r="C13" s="114" t="s">
        <v>488</v>
      </c>
      <c r="D13" s="189">
        <f>SUM(D14:D26)</f>
        <v>652978.65999999968</v>
      </c>
      <c r="E13" s="553">
        <f>SUM(E14:E26)</f>
        <v>477814.4799999994</v>
      </c>
      <c r="F13" s="191"/>
      <c r="G13" s="191"/>
      <c r="H13" s="191"/>
      <c r="I13" s="191"/>
      <c r="J13" s="191"/>
    </row>
    <row r="14" spans="2:10" s="103" customFormat="1" x14ac:dyDescent="0.3">
      <c r="B14" s="113" t="s">
        <v>489</v>
      </c>
      <c r="C14" s="116" t="s">
        <v>490</v>
      </c>
      <c r="D14" s="132">
        <f>VLOOKUP(551999,'Účtovná osnova'!$A$1:$I$1068,6,FALSE)</f>
        <v>557044.49</v>
      </c>
      <c r="E14" s="554">
        <v>488607.73999999993</v>
      </c>
      <c r="F14" s="191"/>
      <c r="G14" s="191"/>
      <c r="H14" s="191"/>
      <c r="I14" s="191"/>
      <c r="J14" s="191"/>
    </row>
    <row r="15" spans="2:10" s="103" customFormat="1" ht="34.799999999999997" x14ac:dyDescent="0.3">
      <c r="B15" s="113" t="s">
        <v>491</v>
      </c>
      <c r="C15" s="118" t="s">
        <v>492</v>
      </c>
      <c r="D15" s="132">
        <v>0</v>
      </c>
      <c r="E15" s="554">
        <v>0</v>
      </c>
      <c r="F15" s="191"/>
      <c r="G15" s="191"/>
      <c r="H15" s="191"/>
      <c r="I15" s="191"/>
      <c r="J15" s="191"/>
    </row>
    <row r="16" spans="2:10" s="103" customFormat="1" x14ac:dyDescent="0.3">
      <c r="B16" s="113" t="s">
        <v>493</v>
      </c>
      <c r="C16" s="116" t="s">
        <v>494</v>
      </c>
      <c r="D16" s="132">
        <v>0</v>
      </c>
      <c r="E16" s="554">
        <v>0</v>
      </c>
      <c r="F16" s="191"/>
      <c r="G16" s="191"/>
      <c r="H16" s="191"/>
      <c r="I16" s="191"/>
      <c r="J16" s="191"/>
    </row>
    <row r="17" spans="2:10" s="103" customFormat="1" x14ac:dyDescent="0.3">
      <c r="B17" s="113" t="s">
        <v>495</v>
      </c>
      <c r="C17" s="116" t="s">
        <v>496</v>
      </c>
      <c r="D17" s="132">
        <v>0</v>
      </c>
      <c r="E17" s="554">
        <v>0</v>
      </c>
      <c r="F17" s="191"/>
      <c r="G17" s="191"/>
      <c r="H17" s="191"/>
      <c r="I17" s="191"/>
      <c r="J17" s="191"/>
    </row>
    <row r="18" spans="2:10" s="103" customFormat="1" x14ac:dyDescent="0.3">
      <c r="B18" s="113" t="s">
        <v>497</v>
      </c>
      <c r="C18" s="116" t="s">
        <v>498</v>
      </c>
      <c r="D18" s="132">
        <f>-VLOOKUP(92999,'Účtovná osnova'!$A$1:$I$1068,5,FALSE)-VLOOKUP(196999,'Účtovná osnova'!$A$1:$I$1068,5,FALSE)-VLOOKUP(291999,'Účtovná osnova'!$A$1:$I$1068,5,FALSE)-VLOOKUP(391999,'Účtovná osnova'!$A$1:$I$1068,5,FALSE)</f>
        <v>192910.06</v>
      </c>
      <c r="E18" s="554">
        <v>140395.84000000003</v>
      </c>
      <c r="F18" s="191"/>
      <c r="G18" s="191"/>
      <c r="H18" s="191"/>
      <c r="I18" s="191"/>
      <c r="J18" s="191"/>
    </row>
    <row r="19" spans="2:10" s="103" customFormat="1" x14ac:dyDescent="0.3">
      <c r="B19" s="113" t="s">
        <v>499</v>
      </c>
      <c r="C19" s="116" t="s">
        <v>500</v>
      </c>
      <c r="D19" s="132">
        <f>-VLOOKUP(385999,'Účtovná osnova'!$A$1:$I$1068,5,FALSE)</f>
        <v>-22374.3</v>
      </c>
      <c r="E19" s="554">
        <v>24318</v>
      </c>
      <c r="F19" s="191"/>
      <c r="G19" s="191"/>
      <c r="H19" s="191"/>
      <c r="I19" s="191"/>
      <c r="J19" s="191"/>
    </row>
    <row r="20" spans="2:10" s="103" customFormat="1" x14ac:dyDescent="0.3">
      <c r="B20" s="113" t="s">
        <v>501</v>
      </c>
      <c r="C20" s="116" t="s">
        <v>502</v>
      </c>
      <c r="D20" s="132">
        <v>0</v>
      </c>
      <c r="E20" s="554">
        <v>0</v>
      </c>
      <c r="F20" s="191"/>
      <c r="G20" s="191"/>
      <c r="H20" s="191"/>
      <c r="I20" s="191"/>
      <c r="J20" s="191"/>
    </row>
    <row r="21" spans="2:10" s="103" customFormat="1" x14ac:dyDescent="0.3">
      <c r="B21" s="113" t="s">
        <v>503</v>
      </c>
      <c r="C21" s="118" t="s">
        <v>504</v>
      </c>
      <c r="D21" s="132">
        <f>VLOOKUP(562999,'Účtovná osnova'!$A$1:$I$1068,6,FALSE)</f>
        <v>53415.839999999997</v>
      </c>
      <c r="E21" s="554">
        <v>59655</v>
      </c>
      <c r="F21" s="191"/>
      <c r="G21" s="191"/>
      <c r="H21" s="191"/>
      <c r="I21" s="191"/>
      <c r="J21" s="191"/>
    </row>
    <row r="22" spans="2:10" s="103" customFormat="1" x14ac:dyDescent="0.3">
      <c r="B22" s="113" t="s">
        <v>505</v>
      </c>
      <c r="C22" s="118" t="s">
        <v>506</v>
      </c>
      <c r="D22" s="132">
        <f>VLOOKUP(662999,'Účtovná osnova'!$A$1:$I$1068,6,FALSE)</f>
        <v>-8580.82</v>
      </c>
      <c r="E22" s="554">
        <v>-7378</v>
      </c>
      <c r="F22" s="191"/>
      <c r="G22" s="191"/>
      <c r="H22" s="191"/>
      <c r="I22" s="191"/>
      <c r="J22" s="191"/>
    </row>
    <row r="23" spans="2:10" s="103" customFormat="1" x14ac:dyDescent="0.3">
      <c r="B23" s="113" t="s">
        <v>507</v>
      </c>
      <c r="C23" s="114" t="s">
        <v>508</v>
      </c>
      <c r="D23" s="132">
        <v>0</v>
      </c>
      <c r="E23" s="554">
        <v>0</v>
      </c>
      <c r="F23" s="191"/>
      <c r="G23" s="191"/>
      <c r="H23" s="191"/>
      <c r="I23" s="191"/>
      <c r="J23" s="191"/>
    </row>
    <row r="24" spans="2:10" s="103" customFormat="1" x14ac:dyDescent="0.3">
      <c r="B24" s="113" t="s">
        <v>509</v>
      </c>
      <c r="C24" s="114" t="s">
        <v>510</v>
      </c>
      <c r="D24" s="132">
        <v>0</v>
      </c>
      <c r="E24" s="554">
        <v>0</v>
      </c>
      <c r="F24" s="191"/>
      <c r="G24" s="191"/>
      <c r="H24" s="191"/>
      <c r="I24" s="191"/>
      <c r="J24" s="191"/>
    </row>
    <row r="25" spans="2:10" s="103" customFormat="1" x14ac:dyDescent="0.3">
      <c r="B25" s="113" t="s">
        <v>511</v>
      </c>
      <c r="C25" s="116" t="s">
        <v>512</v>
      </c>
      <c r="D25" s="132">
        <f>VLOOKUP(641999,'Účtovná osnova'!$A$1:$I$1068,6,FALSE)+VLOOKUP(641084,'Účtovná osnova'!$A$1:$I$1068,6,FALSE)+VLOOKUP(541999,'Účtovná osnova'!$A$1:$I$1068,6,FALSE)</f>
        <v>-119436.61000000034</v>
      </c>
      <c r="E25" s="554">
        <v>-227785.10000000056</v>
      </c>
      <c r="F25" s="191"/>
      <c r="G25" s="191"/>
      <c r="H25" s="191"/>
      <c r="I25" s="191"/>
      <c r="J25" s="191"/>
    </row>
    <row r="26" spans="2:10" s="103" customFormat="1" ht="34.799999999999997" x14ac:dyDescent="0.3">
      <c r="B26" s="113" t="s">
        <v>513</v>
      </c>
      <c r="C26" s="114" t="s">
        <v>514</v>
      </c>
      <c r="D26" s="132"/>
      <c r="E26" s="554">
        <v>1</v>
      </c>
      <c r="F26" s="191"/>
      <c r="G26" s="191"/>
      <c r="H26" s="191"/>
      <c r="I26" s="191"/>
      <c r="J26" s="191"/>
    </row>
    <row r="27" spans="2:10" s="575" customFormat="1" ht="34.799999999999997" x14ac:dyDescent="0.3">
      <c r="B27" s="570" t="s">
        <v>515</v>
      </c>
      <c r="C27" s="571" t="s">
        <v>516</v>
      </c>
      <c r="D27" s="572">
        <f>SUM(D28:D31)</f>
        <v>-456707.94000000041</v>
      </c>
      <c r="E27" s="573">
        <f>SUM(E28:E31)</f>
        <v>610097.86999999965</v>
      </c>
      <c r="F27" s="574"/>
      <c r="G27" s="574"/>
      <c r="H27" s="574"/>
      <c r="I27" s="574"/>
      <c r="J27" s="574"/>
    </row>
    <row r="28" spans="2:10" s="103" customFormat="1" x14ac:dyDescent="0.3">
      <c r="B28" s="113" t="s">
        <v>517</v>
      </c>
      <c r="C28" s="116" t="s">
        <v>518</v>
      </c>
      <c r="D28" s="132">
        <f>-VLOOKUP(315999,'Účtovná osnova'!$A$1:$I$1068,5,FALSE)-VLOOKUP(335999,'Účtovná osnova'!$A$1:$I$1068,5,FALSE)-VLOOKUP(378999,'Účtovná osnova'!$A$1:$I$1068,5,FALSE)-VLOOKUP(343999,'Účtovná osnova'!$A$1:$I$1068,5,FALSE)+VLOOKUP(343999,'Účtovná osnova'!$A$1:$I$1068,6,FALSE)-VLOOKUP(346999,'Účtovná osnova'!$A$1:$I$1068,5,FALSE)</f>
        <v>903933.82</v>
      </c>
      <c r="E28" s="554">
        <v>177772.36</v>
      </c>
      <c r="F28" s="191"/>
      <c r="G28" s="191"/>
      <c r="H28" s="191"/>
      <c r="I28" s="191"/>
      <c r="J28" s="191"/>
    </row>
    <row r="29" spans="2:10" s="103" customFormat="1" x14ac:dyDescent="0.3">
      <c r="B29" s="113" t="s">
        <v>519</v>
      </c>
      <c r="C29" s="118" t="s">
        <v>520</v>
      </c>
      <c r="D29" s="132">
        <f>-VLOOKUP(329999,'Účtovná osnova'!$A$1:$I$1068,5,FALSE)-VLOOKUP(331999,'Účtovná osnova'!$A$1:$I$1068,5,FALSE)-VLOOKUP(336999,'Účtovná osnova'!$A$1:$I$1068,5,FALSE)-VLOOKUP(349999,'Účtovná osnova'!$A$1:$I$1068,5,FALSE)+VLOOKUP(343999,'Účtovná osnova'!$A$1:$I$1068,5,FALSE)-VLOOKUP(343999,'Účtovná osnova'!$A$1:$I$1068,6,FALSE)-VLOOKUP(379998,'Účtovná osnova'!$A$1:$I$1068,5,FALSE)+933844.76</f>
        <v>-2379452.7800000003</v>
      </c>
      <c r="E29" s="554">
        <v>3109035.71</v>
      </c>
      <c r="F29" s="144"/>
      <c r="G29" s="144"/>
      <c r="H29" s="191"/>
      <c r="I29" s="191"/>
      <c r="J29" s="191"/>
    </row>
    <row r="30" spans="2:10" s="103" customFormat="1" x14ac:dyDescent="0.3">
      <c r="B30" s="113" t="s">
        <v>521</v>
      </c>
      <c r="C30" s="118" t="s">
        <v>522</v>
      </c>
      <c r="D30" s="132">
        <f>-VLOOKUP(199999,'Účtovná osnova'!$A$1:$I$1068,5,FALSE)+VLOOKUP(196999,'Účtovná osnova'!$A$1:$I$1068,5,FALSE)</f>
        <v>1018811.02</v>
      </c>
      <c r="E30" s="554">
        <v>-2676710.2000000002</v>
      </c>
      <c r="F30" s="144"/>
      <c r="G30" s="144"/>
      <c r="H30" s="191"/>
      <c r="I30" s="191"/>
      <c r="J30" s="191"/>
    </row>
    <row r="31" spans="2:10" s="103" customFormat="1" x14ac:dyDescent="0.3">
      <c r="B31" s="113" t="s">
        <v>523</v>
      </c>
      <c r="C31" s="118" t="s">
        <v>524</v>
      </c>
      <c r="D31" s="117">
        <v>0</v>
      </c>
      <c r="E31" s="555">
        <v>0</v>
      </c>
      <c r="F31" s="144"/>
      <c r="G31" s="144"/>
      <c r="H31" s="191"/>
      <c r="I31" s="191"/>
      <c r="J31" s="191"/>
    </row>
    <row r="32" spans="2:10" s="103" customFormat="1" ht="34.799999999999997" x14ac:dyDescent="0.3">
      <c r="B32" s="113"/>
      <c r="C32" s="119" t="s">
        <v>525</v>
      </c>
      <c r="D32" s="109">
        <f>D11+D13+D27</f>
        <v>1082517.6299999994</v>
      </c>
      <c r="E32" s="556">
        <f>+E11+E13+E27</f>
        <v>1890528.3499999992</v>
      </c>
      <c r="F32" s="191"/>
      <c r="G32" s="144"/>
      <c r="H32" s="191"/>
      <c r="I32" s="191"/>
      <c r="J32" s="191"/>
    </row>
    <row r="33" spans="2:10" s="103" customFormat="1" x14ac:dyDescent="0.3">
      <c r="B33" s="120" t="s">
        <v>526</v>
      </c>
      <c r="C33" s="121" t="s">
        <v>527</v>
      </c>
      <c r="D33" s="132">
        <f>-VLOOKUP(662999,'Účtovná osnova'!$A$1:$I$1068,6,FALSE)</f>
        <v>8580.82</v>
      </c>
      <c r="E33" s="554">
        <v>7378</v>
      </c>
      <c r="F33" s="191"/>
      <c r="G33" s="192"/>
      <c r="H33" s="191"/>
      <c r="I33" s="191"/>
      <c r="J33" s="191"/>
    </row>
    <row r="34" spans="2:10" s="103" customFormat="1" x14ac:dyDescent="0.3">
      <c r="B34" s="120" t="s">
        <v>528</v>
      </c>
      <c r="C34" s="121" t="s">
        <v>529</v>
      </c>
      <c r="D34" s="132">
        <f>-VLOOKUP(562999,'Účtovná osnova'!$A$1:$I$1068,6,FALSE)</f>
        <v>-53415.839999999997</v>
      </c>
      <c r="E34" s="554">
        <v>-59655</v>
      </c>
      <c r="F34" s="191"/>
      <c r="G34" s="191"/>
      <c r="H34" s="191"/>
      <c r="I34" s="191"/>
      <c r="J34" s="191"/>
    </row>
    <row r="35" spans="2:10" s="103" customFormat="1" x14ac:dyDescent="0.3">
      <c r="B35" s="120" t="s">
        <v>530</v>
      </c>
      <c r="C35" s="121" t="s">
        <v>531</v>
      </c>
      <c r="D35" s="132">
        <v>0</v>
      </c>
      <c r="E35" s="554">
        <v>0</v>
      </c>
      <c r="F35" s="191"/>
      <c r="G35" s="191"/>
      <c r="H35" s="191"/>
      <c r="I35" s="191"/>
      <c r="J35" s="191"/>
    </row>
    <row r="36" spans="2:10" s="103" customFormat="1" x14ac:dyDescent="0.3">
      <c r="B36" s="120" t="s">
        <v>532</v>
      </c>
      <c r="C36" s="121" t="s">
        <v>533</v>
      </c>
      <c r="D36" s="132">
        <v>0</v>
      </c>
      <c r="E36" s="554">
        <v>0</v>
      </c>
      <c r="F36" s="191"/>
      <c r="G36" s="191"/>
      <c r="H36" s="191"/>
      <c r="I36" s="191"/>
      <c r="J36" s="191"/>
    </row>
    <row r="37" spans="2:10" s="569" customFormat="1" x14ac:dyDescent="0.3">
      <c r="B37" s="566"/>
      <c r="C37" s="122" t="s">
        <v>534</v>
      </c>
      <c r="D37" s="567">
        <f>D32+D33+D34+D35+D36</f>
        <v>1037682.6099999995</v>
      </c>
      <c r="E37" s="568">
        <f>+E32+E33+E34+E35+E36</f>
        <v>1838251.3499999992</v>
      </c>
      <c r="F37" s="193"/>
      <c r="G37" s="193"/>
      <c r="H37" s="193"/>
      <c r="I37" s="193"/>
      <c r="J37" s="193"/>
    </row>
    <row r="38" spans="2:10" s="103" customFormat="1" x14ac:dyDescent="0.3">
      <c r="B38" s="120" t="s">
        <v>535</v>
      </c>
      <c r="C38" s="121" t="s">
        <v>536</v>
      </c>
      <c r="D38" s="132">
        <f>-VLOOKUP(341100,'Účtovná osnova'!$A$1:$I$1068,6,FALSE)-VLOOKUP(341100,'Účtovná osnova'!$A$1:$I$1068,5,FALSE)</f>
        <v>-125147.04</v>
      </c>
      <c r="E38" s="554">
        <v>-274853</v>
      </c>
      <c r="F38" s="191"/>
      <c r="G38" s="191"/>
      <c r="H38" s="191"/>
      <c r="I38" s="191"/>
      <c r="J38" s="191"/>
    </row>
    <row r="39" spans="2:10" s="103" customFormat="1" x14ac:dyDescent="0.3">
      <c r="B39" s="120" t="s">
        <v>537</v>
      </c>
      <c r="C39" s="121" t="s">
        <v>538</v>
      </c>
      <c r="D39" s="132">
        <v>0</v>
      </c>
      <c r="E39" s="554">
        <v>0</v>
      </c>
      <c r="F39" s="191"/>
      <c r="G39" s="191"/>
      <c r="H39" s="191"/>
      <c r="I39" s="191"/>
      <c r="J39" s="191"/>
    </row>
    <row r="40" spans="2:10" s="103" customFormat="1" x14ac:dyDescent="0.3">
      <c r="B40" s="120" t="s">
        <v>539</v>
      </c>
      <c r="C40" s="121" t="s">
        <v>540</v>
      </c>
      <c r="D40" s="117">
        <v>0</v>
      </c>
      <c r="E40" s="555">
        <v>0</v>
      </c>
      <c r="F40" s="191"/>
      <c r="G40" s="191"/>
      <c r="H40" s="191"/>
      <c r="I40" s="191"/>
      <c r="J40" s="191"/>
    </row>
    <row r="41" spans="2:10" s="125" customFormat="1" ht="34.200000000000003" customHeight="1" x14ac:dyDescent="0.25">
      <c r="B41" s="123" t="s">
        <v>541</v>
      </c>
      <c r="C41" s="119" t="s">
        <v>542</v>
      </c>
      <c r="D41" s="124">
        <f>+D37+D38+D39+D40</f>
        <v>912535.56999999948</v>
      </c>
      <c r="E41" s="557">
        <f>+E37+E38+E39+E40</f>
        <v>1563398.3499999992</v>
      </c>
      <c r="F41" s="193"/>
      <c r="G41" s="193"/>
      <c r="H41" s="193"/>
      <c r="I41" s="193"/>
      <c r="J41" s="193"/>
    </row>
    <row r="42" spans="2:10" s="125" customFormat="1" x14ac:dyDescent="0.25">
      <c r="B42" s="126"/>
      <c r="C42" s="127"/>
      <c r="D42" s="128"/>
      <c r="E42" s="558"/>
      <c r="F42" s="193"/>
      <c r="G42" s="193"/>
      <c r="H42" s="193"/>
      <c r="I42" s="193"/>
      <c r="J42" s="193"/>
    </row>
    <row r="43" spans="2:10" s="125" customFormat="1" ht="34.200000000000003" customHeight="1" x14ac:dyDescent="0.25">
      <c r="B43" s="126"/>
      <c r="C43" s="129" t="s">
        <v>543</v>
      </c>
      <c r="D43" s="190"/>
      <c r="E43" s="559"/>
      <c r="F43" s="193"/>
      <c r="G43" s="193"/>
      <c r="H43" s="193"/>
      <c r="I43" s="193"/>
      <c r="J43" s="193"/>
    </row>
    <row r="44" spans="2:10" s="103" customFormat="1" x14ac:dyDescent="0.3">
      <c r="B44" s="130" t="s">
        <v>544</v>
      </c>
      <c r="C44" s="131" t="s">
        <v>545</v>
      </c>
      <c r="D44" s="132">
        <f>-VLOOKUP(41999,'Účtovná osnova'!$A$1:$I$1068,8,FALSE)</f>
        <v>-19986.099999999999</v>
      </c>
      <c r="E44" s="554">
        <v>-7000</v>
      </c>
      <c r="F44" s="191"/>
      <c r="G44" s="191"/>
      <c r="H44" s="191"/>
      <c r="I44" s="191"/>
      <c r="J44" s="191"/>
    </row>
    <row r="45" spans="2:10" s="103" customFormat="1" x14ac:dyDescent="0.3">
      <c r="B45" s="130" t="s">
        <v>546</v>
      </c>
      <c r="C45" s="131" t="s">
        <v>547</v>
      </c>
      <c r="D45" s="132">
        <f>-VLOOKUP(42999,'Účtovná osnova'!$A$1:$I$1068,8,FALSE)</f>
        <v>-6963938.0599999996</v>
      </c>
      <c r="E45" s="554">
        <v>-7664375.7599999998</v>
      </c>
      <c r="F45" s="191"/>
      <c r="G45" s="191"/>
      <c r="H45" s="191"/>
      <c r="I45" s="191"/>
      <c r="J45" s="191"/>
    </row>
    <row r="46" spans="2:10" s="103" customFormat="1" ht="34.799999999999997" x14ac:dyDescent="0.3">
      <c r="B46" s="130" t="s">
        <v>548</v>
      </c>
      <c r="C46" s="131" t="s">
        <v>549</v>
      </c>
      <c r="D46" s="132">
        <v>0</v>
      </c>
      <c r="E46" s="554">
        <v>0</v>
      </c>
      <c r="F46" s="191"/>
      <c r="G46" s="191"/>
      <c r="H46" s="191"/>
      <c r="I46" s="191"/>
      <c r="J46" s="191"/>
    </row>
    <row r="47" spans="2:10" s="103" customFormat="1" x14ac:dyDescent="0.3">
      <c r="B47" s="130" t="s">
        <v>550</v>
      </c>
      <c r="C47" s="131" t="s">
        <v>551</v>
      </c>
      <c r="D47" s="132">
        <v>0</v>
      </c>
      <c r="E47" s="554">
        <v>0</v>
      </c>
      <c r="F47" s="191"/>
      <c r="G47" s="191"/>
      <c r="H47" s="191"/>
      <c r="I47" s="191"/>
      <c r="J47" s="191"/>
    </row>
    <row r="48" spans="2:10" s="103" customFormat="1" x14ac:dyDescent="0.3">
      <c r="B48" s="130" t="s">
        <v>552</v>
      </c>
      <c r="C48" s="131" t="s">
        <v>553</v>
      </c>
      <c r="D48" s="132">
        <f>-VLOOKUP(641999,'Účtovná osnova'!$A$1:$I$1068,6,FALSE)-VLOOKUP(641084,'Účtovná osnova'!$A$1:$I$1068,6,FALSE)-VLOOKUP(642999,'Účtovná osnova'!$A$1:$I$1068,6,FALSE)</f>
        <v>5485256.5800000001</v>
      </c>
      <c r="E48" s="554">
        <v>6234541.5699999994</v>
      </c>
      <c r="F48" s="191"/>
      <c r="G48" s="191"/>
      <c r="H48" s="191"/>
      <c r="I48" s="191"/>
      <c r="J48" s="191"/>
    </row>
    <row r="49" spans="2:10" s="103" customFormat="1" ht="34.799999999999997" x14ac:dyDescent="0.3">
      <c r="B49" s="130" t="s">
        <v>554</v>
      </c>
      <c r="C49" s="131" t="s">
        <v>555</v>
      </c>
      <c r="D49" s="132">
        <v>0</v>
      </c>
      <c r="E49" s="554">
        <v>0</v>
      </c>
      <c r="F49" s="191"/>
      <c r="G49" s="191"/>
      <c r="H49" s="191"/>
      <c r="I49" s="191"/>
      <c r="J49" s="191"/>
    </row>
    <row r="50" spans="2:10" s="103" customFormat="1" x14ac:dyDescent="0.3">
      <c r="B50" s="130" t="s">
        <v>556</v>
      </c>
      <c r="C50" s="131" t="s">
        <v>557</v>
      </c>
      <c r="D50" s="132">
        <v>0</v>
      </c>
      <c r="E50" s="554">
        <v>0</v>
      </c>
      <c r="F50" s="191"/>
      <c r="G50" s="191"/>
      <c r="H50" s="191"/>
      <c r="I50" s="191"/>
      <c r="J50" s="191"/>
    </row>
    <row r="51" spans="2:10" s="103" customFormat="1" x14ac:dyDescent="0.3">
      <c r="B51" s="130" t="s">
        <v>558</v>
      </c>
      <c r="C51" s="131" t="s">
        <v>559</v>
      </c>
      <c r="D51" s="132">
        <v>0</v>
      </c>
      <c r="E51" s="554">
        <v>0</v>
      </c>
      <c r="F51" s="191"/>
      <c r="G51" s="191"/>
      <c r="H51" s="191"/>
      <c r="I51" s="191"/>
      <c r="J51" s="191"/>
    </row>
    <row r="52" spans="2:10" s="103" customFormat="1" ht="34.799999999999997" x14ac:dyDescent="0.3">
      <c r="B52" s="130" t="s">
        <v>560</v>
      </c>
      <c r="C52" s="131" t="s">
        <v>561</v>
      </c>
      <c r="D52" s="132">
        <v>0</v>
      </c>
      <c r="E52" s="554">
        <v>0</v>
      </c>
      <c r="F52" s="191"/>
      <c r="G52" s="191"/>
      <c r="H52" s="191"/>
      <c r="I52" s="191"/>
      <c r="J52" s="191"/>
    </row>
    <row r="53" spans="2:10" s="103" customFormat="1" ht="34.799999999999997" x14ac:dyDescent="0.3">
      <c r="B53" s="130" t="s">
        <v>562</v>
      </c>
      <c r="C53" s="131" t="s">
        <v>563</v>
      </c>
      <c r="D53" s="132">
        <v>0</v>
      </c>
      <c r="E53" s="554">
        <v>0</v>
      </c>
      <c r="F53" s="191"/>
      <c r="G53" s="191"/>
      <c r="H53" s="191"/>
      <c r="I53" s="191"/>
      <c r="J53" s="191"/>
    </row>
    <row r="54" spans="2:10" s="103" customFormat="1" x14ac:dyDescent="0.3">
      <c r="B54" s="130" t="s">
        <v>564</v>
      </c>
      <c r="C54" s="131" t="s">
        <v>565</v>
      </c>
      <c r="D54" s="132">
        <v>0</v>
      </c>
      <c r="E54" s="554">
        <v>0</v>
      </c>
      <c r="F54" s="191"/>
      <c r="G54" s="191"/>
      <c r="H54" s="191"/>
      <c r="I54" s="191"/>
      <c r="J54" s="191"/>
    </row>
    <row r="55" spans="2:10" s="103" customFormat="1" x14ac:dyDescent="0.3">
      <c r="B55" s="130" t="s">
        <v>566</v>
      </c>
      <c r="C55" s="131" t="s">
        <v>567</v>
      </c>
      <c r="D55" s="132">
        <v>0</v>
      </c>
      <c r="E55" s="554">
        <v>0</v>
      </c>
      <c r="F55" s="191"/>
      <c r="G55" s="191"/>
      <c r="H55" s="191"/>
      <c r="I55" s="191"/>
      <c r="J55" s="191"/>
    </row>
    <row r="56" spans="2:10" s="103" customFormat="1" x14ac:dyDescent="0.3">
      <c r="B56" s="130" t="s">
        <v>568</v>
      </c>
      <c r="C56" s="131" t="s">
        <v>569</v>
      </c>
      <c r="D56" s="132">
        <v>0</v>
      </c>
      <c r="E56" s="554">
        <v>0</v>
      </c>
      <c r="F56" s="191"/>
      <c r="G56" s="191"/>
      <c r="H56" s="191"/>
      <c r="I56" s="191"/>
      <c r="J56" s="191"/>
    </row>
    <row r="57" spans="2:10" s="103" customFormat="1" ht="34.799999999999997" x14ac:dyDescent="0.3">
      <c r="B57" s="130" t="s">
        <v>570</v>
      </c>
      <c r="C57" s="131" t="s">
        <v>571</v>
      </c>
      <c r="D57" s="132">
        <v>0</v>
      </c>
      <c r="E57" s="554">
        <v>0</v>
      </c>
      <c r="F57" s="191"/>
      <c r="G57" s="191"/>
      <c r="H57" s="191"/>
      <c r="I57" s="191"/>
      <c r="J57" s="191"/>
    </row>
    <row r="58" spans="2:10" s="103" customFormat="1" x14ac:dyDescent="0.3">
      <c r="B58" s="130" t="s">
        <v>572</v>
      </c>
      <c r="C58" s="131" t="s">
        <v>573</v>
      </c>
      <c r="D58" s="132">
        <v>0</v>
      </c>
      <c r="E58" s="554">
        <v>0</v>
      </c>
      <c r="F58" s="191"/>
      <c r="G58" s="191"/>
      <c r="H58" s="191"/>
      <c r="I58" s="191"/>
      <c r="J58" s="191"/>
    </row>
    <row r="59" spans="2:10" s="103" customFormat="1" x14ac:dyDescent="0.3">
      <c r="B59" s="130" t="s">
        <v>574</v>
      </c>
      <c r="C59" s="131" t="s">
        <v>575</v>
      </c>
      <c r="D59" s="132">
        <v>0</v>
      </c>
      <c r="E59" s="554">
        <v>0</v>
      </c>
      <c r="F59" s="191"/>
      <c r="G59" s="191"/>
      <c r="H59" s="191"/>
      <c r="I59" s="191"/>
      <c r="J59" s="191"/>
    </row>
    <row r="60" spans="2:10" s="103" customFormat="1" x14ac:dyDescent="0.3">
      <c r="B60" s="130" t="s">
        <v>576</v>
      </c>
      <c r="C60" s="131" t="s">
        <v>577</v>
      </c>
      <c r="D60" s="132">
        <v>0</v>
      </c>
      <c r="E60" s="554">
        <v>0</v>
      </c>
      <c r="F60" s="191"/>
      <c r="G60" s="191"/>
      <c r="H60" s="191"/>
      <c r="I60" s="191"/>
      <c r="J60" s="191"/>
    </row>
    <row r="61" spans="2:10" s="103" customFormat="1" x14ac:dyDescent="0.3">
      <c r="B61" s="130" t="s">
        <v>578</v>
      </c>
      <c r="C61" s="131" t="s">
        <v>579</v>
      </c>
      <c r="D61" s="132">
        <v>0</v>
      </c>
      <c r="E61" s="554">
        <v>0</v>
      </c>
      <c r="F61" s="191"/>
      <c r="G61" s="191"/>
      <c r="H61" s="191"/>
      <c r="I61" s="191"/>
      <c r="J61" s="191"/>
    </row>
    <row r="62" spans="2:10" s="103" customFormat="1" x14ac:dyDescent="0.3">
      <c r="B62" s="130" t="s">
        <v>580</v>
      </c>
      <c r="C62" s="131" t="s">
        <v>581</v>
      </c>
      <c r="D62" s="132">
        <v>0</v>
      </c>
      <c r="E62" s="554">
        <v>0</v>
      </c>
      <c r="F62" s="191"/>
      <c r="G62" s="191"/>
      <c r="H62" s="191"/>
      <c r="I62" s="191"/>
      <c r="J62" s="191"/>
    </row>
    <row r="63" spans="2:10" s="103" customFormat="1" x14ac:dyDescent="0.3">
      <c r="B63" s="130" t="s">
        <v>582</v>
      </c>
      <c r="C63" s="131" t="s">
        <v>583</v>
      </c>
      <c r="D63" s="132">
        <v>0</v>
      </c>
      <c r="E63" s="554">
        <v>0</v>
      </c>
      <c r="F63" s="191"/>
      <c r="G63" s="191"/>
      <c r="H63" s="191"/>
      <c r="I63" s="191"/>
      <c r="J63" s="191"/>
    </row>
    <row r="64" spans="2:10" s="125" customFormat="1" ht="34.200000000000003" customHeight="1" x14ac:dyDescent="0.25">
      <c r="B64" s="133" t="s">
        <v>584</v>
      </c>
      <c r="C64" s="119" t="s">
        <v>585</v>
      </c>
      <c r="D64" s="124">
        <f>SUM(D44:D63)</f>
        <v>-1498667.5799999991</v>
      </c>
      <c r="E64" s="557">
        <f>SUM(E44:E63)</f>
        <v>-1436834.1900000004</v>
      </c>
      <c r="F64" s="193"/>
      <c r="G64" s="193"/>
      <c r="H64" s="193"/>
      <c r="I64" s="193"/>
      <c r="J64" s="193"/>
    </row>
    <row r="65" spans="2:10" s="125" customFormat="1" x14ac:dyDescent="0.25">
      <c r="B65" s="126"/>
      <c r="C65" s="135"/>
      <c r="D65" s="128"/>
      <c r="E65" s="558"/>
      <c r="F65" s="193"/>
      <c r="G65" s="193"/>
      <c r="H65" s="193"/>
      <c r="I65" s="193"/>
      <c r="J65" s="193"/>
    </row>
    <row r="66" spans="2:10" s="125" customFormat="1" ht="34.200000000000003" customHeight="1" x14ac:dyDescent="0.25">
      <c r="B66" s="126"/>
      <c r="C66" s="136" t="s">
        <v>586</v>
      </c>
      <c r="D66" s="128"/>
      <c r="E66" s="558"/>
      <c r="F66" s="193"/>
      <c r="G66" s="193"/>
      <c r="H66" s="193"/>
      <c r="I66" s="193"/>
      <c r="J66" s="193"/>
    </row>
    <row r="67" spans="2:10" s="125" customFormat="1" x14ac:dyDescent="0.3">
      <c r="B67" s="130" t="s">
        <v>587</v>
      </c>
      <c r="C67" s="131" t="s">
        <v>588</v>
      </c>
      <c r="D67" s="137">
        <f>SUM(D68:D75)</f>
        <v>0</v>
      </c>
      <c r="E67" s="560">
        <f>SUM(E68:E75)</f>
        <v>0</v>
      </c>
      <c r="F67" s="193"/>
      <c r="G67" s="193"/>
      <c r="H67" s="193"/>
      <c r="I67" s="193"/>
      <c r="J67" s="193"/>
    </row>
    <row r="68" spans="2:10" s="125" customFormat="1" x14ac:dyDescent="0.3">
      <c r="B68" s="130" t="s">
        <v>589</v>
      </c>
      <c r="C68" s="131" t="s">
        <v>590</v>
      </c>
      <c r="D68" s="138">
        <v>0</v>
      </c>
      <c r="E68" s="561">
        <v>0</v>
      </c>
      <c r="F68" s="193"/>
      <c r="G68" s="193"/>
      <c r="H68" s="193"/>
      <c r="I68" s="193"/>
      <c r="J68" s="193"/>
    </row>
    <row r="69" spans="2:10" s="125" customFormat="1" x14ac:dyDescent="0.3">
      <c r="B69" s="130" t="s">
        <v>591</v>
      </c>
      <c r="C69" s="131" t="s">
        <v>592</v>
      </c>
      <c r="D69" s="138">
        <v>0</v>
      </c>
      <c r="E69" s="561">
        <v>0</v>
      </c>
      <c r="F69" s="193"/>
      <c r="G69" s="193"/>
      <c r="H69" s="193"/>
      <c r="I69" s="193"/>
      <c r="J69" s="193"/>
    </row>
    <row r="70" spans="2:10" s="125" customFormat="1" x14ac:dyDescent="0.3">
      <c r="B70" s="130" t="s">
        <v>593</v>
      </c>
      <c r="C70" s="131" t="s">
        <v>594</v>
      </c>
      <c r="D70" s="138">
        <v>0</v>
      </c>
      <c r="E70" s="561">
        <v>0</v>
      </c>
      <c r="F70" s="193"/>
      <c r="G70" s="193"/>
      <c r="H70" s="193"/>
      <c r="I70" s="193"/>
      <c r="J70" s="193"/>
    </row>
    <row r="71" spans="2:10" s="125" customFormat="1" x14ac:dyDescent="0.3">
      <c r="B71" s="130" t="s">
        <v>595</v>
      </c>
      <c r="C71" s="131" t="s">
        <v>596</v>
      </c>
      <c r="D71" s="138">
        <v>0</v>
      </c>
      <c r="E71" s="561">
        <v>0</v>
      </c>
      <c r="F71" s="193"/>
      <c r="G71" s="193"/>
      <c r="H71" s="193"/>
      <c r="I71" s="193"/>
      <c r="J71" s="193"/>
    </row>
    <row r="72" spans="2:10" s="125" customFormat="1" x14ac:dyDescent="0.3">
      <c r="B72" s="130" t="s">
        <v>597</v>
      </c>
      <c r="C72" s="131" t="s">
        <v>598</v>
      </c>
      <c r="D72" s="138">
        <v>0</v>
      </c>
      <c r="E72" s="561">
        <v>0</v>
      </c>
      <c r="F72" s="193"/>
      <c r="G72" s="193"/>
      <c r="H72" s="193"/>
      <c r="I72" s="193"/>
      <c r="J72" s="193"/>
    </row>
    <row r="73" spans="2:10" s="125" customFormat="1" x14ac:dyDescent="0.3">
      <c r="B73" s="130" t="s">
        <v>599</v>
      </c>
      <c r="C73" s="131" t="s">
        <v>600</v>
      </c>
      <c r="D73" s="138">
        <v>0</v>
      </c>
      <c r="E73" s="561">
        <v>0</v>
      </c>
      <c r="F73" s="193"/>
      <c r="G73" s="193"/>
      <c r="H73" s="193"/>
      <c r="I73" s="193"/>
      <c r="J73" s="193"/>
    </row>
    <row r="74" spans="2:10" s="125" customFormat="1" x14ac:dyDescent="0.3">
      <c r="B74" s="130" t="s">
        <v>601</v>
      </c>
      <c r="C74" s="131" t="s">
        <v>602</v>
      </c>
      <c r="D74" s="138">
        <v>0</v>
      </c>
      <c r="E74" s="561">
        <v>0</v>
      </c>
      <c r="F74" s="193"/>
      <c r="G74" s="193"/>
      <c r="H74" s="193"/>
      <c r="I74" s="193"/>
      <c r="J74" s="193"/>
    </row>
    <row r="75" spans="2:10" s="125" customFormat="1" x14ac:dyDescent="0.3">
      <c r="B75" s="130" t="s">
        <v>603</v>
      </c>
      <c r="C75" s="131" t="s">
        <v>604</v>
      </c>
      <c r="D75" s="138">
        <v>0</v>
      </c>
      <c r="E75" s="561">
        <v>0</v>
      </c>
      <c r="F75" s="193"/>
      <c r="G75" s="193"/>
      <c r="H75" s="193"/>
      <c r="I75" s="193"/>
      <c r="J75" s="193"/>
    </row>
    <row r="76" spans="2:10" s="125" customFormat="1" x14ac:dyDescent="0.3">
      <c r="B76" s="130" t="s">
        <v>605</v>
      </c>
      <c r="C76" s="131" t="s">
        <v>606</v>
      </c>
      <c r="D76" s="115">
        <f>SUM(D77:D86)</f>
        <v>508823.38</v>
      </c>
      <c r="E76" s="562">
        <f>SUM(E77:E86)</f>
        <v>-17915.690000000002</v>
      </c>
      <c r="F76" s="193"/>
      <c r="G76" s="193"/>
      <c r="H76" s="193"/>
      <c r="I76" s="193"/>
      <c r="J76" s="193"/>
    </row>
    <row r="77" spans="2:10" s="125" customFormat="1" x14ac:dyDescent="0.3">
      <c r="B77" s="130" t="s">
        <v>607</v>
      </c>
      <c r="C77" s="131" t="s">
        <v>608</v>
      </c>
      <c r="D77" s="138">
        <v>0</v>
      </c>
      <c r="E77" s="561">
        <v>0</v>
      </c>
      <c r="F77" s="193"/>
      <c r="G77" s="193"/>
      <c r="H77" s="193"/>
      <c r="I77" s="193"/>
      <c r="J77" s="193"/>
    </row>
    <row r="78" spans="2:10" s="125" customFormat="1" x14ac:dyDescent="0.3">
      <c r="B78" s="130" t="s">
        <v>609</v>
      </c>
      <c r="C78" s="131" t="s">
        <v>610</v>
      </c>
      <c r="D78" s="138">
        <v>0</v>
      </c>
      <c r="E78" s="561">
        <v>0</v>
      </c>
      <c r="F78" s="193"/>
      <c r="G78" s="193"/>
      <c r="H78" s="193"/>
      <c r="I78" s="193"/>
      <c r="J78" s="193"/>
    </row>
    <row r="79" spans="2:10" s="125" customFormat="1" ht="34.799999999999997" x14ac:dyDescent="0.3">
      <c r="B79" s="130" t="s">
        <v>611</v>
      </c>
      <c r="C79" s="131" t="s">
        <v>612</v>
      </c>
      <c r="D79" s="138">
        <v>0</v>
      </c>
      <c r="E79" s="561">
        <v>0</v>
      </c>
      <c r="F79" s="193"/>
      <c r="G79" s="193"/>
      <c r="H79" s="193"/>
      <c r="I79" s="193"/>
      <c r="J79" s="193"/>
    </row>
    <row r="80" spans="2:10" s="125" customFormat="1" ht="34.799999999999997" x14ac:dyDescent="0.3">
      <c r="B80" s="130" t="s">
        <v>613</v>
      </c>
      <c r="C80" s="131" t="s">
        <v>614</v>
      </c>
      <c r="D80" s="138"/>
      <c r="E80" s="561"/>
      <c r="F80" s="193"/>
      <c r="G80" s="193"/>
      <c r="H80" s="193"/>
      <c r="I80" s="193"/>
      <c r="J80" s="193"/>
    </row>
    <row r="81" spans="2:10" s="125" customFormat="1" x14ac:dyDescent="0.3">
      <c r="B81" s="130" t="s">
        <v>615</v>
      </c>
      <c r="C81" s="131" t="s">
        <v>616</v>
      </c>
      <c r="D81" s="137">
        <f>-VLOOKUP(221200,'Účtovná osnova'!$A$1:$I$1068,5,FALSE)</f>
        <v>508823.38</v>
      </c>
      <c r="E81" s="560">
        <v>0</v>
      </c>
      <c r="F81" s="193"/>
      <c r="G81" s="193"/>
      <c r="H81" s="193"/>
      <c r="I81" s="193"/>
      <c r="J81" s="193"/>
    </row>
    <row r="82" spans="2:10" s="125" customFormat="1" x14ac:dyDescent="0.3">
      <c r="B82" s="130" t="s">
        <v>617</v>
      </c>
      <c r="C82" s="131" t="s">
        <v>618</v>
      </c>
      <c r="D82" s="137"/>
      <c r="E82" s="560">
        <v>-17915.690000000002</v>
      </c>
      <c r="F82" s="193"/>
      <c r="G82" s="193"/>
      <c r="H82" s="193"/>
      <c r="I82" s="193"/>
      <c r="J82" s="193"/>
    </row>
    <row r="83" spans="2:10" s="125" customFormat="1" x14ac:dyDescent="0.3">
      <c r="B83" s="130" t="s">
        <v>619</v>
      </c>
      <c r="C83" s="131" t="s">
        <v>620</v>
      </c>
      <c r="D83" s="138">
        <v>0</v>
      </c>
      <c r="E83" s="561">
        <v>0</v>
      </c>
      <c r="F83" s="193"/>
      <c r="G83" s="193"/>
      <c r="H83" s="193"/>
      <c r="I83" s="193"/>
      <c r="J83" s="193"/>
    </row>
    <row r="84" spans="2:10" s="125" customFormat="1" x14ac:dyDescent="0.3">
      <c r="B84" s="130" t="s">
        <v>621</v>
      </c>
      <c r="C84" s="131" t="s">
        <v>622</v>
      </c>
      <c r="D84" s="138">
        <v>0</v>
      </c>
      <c r="E84" s="561">
        <v>0</v>
      </c>
      <c r="F84" s="193"/>
      <c r="G84" s="193"/>
      <c r="H84" s="193"/>
      <c r="I84" s="193"/>
      <c r="J84" s="193"/>
    </row>
    <row r="85" spans="2:10" s="125" customFormat="1" ht="34.799999999999997" x14ac:dyDescent="0.3">
      <c r="B85" s="130" t="s">
        <v>623</v>
      </c>
      <c r="C85" s="131" t="s">
        <v>624</v>
      </c>
      <c r="D85" s="138">
        <v>0</v>
      </c>
      <c r="E85" s="561">
        <v>0</v>
      </c>
      <c r="F85" s="193"/>
      <c r="G85" s="193"/>
      <c r="H85" s="193"/>
      <c r="I85" s="193"/>
      <c r="J85" s="193"/>
    </row>
    <row r="86" spans="2:10" s="125" customFormat="1" ht="34.799999999999997" x14ac:dyDescent="0.3">
      <c r="B86" s="130" t="s">
        <v>625</v>
      </c>
      <c r="C86" s="131" t="s">
        <v>626</v>
      </c>
      <c r="D86" s="138">
        <v>0</v>
      </c>
      <c r="E86" s="561">
        <v>0</v>
      </c>
      <c r="F86" s="193"/>
      <c r="G86" s="193"/>
      <c r="H86" s="193"/>
      <c r="I86" s="193"/>
      <c r="J86" s="193"/>
    </row>
    <row r="87" spans="2:10" s="125" customFormat="1" x14ac:dyDescent="0.3">
      <c r="B87" s="130" t="s">
        <v>627</v>
      </c>
      <c r="C87" s="131" t="s">
        <v>628</v>
      </c>
      <c r="D87" s="138">
        <v>0</v>
      </c>
      <c r="E87" s="561">
        <v>0</v>
      </c>
      <c r="F87" s="193"/>
      <c r="G87" s="193"/>
      <c r="H87" s="193"/>
      <c r="I87" s="193"/>
      <c r="J87" s="193"/>
    </row>
    <row r="88" spans="2:10" s="125" customFormat="1" x14ac:dyDescent="0.3">
      <c r="B88" s="130" t="s">
        <v>629</v>
      </c>
      <c r="C88" s="131" t="s">
        <v>630</v>
      </c>
      <c r="D88" s="138">
        <v>0</v>
      </c>
      <c r="E88" s="561">
        <v>0</v>
      </c>
      <c r="F88" s="193"/>
      <c r="G88" s="193"/>
      <c r="H88" s="193"/>
      <c r="I88" s="193"/>
      <c r="J88" s="193"/>
    </row>
    <row r="89" spans="2:10" s="125" customFormat="1" x14ac:dyDescent="0.3">
      <c r="B89" s="130" t="s">
        <v>631</v>
      </c>
      <c r="C89" s="131" t="s">
        <v>632</v>
      </c>
      <c r="D89" s="138">
        <v>0</v>
      </c>
      <c r="E89" s="561">
        <v>0</v>
      </c>
      <c r="F89" s="193"/>
      <c r="G89" s="193"/>
      <c r="H89" s="193"/>
      <c r="I89" s="193"/>
      <c r="J89" s="193"/>
    </row>
    <row r="90" spans="2:10" s="125" customFormat="1" ht="34.799999999999997" x14ac:dyDescent="0.3">
      <c r="B90" s="130" t="s">
        <v>633</v>
      </c>
      <c r="C90" s="131" t="s">
        <v>634</v>
      </c>
      <c r="D90" s="138">
        <v>0</v>
      </c>
      <c r="E90" s="561">
        <v>0</v>
      </c>
      <c r="F90" s="193"/>
      <c r="G90" s="193"/>
      <c r="H90" s="193"/>
      <c r="I90" s="193"/>
      <c r="J90" s="193"/>
    </row>
    <row r="91" spans="2:10" s="125" customFormat="1" x14ac:dyDescent="0.3">
      <c r="B91" s="130" t="s">
        <v>635</v>
      </c>
      <c r="C91" s="131" t="s">
        <v>636</v>
      </c>
      <c r="D91" s="138">
        <v>0</v>
      </c>
      <c r="E91" s="561">
        <v>0</v>
      </c>
      <c r="F91" s="193"/>
      <c r="G91" s="193"/>
      <c r="H91" s="193"/>
      <c r="I91" s="193"/>
      <c r="J91" s="193"/>
    </row>
    <row r="92" spans="2:10" s="125" customFormat="1" x14ac:dyDescent="0.3">
      <c r="B92" s="130" t="s">
        <v>637</v>
      </c>
      <c r="C92" s="131" t="s">
        <v>638</v>
      </c>
      <c r="D92" s="138">
        <v>0</v>
      </c>
      <c r="E92" s="561">
        <v>0</v>
      </c>
      <c r="F92" s="193"/>
      <c r="G92" s="193"/>
      <c r="H92" s="193"/>
      <c r="I92" s="193"/>
      <c r="J92" s="193"/>
    </row>
    <row r="93" spans="2:10" s="125" customFormat="1" x14ac:dyDescent="0.3">
      <c r="B93" s="130" t="s">
        <v>639</v>
      </c>
      <c r="C93" s="131" t="s">
        <v>640</v>
      </c>
      <c r="D93" s="138">
        <v>0</v>
      </c>
      <c r="E93" s="561">
        <v>0</v>
      </c>
      <c r="F93" s="193"/>
      <c r="G93" s="193"/>
      <c r="H93" s="193"/>
      <c r="I93" s="193"/>
      <c r="J93" s="193"/>
    </row>
    <row r="94" spans="2:10" s="125" customFormat="1" ht="34.200000000000003" customHeight="1" x14ac:dyDescent="0.25">
      <c r="B94" s="133" t="s">
        <v>641</v>
      </c>
      <c r="C94" s="139" t="s">
        <v>642</v>
      </c>
      <c r="D94" s="124">
        <f>D67+D76+D87+D88+D89+D90+D91+D92+D93</f>
        <v>508823.38</v>
      </c>
      <c r="E94" s="557">
        <f>+E67+E76+E87+E88+E89+E90+E91+E92+E93</f>
        <v>-17915.690000000002</v>
      </c>
      <c r="F94" s="193"/>
      <c r="G94" s="193"/>
      <c r="H94" s="193"/>
      <c r="I94" s="193"/>
      <c r="J94" s="193"/>
    </row>
    <row r="95" spans="2:10" s="125" customFormat="1" x14ac:dyDescent="0.25">
      <c r="B95" s="126"/>
      <c r="C95" s="134"/>
      <c r="D95" s="128"/>
      <c r="E95" s="558"/>
      <c r="F95" s="193"/>
      <c r="G95" s="193"/>
      <c r="H95" s="193"/>
      <c r="I95" s="193"/>
      <c r="J95" s="193"/>
    </row>
    <row r="96" spans="2:10" s="103" customFormat="1" x14ac:dyDescent="0.25">
      <c r="B96" s="133" t="s">
        <v>643</v>
      </c>
      <c r="C96" s="139" t="s">
        <v>644</v>
      </c>
      <c r="D96" s="124">
        <f>D41+D64+D94</f>
        <v>-77308.629999999655</v>
      </c>
      <c r="E96" s="557">
        <f>+E41+E64+E94</f>
        <v>108648.46999999875</v>
      </c>
      <c r="F96" s="191"/>
      <c r="G96" s="191"/>
      <c r="H96" s="191"/>
      <c r="I96" s="191"/>
      <c r="J96" s="191"/>
    </row>
    <row r="97" spans="2:10" s="125" customFormat="1" x14ac:dyDescent="0.25">
      <c r="B97" s="133" t="s">
        <v>645</v>
      </c>
      <c r="C97" s="139" t="s">
        <v>646</v>
      </c>
      <c r="D97" s="124">
        <f>E100</f>
        <v>169379</v>
      </c>
      <c r="E97" s="557">
        <v>60730.710000001825</v>
      </c>
      <c r="F97" s="193"/>
      <c r="G97" s="193"/>
      <c r="H97" s="193"/>
      <c r="I97" s="193"/>
      <c r="J97" s="193"/>
    </row>
    <row r="98" spans="2:10" s="125" customFormat="1" ht="34.799999999999997" x14ac:dyDescent="0.25">
      <c r="B98" s="133" t="s">
        <v>647</v>
      </c>
      <c r="C98" s="139" t="s">
        <v>648</v>
      </c>
      <c r="D98" s="124">
        <f>VLOOKUP(299999,'Účtovná osnova'!$A$1:$I$1068,6,FALSE)-IF(VLOOKUP(221200,'Účtovná osnova'!$A$1:$I$1068,6,FALSE)&lt;0,VLOOKUP(221200,'Účtovná osnova'!$A$1:$I$1068,6,FALSE),)</f>
        <v>92070.37</v>
      </c>
      <c r="E98" s="557">
        <v>169379</v>
      </c>
      <c r="F98" s="193"/>
      <c r="G98" s="193"/>
      <c r="H98" s="193"/>
      <c r="I98" s="193"/>
      <c r="J98" s="193"/>
    </row>
    <row r="99" spans="2:10" s="103" customFormat="1" x14ac:dyDescent="0.25">
      <c r="B99" s="133" t="s">
        <v>649</v>
      </c>
      <c r="C99" s="140" t="s">
        <v>650</v>
      </c>
      <c r="D99" s="141">
        <v>0</v>
      </c>
      <c r="E99" s="563">
        <v>0</v>
      </c>
      <c r="F99" s="191"/>
      <c r="G99" s="191"/>
      <c r="H99" s="191"/>
      <c r="I99" s="191"/>
      <c r="J99" s="191"/>
    </row>
    <row r="100" spans="2:10" s="125" customFormat="1" ht="35.4" thickBot="1" x14ac:dyDescent="0.3">
      <c r="B100" s="142" t="s">
        <v>651</v>
      </c>
      <c r="C100" s="143" t="s">
        <v>652</v>
      </c>
      <c r="D100" s="564">
        <f>D98</f>
        <v>92070.37</v>
      </c>
      <c r="E100" s="565">
        <f>+E98</f>
        <v>169379</v>
      </c>
      <c r="F100" s="193"/>
      <c r="G100" s="193"/>
      <c r="H100" s="193"/>
      <c r="I100" s="193"/>
      <c r="J100" s="193"/>
    </row>
    <row r="101" spans="2:10" s="103" customFormat="1" ht="21.75" customHeight="1" x14ac:dyDescent="0.3">
      <c r="B101" s="102"/>
      <c r="C101" s="144"/>
      <c r="D101" s="145"/>
      <c r="E101" s="145"/>
      <c r="F101" s="191"/>
      <c r="G101" s="191"/>
      <c r="H101" s="191"/>
      <c r="I101" s="191"/>
      <c r="J101" s="191"/>
    </row>
    <row r="102" spans="2:10" s="103" customFormat="1" ht="14.1" customHeight="1" x14ac:dyDescent="0.3">
      <c r="B102" s="102"/>
      <c r="C102" s="102"/>
      <c r="D102" s="145"/>
      <c r="E102" s="145"/>
      <c r="F102" s="191"/>
      <c r="G102" s="191"/>
      <c r="H102" s="191"/>
      <c r="I102" s="191"/>
      <c r="J102" s="191"/>
    </row>
    <row r="103" spans="2:10" s="103" customFormat="1" ht="14.1" customHeight="1" x14ac:dyDescent="0.3">
      <c r="B103" s="146"/>
      <c r="C103" s="147"/>
      <c r="D103" s="148"/>
      <c r="E103" s="148"/>
      <c r="F103" s="191"/>
      <c r="G103" s="191"/>
      <c r="H103" s="191"/>
      <c r="I103" s="191"/>
      <c r="J103" s="191"/>
    </row>
    <row r="104" spans="2:10" s="103" customFormat="1" ht="14.1" customHeight="1" x14ac:dyDescent="0.3">
      <c r="B104" s="146"/>
      <c r="C104" s="147"/>
      <c r="D104" s="148"/>
      <c r="E104" s="148"/>
      <c r="F104" s="191"/>
      <c r="G104" s="191"/>
      <c r="H104" s="191"/>
      <c r="I104" s="191"/>
      <c r="J104" s="191"/>
    </row>
    <row r="105" spans="2:10" s="103" customFormat="1" ht="14.1" customHeight="1" x14ac:dyDescent="0.3">
      <c r="B105" s="146"/>
      <c r="C105" s="147"/>
      <c r="D105" s="148"/>
      <c r="E105" s="148"/>
      <c r="F105" s="191"/>
      <c r="G105" s="191"/>
      <c r="H105" s="191"/>
      <c r="I105" s="191"/>
      <c r="J105" s="191"/>
    </row>
    <row r="106" spans="2:10" s="103" customFormat="1" ht="20.25" customHeight="1" x14ac:dyDescent="0.3">
      <c r="B106" s="146"/>
      <c r="C106" s="149" t="s">
        <v>653</v>
      </c>
      <c r="D106" s="150">
        <f>+D98-D97-D96</f>
        <v>-3.4924596548080444E-10</v>
      </c>
      <c r="E106" s="150">
        <f>+E98-E97-E96</f>
        <v>-0.18000000057509169</v>
      </c>
      <c r="F106" s="191"/>
      <c r="G106" s="191"/>
      <c r="H106" s="191"/>
      <c r="I106" s="191"/>
      <c r="J106" s="191"/>
    </row>
    <row r="107" spans="2:10" s="103" customFormat="1" ht="14.1" customHeight="1" x14ac:dyDescent="0.3">
      <c r="B107" s="146"/>
      <c r="C107" s="147"/>
      <c r="D107" s="148"/>
      <c r="E107" s="151"/>
      <c r="F107" s="191"/>
      <c r="G107" s="191"/>
      <c r="H107" s="191"/>
      <c r="I107" s="191"/>
      <c r="J107" s="191"/>
    </row>
    <row r="108" spans="2:10" s="103" customFormat="1" ht="14.1" customHeight="1" x14ac:dyDescent="0.3">
      <c r="B108" s="146"/>
      <c r="C108" s="147"/>
      <c r="D108" s="148"/>
      <c r="E108" s="151"/>
      <c r="F108" s="191"/>
      <c r="G108" s="191"/>
      <c r="H108" s="191"/>
      <c r="I108" s="191"/>
      <c r="J108" s="191"/>
    </row>
    <row r="109" spans="2:10" s="103" customFormat="1" ht="14.1" customHeight="1" x14ac:dyDescent="0.3">
      <c r="B109" s="146"/>
      <c r="C109" s="147"/>
      <c r="D109" s="148"/>
      <c r="E109" s="151"/>
      <c r="F109" s="191"/>
      <c r="G109" s="191"/>
      <c r="H109" s="191"/>
      <c r="I109" s="191"/>
      <c r="J109" s="191"/>
    </row>
    <row r="110" spans="2:10" s="103" customFormat="1" ht="14.1" customHeight="1" x14ac:dyDescent="0.3">
      <c r="B110" s="146"/>
      <c r="C110" s="147"/>
      <c r="D110" s="148"/>
      <c r="E110" s="151"/>
      <c r="F110" s="191"/>
      <c r="G110" s="191"/>
      <c r="H110" s="191"/>
      <c r="I110" s="191"/>
      <c r="J110" s="191"/>
    </row>
    <row r="111" spans="2:10" s="103" customFormat="1" ht="14.1" customHeight="1" x14ac:dyDescent="0.3">
      <c r="B111" s="146"/>
      <c r="C111" s="147"/>
      <c r="D111" s="148"/>
      <c r="E111" s="151"/>
      <c r="F111" s="191"/>
      <c r="G111" s="191"/>
      <c r="H111" s="191"/>
      <c r="I111" s="191"/>
      <c r="J111" s="191"/>
    </row>
    <row r="112" spans="2:10" s="103" customFormat="1" ht="14.1" customHeight="1" x14ac:dyDescent="0.3">
      <c r="B112" s="146"/>
      <c r="C112" s="147"/>
      <c r="D112" s="148"/>
      <c r="E112" s="151"/>
      <c r="F112" s="191"/>
      <c r="G112" s="191"/>
      <c r="H112" s="191"/>
      <c r="I112" s="191"/>
      <c r="J112" s="191"/>
    </row>
    <row r="113" spans="1:10" s="103" customFormat="1" ht="14.1" customHeight="1" x14ac:dyDescent="0.3">
      <c r="B113" s="146"/>
      <c r="C113" s="147"/>
      <c r="D113" s="148"/>
      <c r="E113" s="151"/>
      <c r="F113" s="191"/>
      <c r="G113" s="191"/>
      <c r="H113" s="191"/>
      <c r="I113" s="191"/>
      <c r="J113" s="191"/>
    </row>
    <row r="114" spans="1:10" s="103" customFormat="1" ht="14.1" customHeight="1" x14ac:dyDescent="0.3">
      <c r="B114" s="146"/>
      <c r="C114" s="147"/>
      <c r="D114" s="148"/>
      <c r="E114" s="151"/>
      <c r="F114" s="191"/>
      <c r="G114" s="191"/>
      <c r="H114" s="191"/>
      <c r="I114" s="191"/>
      <c r="J114" s="191"/>
    </row>
    <row r="115" spans="1:10" s="103" customFormat="1" ht="14.1" customHeight="1" x14ac:dyDescent="0.3">
      <c r="B115" s="146"/>
      <c r="C115" s="147"/>
      <c r="D115" s="148"/>
      <c r="E115" s="151"/>
      <c r="F115" s="191"/>
      <c r="G115" s="191"/>
      <c r="H115" s="191"/>
      <c r="I115" s="191"/>
      <c r="J115" s="191"/>
    </row>
    <row r="116" spans="1:10" s="103" customFormat="1" ht="14.1" customHeight="1" x14ac:dyDescent="0.3">
      <c r="B116" s="146"/>
      <c r="C116" s="147"/>
      <c r="D116" s="148"/>
      <c r="E116" s="151"/>
    </row>
    <row r="117" spans="1:10" s="103" customFormat="1" ht="14.1" customHeight="1" x14ac:dyDescent="0.3">
      <c r="B117" s="146"/>
      <c r="C117" s="147"/>
      <c r="D117" s="148"/>
      <c r="E117" s="151"/>
    </row>
    <row r="118" spans="1:10" s="103" customFormat="1" ht="14.1" customHeight="1" x14ac:dyDescent="0.3">
      <c r="B118" s="146"/>
      <c r="C118" s="147"/>
      <c r="D118" s="148"/>
      <c r="E118" s="151"/>
    </row>
    <row r="119" spans="1:10" s="103" customFormat="1" ht="14.1" customHeight="1" x14ac:dyDescent="0.3">
      <c r="B119" s="146"/>
      <c r="C119" s="147"/>
      <c r="D119" s="148"/>
      <c r="E119" s="151"/>
    </row>
    <row r="120" spans="1:10" s="103" customFormat="1" ht="14.1" customHeight="1" x14ac:dyDescent="0.3">
      <c r="B120" s="146"/>
      <c r="C120" s="147"/>
      <c r="D120" s="148"/>
      <c r="E120" s="151"/>
    </row>
    <row r="121" spans="1:10" s="103" customFormat="1" ht="14.1" customHeight="1" x14ac:dyDescent="0.3">
      <c r="B121" s="146"/>
      <c r="C121" s="147"/>
      <c r="D121" s="148"/>
      <c r="E121" s="151"/>
    </row>
    <row r="122" spans="1:10" s="103" customFormat="1" ht="14.1" customHeight="1" x14ac:dyDescent="0.3">
      <c r="B122" s="146"/>
      <c r="C122" s="147"/>
      <c r="D122" s="148"/>
      <c r="E122" s="151"/>
    </row>
    <row r="123" spans="1:10" x14ac:dyDescent="0.3">
      <c r="A123" s="96" t="s">
        <v>375</v>
      </c>
      <c r="B123" s="152"/>
      <c r="C123" s="153"/>
      <c r="D123" s="151"/>
      <c r="E123" s="151"/>
    </row>
    <row r="124" spans="1:10" x14ac:dyDescent="0.3">
      <c r="B124" s="152"/>
      <c r="C124" s="153"/>
      <c r="D124" s="151"/>
      <c r="E124" s="151"/>
    </row>
    <row r="125" spans="1:10" x14ac:dyDescent="0.3">
      <c r="B125" s="152"/>
      <c r="C125" s="153"/>
      <c r="D125" s="151"/>
      <c r="E125" s="151"/>
    </row>
    <row r="126" spans="1:10" x14ac:dyDescent="0.3">
      <c r="B126" s="152"/>
      <c r="C126" s="153"/>
      <c r="D126" s="151"/>
      <c r="E126" s="151"/>
    </row>
    <row r="127" spans="1:10" x14ac:dyDescent="0.3">
      <c r="B127" s="152"/>
      <c r="C127" s="153"/>
      <c r="D127" s="151"/>
      <c r="E127" s="151"/>
    </row>
    <row r="128" spans="1:10" x14ac:dyDescent="0.3">
      <c r="B128" s="152"/>
      <c r="C128" s="153"/>
      <c r="D128" s="151"/>
      <c r="E128" s="151"/>
    </row>
    <row r="129" spans="2:5" x14ac:dyDescent="0.3">
      <c r="B129" s="152"/>
      <c r="C129" s="153"/>
      <c r="D129" s="151"/>
      <c r="E129" s="151"/>
    </row>
    <row r="130" spans="2:5" x14ac:dyDescent="0.3">
      <c r="B130" s="152"/>
      <c r="C130" s="153"/>
      <c r="D130" s="151"/>
      <c r="E130" s="151"/>
    </row>
    <row r="131" spans="2:5" x14ac:dyDescent="0.3">
      <c r="B131" s="152"/>
      <c r="C131" s="153"/>
      <c r="D131" s="151"/>
      <c r="E131" s="151"/>
    </row>
    <row r="132" spans="2:5" x14ac:dyDescent="0.3">
      <c r="B132" s="152"/>
      <c r="C132" s="153"/>
      <c r="D132" s="151"/>
      <c r="E132" s="151"/>
    </row>
    <row r="133" spans="2:5" x14ac:dyDescent="0.3">
      <c r="B133" s="152"/>
      <c r="C133" s="153"/>
      <c r="D133" s="151"/>
      <c r="E133" s="151"/>
    </row>
    <row r="134" spans="2:5" x14ac:dyDescent="0.3">
      <c r="B134" s="152"/>
      <c r="C134" s="153"/>
      <c r="D134" s="151"/>
      <c r="E134" s="151"/>
    </row>
    <row r="135" spans="2:5" x14ac:dyDescent="0.3">
      <c r="B135" s="152"/>
      <c r="C135" s="153"/>
      <c r="D135" s="151"/>
      <c r="E135" s="151"/>
    </row>
    <row r="136" spans="2:5" x14ac:dyDescent="0.3">
      <c r="B136" s="152"/>
      <c r="C136" s="153"/>
      <c r="D136" s="151"/>
      <c r="E136" s="151"/>
    </row>
    <row r="137" spans="2:5" x14ac:dyDescent="0.3">
      <c r="B137" s="152"/>
      <c r="C137" s="153"/>
      <c r="D137" s="151"/>
      <c r="E137" s="151"/>
    </row>
    <row r="138" spans="2:5" x14ac:dyDescent="0.3">
      <c r="B138" s="152"/>
      <c r="C138" s="153"/>
      <c r="D138" s="151"/>
      <c r="E138" s="151"/>
    </row>
    <row r="139" spans="2:5" x14ac:dyDescent="0.3">
      <c r="B139" s="152"/>
      <c r="C139" s="153"/>
      <c r="D139" s="151"/>
      <c r="E139" s="151"/>
    </row>
    <row r="140" spans="2:5" x14ac:dyDescent="0.3">
      <c r="B140" s="152"/>
      <c r="C140" s="153"/>
      <c r="D140" s="151"/>
      <c r="E140" s="151"/>
    </row>
    <row r="141" spans="2:5" x14ac:dyDescent="0.3">
      <c r="B141" s="152"/>
      <c r="C141" s="153"/>
      <c r="D141" s="151"/>
      <c r="E141" s="151"/>
    </row>
    <row r="142" spans="2:5" x14ac:dyDescent="0.3">
      <c r="B142" s="152"/>
      <c r="C142" s="153"/>
      <c r="D142" s="151"/>
      <c r="E142" s="151"/>
    </row>
    <row r="143" spans="2:5" x14ac:dyDescent="0.3">
      <c r="B143" s="152"/>
      <c r="C143" s="153"/>
      <c r="D143" s="151"/>
      <c r="E143" s="151"/>
    </row>
    <row r="144" spans="2:5" x14ac:dyDescent="0.3">
      <c r="B144" s="152"/>
      <c r="C144" s="153"/>
      <c r="D144" s="151"/>
      <c r="E144" s="151"/>
    </row>
    <row r="145" spans="2:5" x14ac:dyDescent="0.3">
      <c r="B145" s="152"/>
      <c r="C145" s="153"/>
      <c r="D145" s="151"/>
      <c r="E145" s="151"/>
    </row>
    <row r="146" spans="2:5" x14ac:dyDescent="0.3">
      <c r="B146" s="152"/>
      <c r="C146" s="153"/>
      <c r="D146" s="151"/>
      <c r="E146" s="151"/>
    </row>
    <row r="147" spans="2:5" x14ac:dyDescent="0.3">
      <c r="B147" s="152"/>
      <c r="C147" s="153"/>
      <c r="D147" s="151"/>
      <c r="E147" s="151"/>
    </row>
    <row r="148" spans="2:5" x14ac:dyDescent="0.3">
      <c r="B148" s="152"/>
      <c r="C148" s="153"/>
      <c r="D148" s="151"/>
      <c r="E148" s="151"/>
    </row>
    <row r="149" spans="2:5" x14ac:dyDescent="0.3">
      <c r="B149" s="152"/>
      <c r="C149" s="153"/>
      <c r="D149" s="151"/>
      <c r="E149" s="151"/>
    </row>
    <row r="150" spans="2:5" x14ac:dyDescent="0.3">
      <c r="B150" s="152"/>
      <c r="C150" s="153"/>
      <c r="D150" s="151"/>
      <c r="E150" s="151"/>
    </row>
    <row r="151" spans="2:5" x14ac:dyDescent="0.3">
      <c r="B151" s="152"/>
      <c r="C151" s="153"/>
      <c r="D151" s="151"/>
      <c r="E151" s="151"/>
    </row>
    <row r="152" spans="2:5" x14ac:dyDescent="0.3">
      <c r="B152" s="152"/>
      <c r="C152" s="153"/>
      <c r="D152" s="151"/>
      <c r="E152" s="151"/>
    </row>
    <row r="153" spans="2:5" x14ac:dyDescent="0.3">
      <c r="B153" s="152"/>
      <c r="C153" s="153"/>
      <c r="D153" s="151"/>
      <c r="E153" s="151"/>
    </row>
    <row r="154" spans="2:5" x14ac:dyDescent="0.3">
      <c r="B154" s="152"/>
      <c r="C154" s="153"/>
      <c r="D154" s="151"/>
      <c r="E154" s="151"/>
    </row>
    <row r="155" spans="2:5" x14ac:dyDescent="0.3">
      <c r="B155" s="152"/>
      <c r="C155" s="153"/>
      <c r="D155" s="151"/>
      <c r="E155" s="151"/>
    </row>
    <row r="156" spans="2:5" x14ac:dyDescent="0.3">
      <c r="B156" s="152"/>
      <c r="C156" s="153"/>
      <c r="D156" s="151"/>
      <c r="E156" s="151"/>
    </row>
    <row r="157" spans="2:5" x14ac:dyDescent="0.3">
      <c r="B157" s="152"/>
      <c r="C157" s="153"/>
      <c r="D157" s="151"/>
      <c r="E157" s="151"/>
    </row>
    <row r="158" spans="2:5" x14ac:dyDescent="0.3">
      <c r="B158" s="152"/>
      <c r="C158" s="153"/>
      <c r="D158" s="151"/>
      <c r="E158" s="151"/>
    </row>
    <row r="159" spans="2:5" x14ac:dyDescent="0.3">
      <c r="B159" s="152"/>
      <c r="C159" s="153"/>
      <c r="D159" s="151"/>
      <c r="E159" s="151"/>
    </row>
    <row r="160" spans="2:5" x14ac:dyDescent="0.3">
      <c r="B160" s="152"/>
      <c r="C160" s="153"/>
      <c r="D160" s="151"/>
      <c r="E160" s="151"/>
    </row>
    <row r="161" spans="2:5" x14ac:dyDescent="0.3">
      <c r="B161" s="152"/>
      <c r="C161" s="153"/>
      <c r="D161" s="151"/>
      <c r="E161" s="151"/>
    </row>
    <row r="162" spans="2:5" x14ac:dyDescent="0.3">
      <c r="B162" s="152"/>
      <c r="C162" s="153"/>
      <c r="D162" s="151"/>
      <c r="E162" s="151"/>
    </row>
    <row r="163" spans="2:5" x14ac:dyDescent="0.3">
      <c r="B163" s="152"/>
      <c r="C163" s="153"/>
      <c r="D163" s="151"/>
      <c r="E163" s="151"/>
    </row>
    <row r="164" spans="2:5" x14ac:dyDescent="0.3">
      <c r="B164" s="152"/>
      <c r="C164" s="153"/>
      <c r="D164" s="151"/>
      <c r="E164" s="151"/>
    </row>
    <row r="165" spans="2:5" x14ac:dyDescent="0.3">
      <c r="B165" s="152"/>
      <c r="C165" s="153"/>
      <c r="D165" s="151"/>
      <c r="E165" s="151"/>
    </row>
    <row r="166" spans="2:5" x14ac:dyDescent="0.3">
      <c r="B166" s="152"/>
      <c r="C166" s="153"/>
      <c r="D166" s="151"/>
      <c r="E166" s="151"/>
    </row>
    <row r="167" spans="2:5" x14ac:dyDescent="0.3">
      <c r="B167" s="152"/>
      <c r="C167" s="153"/>
      <c r="D167" s="151"/>
      <c r="E167" s="151"/>
    </row>
    <row r="168" spans="2:5" x14ac:dyDescent="0.3">
      <c r="B168" s="152"/>
      <c r="C168" s="153"/>
      <c r="D168" s="151"/>
      <c r="E168" s="151"/>
    </row>
    <row r="169" spans="2:5" x14ac:dyDescent="0.3">
      <c r="B169" s="152"/>
      <c r="C169" s="153"/>
      <c r="D169" s="151"/>
      <c r="E169" s="151"/>
    </row>
    <row r="170" spans="2:5" x14ac:dyDescent="0.3">
      <c r="B170" s="152"/>
      <c r="C170" s="153"/>
      <c r="D170" s="151"/>
      <c r="E170" s="151"/>
    </row>
    <row r="171" spans="2:5" x14ac:dyDescent="0.3">
      <c r="B171" s="152"/>
      <c r="C171" s="153"/>
      <c r="D171" s="151"/>
      <c r="E171" s="151"/>
    </row>
    <row r="172" spans="2:5" x14ac:dyDescent="0.3">
      <c r="B172" s="152"/>
      <c r="C172" s="153"/>
      <c r="D172" s="151"/>
      <c r="E172" s="151"/>
    </row>
    <row r="173" spans="2:5" x14ac:dyDescent="0.3">
      <c r="B173" s="152"/>
      <c r="C173" s="153"/>
      <c r="D173" s="151"/>
      <c r="E173" s="151"/>
    </row>
    <row r="174" spans="2:5" x14ac:dyDescent="0.3">
      <c r="B174" s="152"/>
      <c r="C174" s="153"/>
      <c r="D174" s="151"/>
      <c r="E174" s="151"/>
    </row>
    <row r="175" spans="2:5" x14ac:dyDescent="0.3">
      <c r="B175" s="152"/>
      <c r="C175" s="153"/>
      <c r="D175" s="151"/>
      <c r="E175" s="151"/>
    </row>
    <row r="176" spans="2:5" x14ac:dyDescent="0.3">
      <c r="B176" s="152"/>
      <c r="C176" s="153"/>
      <c r="D176" s="151"/>
      <c r="E176" s="151"/>
    </row>
    <row r="177" spans="2:5" x14ac:dyDescent="0.3">
      <c r="B177" s="152"/>
      <c r="C177" s="153"/>
      <c r="D177" s="151"/>
      <c r="E177" s="151"/>
    </row>
    <row r="178" spans="2:5" x14ac:dyDescent="0.3">
      <c r="B178" s="152"/>
      <c r="C178" s="153"/>
      <c r="D178" s="151"/>
      <c r="E178" s="151"/>
    </row>
    <row r="179" spans="2:5" x14ac:dyDescent="0.3">
      <c r="B179" s="152"/>
      <c r="C179" s="153"/>
      <c r="D179" s="151"/>
      <c r="E179" s="151"/>
    </row>
    <row r="180" spans="2:5" x14ac:dyDescent="0.3">
      <c r="B180" s="152"/>
      <c r="C180" s="153"/>
      <c r="D180" s="151"/>
      <c r="E180" s="151"/>
    </row>
    <row r="181" spans="2:5" x14ac:dyDescent="0.3">
      <c r="B181" s="152"/>
      <c r="C181" s="153"/>
      <c r="D181" s="151"/>
      <c r="E181" s="151"/>
    </row>
    <row r="182" spans="2:5" x14ac:dyDescent="0.3">
      <c r="B182" s="152"/>
      <c r="C182" s="153"/>
      <c r="D182" s="151"/>
      <c r="E182" s="151"/>
    </row>
    <row r="183" spans="2:5" x14ac:dyDescent="0.3">
      <c r="B183" s="152"/>
      <c r="C183" s="153"/>
      <c r="D183" s="151"/>
      <c r="E183" s="151"/>
    </row>
    <row r="184" spans="2:5" x14ac:dyDescent="0.3">
      <c r="B184" s="152"/>
      <c r="C184" s="153"/>
      <c r="D184" s="151"/>
      <c r="E184" s="151"/>
    </row>
    <row r="185" spans="2:5" x14ac:dyDescent="0.3">
      <c r="B185" s="152"/>
      <c r="C185" s="153"/>
      <c r="D185" s="151"/>
      <c r="E185" s="151"/>
    </row>
    <row r="186" spans="2:5" x14ac:dyDescent="0.3">
      <c r="B186" s="152"/>
      <c r="C186" s="153"/>
      <c r="D186" s="151"/>
      <c r="E186" s="151"/>
    </row>
    <row r="187" spans="2:5" x14ac:dyDescent="0.3">
      <c r="B187" s="152"/>
      <c r="C187" s="153"/>
      <c r="D187" s="151"/>
      <c r="E187" s="151"/>
    </row>
    <row r="188" spans="2:5" x14ac:dyDescent="0.3">
      <c r="B188" s="152"/>
      <c r="C188" s="153"/>
      <c r="D188" s="151"/>
      <c r="E188" s="151"/>
    </row>
    <row r="189" spans="2:5" x14ac:dyDescent="0.3">
      <c r="B189" s="152"/>
      <c r="C189" s="153"/>
      <c r="D189" s="151"/>
      <c r="E189" s="151"/>
    </row>
    <row r="190" spans="2:5" x14ac:dyDescent="0.3">
      <c r="B190" s="152"/>
      <c r="C190" s="153"/>
      <c r="D190" s="151"/>
      <c r="E190" s="151"/>
    </row>
    <row r="191" spans="2:5" x14ac:dyDescent="0.3">
      <c r="B191" s="152"/>
      <c r="C191" s="153"/>
      <c r="D191" s="151"/>
      <c r="E191" s="151"/>
    </row>
    <row r="192" spans="2:5" x14ac:dyDescent="0.3">
      <c r="B192" s="152"/>
      <c r="C192" s="153"/>
      <c r="D192" s="151"/>
      <c r="E192" s="151"/>
    </row>
    <row r="193" spans="2:5" x14ac:dyDescent="0.3">
      <c r="B193" s="152"/>
      <c r="C193" s="153"/>
      <c r="D193" s="151"/>
      <c r="E193" s="151"/>
    </row>
    <row r="194" spans="2:5" x14ac:dyDescent="0.3">
      <c r="B194" s="152"/>
      <c r="C194" s="153"/>
      <c r="D194" s="151"/>
      <c r="E194" s="151"/>
    </row>
    <row r="195" spans="2:5" x14ac:dyDescent="0.3">
      <c r="B195" s="152"/>
      <c r="C195" s="153"/>
      <c r="D195" s="151"/>
      <c r="E195" s="151"/>
    </row>
    <row r="196" spans="2:5" x14ac:dyDescent="0.3">
      <c r="B196" s="152"/>
      <c r="C196" s="153"/>
      <c r="D196" s="151"/>
      <c r="E196" s="151"/>
    </row>
    <row r="197" spans="2:5" x14ac:dyDescent="0.3">
      <c r="B197" s="152"/>
      <c r="C197" s="153"/>
      <c r="D197" s="151"/>
      <c r="E197" s="151"/>
    </row>
    <row r="198" spans="2:5" x14ac:dyDescent="0.3">
      <c r="B198" s="152"/>
      <c r="C198" s="153"/>
      <c r="D198" s="151"/>
      <c r="E198" s="151"/>
    </row>
    <row r="199" spans="2:5" x14ac:dyDescent="0.3">
      <c r="B199" s="152"/>
      <c r="C199" s="153"/>
      <c r="D199" s="151"/>
      <c r="E199" s="151"/>
    </row>
    <row r="200" spans="2:5" x14ac:dyDescent="0.3">
      <c r="B200" s="152"/>
      <c r="C200" s="153"/>
      <c r="D200" s="151"/>
      <c r="E200" s="151"/>
    </row>
    <row r="201" spans="2:5" x14ac:dyDescent="0.3">
      <c r="B201" s="152"/>
      <c r="C201" s="153"/>
      <c r="D201" s="151"/>
      <c r="E201" s="151"/>
    </row>
    <row r="202" spans="2:5" x14ac:dyDescent="0.3">
      <c r="B202" s="152"/>
      <c r="C202" s="153"/>
      <c r="D202" s="151"/>
      <c r="E202" s="151"/>
    </row>
    <row r="203" spans="2:5" x14ac:dyDescent="0.3">
      <c r="B203" s="152"/>
      <c r="C203" s="153"/>
      <c r="D203" s="151"/>
      <c r="E203" s="151"/>
    </row>
    <row r="204" spans="2:5" x14ac:dyDescent="0.3">
      <c r="B204" s="152"/>
      <c r="C204" s="153"/>
      <c r="D204" s="151"/>
      <c r="E204" s="151"/>
    </row>
    <row r="205" spans="2:5" x14ac:dyDescent="0.3">
      <c r="B205" s="152"/>
      <c r="C205" s="153"/>
      <c r="D205" s="151"/>
      <c r="E205" s="151"/>
    </row>
    <row r="206" spans="2:5" x14ac:dyDescent="0.3">
      <c r="B206" s="152"/>
      <c r="C206" s="153"/>
      <c r="D206" s="151"/>
      <c r="E206" s="151"/>
    </row>
    <row r="207" spans="2:5" x14ac:dyDescent="0.3">
      <c r="B207" s="152"/>
      <c r="C207" s="153"/>
      <c r="D207" s="151"/>
      <c r="E207" s="151"/>
    </row>
  </sheetData>
  <mergeCells count="3">
    <mergeCell ref="B7:B9"/>
    <mergeCell ref="C7:C9"/>
    <mergeCell ref="D7:E7"/>
  </mergeCells>
  <pageMargins left="0.4" right="0.27559055118110237" top="0.74803149606299213" bottom="0.47244094488188981" header="0.11811023622047245" footer="0.51181102362204722"/>
  <pageSetup paperSize="9" scale="36" fitToHeight="2" orientation="portrait" r:id="rId1"/>
  <headerFooter alignWithMargins="0"/>
  <rowBreaks count="1" manualBreakCount="1">
    <brk id="94" max="4" man="1"/>
  </rowBreaks>
  <ignoredErrors>
    <ignoredError sqref="E76"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4DE35-C07E-4FB8-97C0-1206F21EF809}">
  <dimension ref="A1:N1068"/>
  <sheetViews>
    <sheetView zoomScaleNormal="100" workbookViewId="0">
      <pane ySplit="1" topLeftCell="A2" activePane="bottomLeft" state="frozen"/>
      <selection activeCell="M216" sqref="M216:O216"/>
      <selection pane="bottomLeft" activeCell="A2" sqref="A2"/>
    </sheetView>
  </sheetViews>
  <sheetFormatPr defaultRowHeight="14.4" outlineLevelCol="1" x14ac:dyDescent="0.3"/>
  <cols>
    <col min="1" max="1" width="11.5546875" bestFit="1" customWidth="1"/>
    <col min="2" max="2" width="45.5546875" bestFit="1" customWidth="1"/>
    <col min="3" max="3" width="20.33203125" bestFit="1" customWidth="1"/>
    <col min="4" max="4" width="11.6640625" bestFit="1" customWidth="1"/>
    <col min="5" max="5" width="13.109375" bestFit="1" customWidth="1"/>
    <col min="6" max="6" width="14.33203125" style="199" bestFit="1" customWidth="1"/>
    <col min="7" max="7" width="13.109375" hidden="1" customWidth="1" outlineLevel="1"/>
    <col min="8" max="8" width="13.44140625" bestFit="1" customWidth="1" collapsed="1"/>
    <col min="9" max="9" width="13.44140625" bestFit="1" customWidth="1"/>
    <col min="10" max="10" width="15" style="164" customWidth="1"/>
    <col min="11" max="11" width="11.109375" style="170" bestFit="1" customWidth="1"/>
    <col min="13" max="13" width="18.6640625" bestFit="1" customWidth="1"/>
    <col min="14" max="14" width="18.5546875" style="164" bestFit="1" customWidth="1"/>
  </cols>
  <sheetData>
    <row r="1" spans="1:14" s="163" customFormat="1" x14ac:dyDescent="0.3">
      <c r="A1" s="160" t="s">
        <v>676</v>
      </c>
      <c r="B1" s="161" t="s">
        <v>677</v>
      </c>
      <c r="C1" s="161" t="s">
        <v>678</v>
      </c>
      <c r="D1" s="161" t="s">
        <v>679</v>
      </c>
      <c r="E1" s="161" t="s">
        <v>680</v>
      </c>
      <c r="F1" s="161" t="s">
        <v>681</v>
      </c>
      <c r="G1" s="161" t="s">
        <v>682</v>
      </c>
      <c r="H1" s="161" t="s">
        <v>683</v>
      </c>
      <c r="I1" s="162" t="s">
        <v>684</v>
      </c>
      <c r="J1" s="161" t="s">
        <v>1687</v>
      </c>
      <c r="K1" s="161" t="s">
        <v>1688</v>
      </c>
      <c r="M1" s="171" t="s">
        <v>679</v>
      </c>
      <c r="N1" s="164" t="s">
        <v>686</v>
      </c>
    </row>
    <row r="2" spans="1:14" x14ac:dyDescent="0.3">
      <c r="A2" s="194">
        <v>13100</v>
      </c>
      <c r="B2" s="195" t="s">
        <v>39</v>
      </c>
      <c r="C2" s="195" t="s">
        <v>685</v>
      </c>
      <c r="D2" s="195" t="s">
        <v>686</v>
      </c>
      <c r="E2" s="196">
        <v>0</v>
      </c>
      <c r="F2" s="159">
        <v>81044.36</v>
      </c>
      <c r="G2" s="157">
        <v>81044.36</v>
      </c>
      <c r="H2" s="196">
        <v>0</v>
      </c>
      <c r="I2" s="198">
        <v>0</v>
      </c>
      <c r="J2" s="164">
        <f t="shared" ref="J2:J65" si="0">F2-H2+I2</f>
        <v>81044.36</v>
      </c>
      <c r="K2" s="170" t="str">
        <f>IF(A2&lt;100000,CONCATENATE(0,LEFT(A2,2)),LEFT(A2,3))</f>
        <v>013</v>
      </c>
    </row>
    <row r="3" spans="1:14" x14ac:dyDescent="0.3">
      <c r="A3" s="194">
        <v>21000</v>
      </c>
      <c r="B3" s="195" t="s">
        <v>47</v>
      </c>
      <c r="C3" s="195" t="s">
        <v>685</v>
      </c>
      <c r="D3" s="195" t="s">
        <v>687</v>
      </c>
      <c r="E3" s="196">
        <v>0</v>
      </c>
      <c r="F3" s="159">
        <v>0</v>
      </c>
      <c r="G3" s="158">
        <v>0</v>
      </c>
      <c r="H3" s="196">
        <v>0</v>
      </c>
      <c r="I3" s="198">
        <v>0</v>
      </c>
      <c r="J3" s="164">
        <f t="shared" si="0"/>
        <v>0</v>
      </c>
      <c r="K3" s="170" t="str">
        <f t="shared" ref="K3:K66" si="1">IF(A3&lt;100000,CONCATENATE(0,LEFT(A3,2)),LEFT(A3,3))</f>
        <v>021</v>
      </c>
      <c r="M3" s="171" t="s">
        <v>1689</v>
      </c>
      <c r="N3" s="164" t="s">
        <v>1803</v>
      </c>
    </row>
    <row r="4" spans="1:14" x14ac:dyDescent="0.3">
      <c r="A4" s="194">
        <v>21200</v>
      </c>
      <c r="B4" s="195" t="s">
        <v>688</v>
      </c>
      <c r="C4" s="195" t="s">
        <v>685</v>
      </c>
      <c r="D4" s="195" t="s">
        <v>686</v>
      </c>
      <c r="E4" s="196">
        <v>0</v>
      </c>
      <c r="F4" s="159">
        <v>15701.3</v>
      </c>
      <c r="G4" s="157">
        <v>15701.3</v>
      </c>
      <c r="H4" s="196">
        <v>0</v>
      </c>
      <c r="I4" s="198">
        <v>0</v>
      </c>
      <c r="J4" s="164">
        <f t="shared" si="0"/>
        <v>15701.3</v>
      </c>
      <c r="K4" s="170" t="str">
        <f t="shared" si="1"/>
        <v>021</v>
      </c>
      <c r="M4" s="172" t="s">
        <v>1804</v>
      </c>
      <c r="N4" s="164">
        <v>81044.36</v>
      </c>
    </row>
    <row r="5" spans="1:14" x14ac:dyDescent="0.3">
      <c r="A5" s="194">
        <v>21999</v>
      </c>
      <c r="B5" s="195" t="s">
        <v>689</v>
      </c>
      <c r="C5" s="195" t="s">
        <v>685</v>
      </c>
      <c r="D5" s="195" t="s">
        <v>690</v>
      </c>
      <c r="E5" s="196">
        <v>0</v>
      </c>
      <c r="F5" s="159">
        <v>15701.3</v>
      </c>
      <c r="G5" s="158">
        <v>15701.3</v>
      </c>
      <c r="H5" s="196">
        <v>0</v>
      </c>
      <c r="I5" s="198">
        <v>0</v>
      </c>
      <c r="J5" s="164">
        <f t="shared" si="0"/>
        <v>15701.3</v>
      </c>
      <c r="K5" s="170" t="str">
        <f t="shared" si="1"/>
        <v>021</v>
      </c>
      <c r="M5" s="172" t="s">
        <v>1805</v>
      </c>
      <c r="N5" s="164">
        <v>15701.3</v>
      </c>
    </row>
    <row r="6" spans="1:14" x14ac:dyDescent="0.3">
      <c r="A6" s="194">
        <v>22000</v>
      </c>
      <c r="B6" s="195" t="s">
        <v>691</v>
      </c>
      <c r="C6" s="195" t="s">
        <v>685</v>
      </c>
      <c r="D6" s="195" t="s">
        <v>687</v>
      </c>
      <c r="E6" s="196">
        <v>0</v>
      </c>
      <c r="F6" s="159">
        <v>0</v>
      </c>
      <c r="G6" s="157">
        <v>0</v>
      </c>
      <c r="H6" s="196">
        <v>0</v>
      </c>
      <c r="I6" s="198">
        <v>0</v>
      </c>
      <c r="J6" s="164">
        <f t="shared" si="0"/>
        <v>0</v>
      </c>
      <c r="K6" s="170" t="str">
        <f t="shared" si="1"/>
        <v>022</v>
      </c>
      <c r="M6" s="172" t="s">
        <v>1806</v>
      </c>
      <c r="N6" s="164">
        <v>4595399.4000000004</v>
      </c>
    </row>
    <row r="7" spans="1:14" x14ac:dyDescent="0.3">
      <c r="A7" s="194">
        <v>22400</v>
      </c>
      <c r="B7" s="195" t="s">
        <v>692</v>
      </c>
      <c r="C7" s="195" t="s">
        <v>685</v>
      </c>
      <c r="D7" s="195" t="s">
        <v>686</v>
      </c>
      <c r="E7" s="196">
        <v>0</v>
      </c>
      <c r="F7" s="159">
        <v>0</v>
      </c>
      <c r="G7" s="158">
        <v>0</v>
      </c>
      <c r="H7" s="196">
        <v>0</v>
      </c>
      <c r="I7" s="198">
        <v>0</v>
      </c>
      <c r="J7" s="164">
        <f t="shared" si="0"/>
        <v>0</v>
      </c>
      <c r="K7" s="170" t="str">
        <f t="shared" si="1"/>
        <v>022</v>
      </c>
      <c r="M7" s="172" t="s">
        <v>1807</v>
      </c>
      <c r="N7" s="164">
        <v>0</v>
      </c>
    </row>
    <row r="8" spans="1:14" x14ac:dyDescent="0.3">
      <c r="A8" s="194">
        <v>22401</v>
      </c>
      <c r="B8" s="195" t="s">
        <v>693</v>
      </c>
      <c r="C8" s="195" t="s">
        <v>685</v>
      </c>
      <c r="D8" s="195" t="s">
        <v>686</v>
      </c>
      <c r="E8" s="196">
        <v>-3222.39</v>
      </c>
      <c r="F8" s="159">
        <v>2222326.31</v>
      </c>
      <c r="G8" s="157">
        <v>1829053.98</v>
      </c>
      <c r="H8" s="196">
        <v>6475000.0300000003</v>
      </c>
      <c r="I8" s="198">
        <v>6478222.4199999999</v>
      </c>
      <c r="J8" s="164">
        <f t="shared" si="0"/>
        <v>2225548.6999999993</v>
      </c>
      <c r="K8" s="170" t="str">
        <f t="shared" si="1"/>
        <v>022</v>
      </c>
      <c r="M8" s="172" t="s">
        <v>1808</v>
      </c>
      <c r="N8" s="164">
        <v>1175.97</v>
      </c>
    </row>
    <row r="9" spans="1:14" x14ac:dyDescent="0.3">
      <c r="A9" s="194">
        <v>22402</v>
      </c>
      <c r="B9" s="195" t="s">
        <v>694</v>
      </c>
      <c r="C9" s="195" t="s">
        <v>685</v>
      </c>
      <c r="D9" s="195" t="s">
        <v>686</v>
      </c>
      <c r="E9" s="196">
        <v>36323.86</v>
      </c>
      <c r="F9" s="159">
        <v>325619.21000000002</v>
      </c>
      <c r="G9" s="158">
        <v>325619.21000000002</v>
      </c>
      <c r="H9" s="196">
        <v>374625.52</v>
      </c>
      <c r="I9" s="198">
        <v>338301.66</v>
      </c>
      <c r="J9" s="164">
        <f t="shared" si="0"/>
        <v>289295.34999999998</v>
      </c>
      <c r="K9" s="170" t="str">
        <f t="shared" si="1"/>
        <v>022</v>
      </c>
      <c r="M9" s="172" t="s">
        <v>1809</v>
      </c>
      <c r="N9" s="164">
        <v>26986.1</v>
      </c>
    </row>
    <row r="10" spans="1:14" x14ac:dyDescent="0.3">
      <c r="A10" s="194">
        <v>22403</v>
      </c>
      <c r="B10" s="195" t="s">
        <v>695</v>
      </c>
      <c r="C10" s="195" t="s">
        <v>685</v>
      </c>
      <c r="D10" s="195" t="s">
        <v>686</v>
      </c>
      <c r="E10" s="196">
        <v>0</v>
      </c>
      <c r="F10" s="159">
        <v>0</v>
      </c>
      <c r="G10" s="157">
        <v>0</v>
      </c>
      <c r="H10" s="196">
        <v>0</v>
      </c>
      <c r="I10" s="198">
        <v>0</v>
      </c>
      <c r="J10" s="164">
        <f t="shared" si="0"/>
        <v>0</v>
      </c>
      <c r="K10" s="170" t="str">
        <f t="shared" si="1"/>
        <v>022</v>
      </c>
      <c r="M10" s="172" t="s">
        <v>1810</v>
      </c>
      <c r="N10" s="164">
        <v>150</v>
      </c>
    </row>
    <row r="11" spans="1:14" x14ac:dyDescent="0.3">
      <c r="A11" s="194">
        <v>22404</v>
      </c>
      <c r="B11" s="195" t="s">
        <v>696</v>
      </c>
      <c r="C11" s="195" t="s">
        <v>685</v>
      </c>
      <c r="D11" s="195" t="s">
        <v>686</v>
      </c>
      <c r="E11" s="196">
        <v>-37451.199999999997</v>
      </c>
      <c r="F11" s="159">
        <v>116451</v>
      </c>
      <c r="G11" s="158">
        <v>116451</v>
      </c>
      <c r="H11" s="196">
        <v>0</v>
      </c>
      <c r="I11" s="198">
        <v>37451.199999999997</v>
      </c>
      <c r="J11" s="164">
        <f t="shared" si="0"/>
        <v>153902.20000000001</v>
      </c>
      <c r="K11" s="170" t="str">
        <f t="shared" si="1"/>
        <v>022</v>
      </c>
      <c r="M11" s="172" t="s">
        <v>1811</v>
      </c>
      <c r="N11" s="164">
        <v>-78500.31</v>
      </c>
    </row>
    <row r="12" spans="1:14" x14ac:dyDescent="0.3">
      <c r="A12" s="194">
        <v>22601</v>
      </c>
      <c r="B12" s="195" t="s">
        <v>697</v>
      </c>
      <c r="C12" s="195" t="s">
        <v>685</v>
      </c>
      <c r="D12" s="195" t="s">
        <v>686</v>
      </c>
      <c r="E12" s="196">
        <v>0</v>
      </c>
      <c r="F12" s="159">
        <v>25584.93</v>
      </c>
      <c r="G12" s="157">
        <v>25584.93</v>
      </c>
      <c r="H12" s="196">
        <v>0</v>
      </c>
      <c r="I12" s="198">
        <v>0</v>
      </c>
      <c r="J12" s="164">
        <f t="shared" si="0"/>
        <v>25584.93</v>
      </c>
      <c r="K12" s="170" t="str">
        <f t="shared" si="1"/>
        <v>022</v>
      </c>
      <c r="M12" s="172" t="s">
        <v>1812</v>
      </c>
      <c r="N12" s="164">
        <v>-4828.41</v>
      </c>
    </row>
    <row r="13" spans="1:14" x14ac:dyDescent="0.3">
      <c r="A13" s="194">
        <v>22603</v>
      </c>
      <c r="B13" s="195" t="s">
        <v>698</v>
      </c>
      <c r="C13" s="195" t="s">
        <v>685</v>
      </c>
      <c r="D13" s="195" t="s">
        <v>686</v>
      </c>
      <c r="E13" s="196">
        <v>105632.74</v>
      </c>
      <c r="F13" s="159">
        <v>835002.05</v>
      </c>
      <c r="G13" s="158">
        <v>835002.05</v>
      </c>
      <c r="H13" s="196">
        <v>105632.74</v>
      </c>
      <c r="I13" s="198">
        <v>0</v>
      </c>
      <c r="J13" s="164">
        <f t="shared" si="0"/>
        <v>729369.31</v>
      </c>
      <c r="K13" s="170" t="str">
        <f t="shared" si="1"/>
        <v>022</v>
      </c>
      <c r="M13" s="172" t="s">
        <v>1813</v>
      </c>
      <c r="N13" s="164">
        <v>-1578057.16</v>
      </c>
    </row>
    <row r="14" spans="1:14" x14ac:dyDescent="0.3">
      <c r="A14" s="194">
        <v>22604</v>
      </c>
      <c r="B14" s="195" t="s">
        <v>699</v>
      </c>
      <c r="C14" s="195" t="s">
        <v>685</v>
      </c>
      <c r="D14" s="195" t="s">
        <v>686</v>
      </c>
      <c r="E14" s="196">
        <v>0</v>
      </c>
      <c r="F14" s="159">
        <v>234930.43</v>
      </c>
      <c r="G14" s="157">
        <v>234930.43</v>
      </c>
      <c r="H14" s="196">
        <v>0</v>
      </c>
      <c r="I14" s="198">
        <v>0</v>
      </c>
      <c r="J14" s="164">
        <f t="shared" si="0"/>
        <v>234930.43</v>
      </c>
      <c r="K14" s="170" t="str">
        <f t="shared" si="1"/>
        <v>022</v>
      </c>
      <c r="M14" s="172" t="s">
        <v>1814</v>
      </c>
      <c r="N14" s="164">
        <v>0</v>
      </c>
    </row>
    <row r="15" spans="1:14" x14ac:dyDescent="0.3">
      <c r="A15" s="194">
        <v>22605</v>
      </c>
      <c r="B15" s="195" t="s">
        <v>700</v>
      </c>
      <c r="C15" s="195" t="s">
        <v>685</v>
      </c>
      <c r="D15" s="195" t="s">
        <v>686</v>
      </c>
      <c r="E15" s="196">
        <v>0</v>
      </c>
      <c r="F15" s="159">
        <v>27712.87</v>
      </c>
      <c r="G15" s="158">
        <v>27712.87</v>
      </c>
      <c r="H15" s="196">
        <v>0</v>
      </c>
      <c r="I15" s="198">
        <v>0</v>
      </c>
      <c r="J15" s="164">
        <f t="shared" si="0"/>
        <v>27712.87</v>
      </c>
      <c r="K15" s="170" t="str">
        <f t="shared" si="1"/>
        <v>022</v>
      </c>
      <c r="M15" s="172" t="s">
        <v>1815</v>
      </c>
      <c r="N15" s="164">
        <v>0</v>
      </c>
    </row>
    <row r="16" spans="1:14" x14ac:dyDescent="0.3">
      <c r="A16" s="194">
        <v>22701</v>
      </c>
      <c r="B16" s="195" t="s">
        <v>701</v>
      </c>
      <c r="C16" s="195" t="s">
        <v>685</v>
      </c>
      <c r="D16" s="195" t="s">
        <v>686</v>
      </c>
      <c r="E16" s="196">
        <v>17344.37</v>
      </c>
      <c r="F16" s="159">
        <v>75305.11</v>
      </c>
      <c r="G16" s="157">
        <v>74722.61</v>
      </c>
      <c r="H16" s="196">
        <v>23889.200000000001</v>
      </c>
      <c r="I16" s="198">
        <v>6544.83</v>
      </c>
      <c r="J16" s="164">
        <f t="shared" si="0"/>
        <v>57960.740000000005</v>
      </c>
      <c r="K16" s="170" t="str">
        <f t="shared" si="1"/>
        <v>022</v>
      </c>
      <c r="M16" s="172" t="s">
        <v>1693</v>
      </c>
      <c r="N16" s="164">
        <v>0</v>
      </c>
    </row>
    <row r="17" spans="1:14" x14ac:dyDescent="0.3">
      <c r="A17" s="194">
        <v>22702</v>
      </c>
      <c r="B17" s="195" t="s">
        <v>702</v>
      </c>
      <c r="C17" s="195" t="s">
        <v>685</v>
      </c>
      <c r="D17" s="195" t="s">
        <v>686</v>
      </c>
      <c r="E17" s="196">
        <v>9962.32</v>
      </c>
      <c r="F17" s="159">
        <v>106211.58</v>
      </c>
      <c r="G17" s="158">
        <v>105982.95</v>
      </c>
      <c r="H17" s="196">
        <v>9962.32</v>
      </c>
      <c r="I17" s="198">
        <v>0</v>
      </c>
      <c r="J17" s="164">
        <f t="shared" si="0"/>
        <v>96249.260000000009</v>
      </c>
      <c r="K17" s="170" t="str">
        <f t="shared" si="1"/>
        <v>022</v>
      </c>
      <c r="M17" s="172" t="s">
        <v>1694</v>
      </c>
      <c r="N17" s="164">
        <v>7431944.4900000002</v>
      </c>
    </row>
    <row r="18" spans="1:14" x14ac:dyDescent="0.3">
      <c r="A18" s="194">
        <v>22703</v>
      </c>
      <c r="B18" s="195" t="s">
        <v>703</v>
      </c>
      <c r="C18" s="195" t="s">
        <v>685</v>
      </c>
      <c r="D18" s="195" t="s">
        <v>686</v>
      </c>
      <c r="E18" s="196">
        <v>24251.52</v>
      </c>
      <c r="F18" s="159">
        <v>180030.95</v>
      </c>
      <c r="G18" s="157">
        <v>184359.26</v>
      </c>
      <c r="H18" s="196">
        <v>24251.52</v>
      </c>
      <c r="I18" s="198">
        <v>0</v>
      </c>
      <c r="J18" s="164">
        <f t="shared" si="0"/>
        <v>155779.43000000002</v>
      </c>
      <c r="K18" s="170" t="str">
        <f t="shared" si="1"/>
        <v>022</v>
      </c>
      <c r="M18" s="172" t="s">
        <v>1695</v>
      </c>
      <c r="N18" s="164">
        <v>1113697.24</v>
      </c>
    </row>
    <row r="19" spans="1:14" x14ac:dyDescent="0.3">
      <c r="A19" s="194">
        <v>22704</v>
      </c>
      <c r="B19" s="195" t="s">
        <v>704</v>
      </c>
      <c r="C19" s="195" t="s">
        <v>685</v>
      </c>
      <c r="D19" s="195" t="s">
        <v>686</v>
      </c>
      <c r="E19" s="196">
        <v>3510.96</v>
      </c>
      <c r="F19" s="159">
        <v>345132.39</v>
      </c>
      <c r="G19" s="158">
        <v>345132.39</v>
      </c>
      <c r="H19" s="196">
        <v>3510.96</v>
      </c>
      <c r="I19" s="198">
        <v>0</v>
      </c>
      <c r="J19" s="164">
        <f t="shared" si="0"/>
        <v>341621.43</v>
      </c>
      <c r="K19" s="170" t="str">
        <f t="shared" si="1"/>
        <v>022</v>
      </c>
      <c r="M19" s="172" t="s">
        <v>1696</v>
      </c>
      <c r="N19" s="164">
        <v>-463749.42</v>
      </c>
    </row>
    <row r="20" spans="1:14" x14ac:dyDescent="0.3">
      <c r="A20" s="194">
        <v>22705</v>
      </c>
      <c r="B20" s="195" t="s">
        <v>705</v>
      </c>
      <c r="C20" s="195" t="s">
        <v>685</v>
      </c>
      <c r="D20" s="195" t="s">
        <v>686</v>
      </c>
      <c r="E20" s="196">
        <v>0</v>
      </c>
      <c r="F20" s="159">
        <v>10291.4</v>
      </c>
      <c r="G20" s="157">
        <v>10291.4</v>
      </c>
      <c r="H20" s="196">
        <v>0</v>
      </c>
      <c r="I20" s="198">
        <v>0</v>
      </c>
      <c r="J20" s="164">
        <f t="shared" si="0"/>
        <v>10291.4</v>
      </c>
      <c r="K20" s="170" t="str">
        <f t="shared" si="1"/>
        <v>022</v>
      </c>
      <c r="M20" s="172" t="s">
        <v>1698</v>
      </c>
      <c r="N20" s="164">
        <v>4258.45</v>
      </c>
    </row>
    <row r="21" spans="1:14" x14ac:dyDescent="0.3">
      <c r="A21" s="194">
        <v>22710</v>
      </c>
      <c r="B21" s="195" t="s">
        <v>706</v>
      </c>
      <c r="C21" s="195" t="s">
        <v>685</v>
      </c>
      <c r="D21" s="195" t="s">
        <v>686</v>
      </c>
      <c r="E21" s="196">
        <v>699.4</v>
      </c>
      <c r="F21" s="159">
        <v>90801.17</v>
      </c>
      <c r="G21" s="158">
        <v>90801.17</v>
      </c>
      <c r="H21" s="196">
        <v>699.4</v>
      </c>
      <c r="I21" s="198">
        <v>0</v>
      </c>
      <c r="J21" s="164">
        <f t="shared" si="0"/>
        <v>90101.77</v>
      </c>
      <c r="K21" s="170" t="str">
        <f t="shared" si="1"/>
        <v>022</v>
      </c>
      <c r="M21" s="172" t="s">
        <v>1699</v>
      </c>
      <c r="N21" s="164">
        <v>9660</v>
      </c>
    </row>
    <row r="22" spans="1:14" x14ac:dyDescent="0.3">
      <c r="A22" s="194">
        <v>22999</v>
      </c>
      <c r="B22" s="195" t="s">
        <v>707</v>
      </c>
      <c r="C22" s="195" t="s">
        <v>685</v>
      </c>
      <c r="D22" s="195" t="s">
        <v>690</v>
      </c>
      <c r="E22" s="196">
        <v>157051.57999999999</v>
      </c>
      <c r="F22" s="159">
        <v>4595399.4000000004</v>
      </c>
      <c r="G22" s="157">
        <v>4205644.25</v>
      </c>
      <c r="H22" s="196">
        <v>7017571.6900000004</v>
      </c>
      <c r="I22" s="198">
        <v>6860520.1100000003</v>
      </c>
      <c r="J22" s="164">
        <f t="shared" si="0"/>
        <v>4438347.82</v>
      </c>
      <c r="K22" s="170" t="str">
        <f t="shared" si="1"/>
        <v>022</v>
      </c>
      <c r="M22" s="172" t="s">
        <v>1701</v>
      </c>
      <c r="N22" s="164">
        <v>-513343.85000000003</v>
      </c>
    </row>
    <row r="23" spans="1:14" x14ac:dyDescent="0.3">
      <c r="A23" s="194">
        <v>28000</v>
      </c>
      <c r="B23" s="195" t="s">
        <v>708</v>
      </c>
      <c r="C23" s="195" t="s">
        <v>685</v>
      </c>
      <c r="D23" s="195" t="s">
        <v>687</v>
      </c>
      <c r="E23" s="196">
        <v>0</v>
      </c>
      <c r="F23" s="159">
        <v>0</v>
      </c>
      <c r="G23" s="158">
        <v>0</v>
      </c>
      <c r="H23" s="196">
        <v>0</v>
      </c>
      <c r="I23" s="198">
        <v>0</v>
      </c>
      <c r="J23" s="164">
        <f t="shared" si="0"/>
        <v>0</v>
      </c>
      <c r="K23" s="170" t="str">
        <f t="shared" si="1"/>
        <v>028</v>
      </c>
      <c r="M23" s="172" t="s">
        <v>1702</v>
      </c>
      <c r="N23" s="164">
        <v>0</v>
      </c>
    </row>
    <row r="24" spans="1:14" x14ac:dyDescent="0.3">
      <c r="A24" s="194">
        <v>28200</v>
      </c>
      <c r="B24" s="195" t="s">
        <v>709</v>
      </c>
      <c r="C24" s="195" t="s">
        <v>685</v>
      </c>
      <c r="D24" s="195" t="s">
        <v>686</v>
      </c>
      <c r="E24" s="196">
        <v>0</v>
      </c>
      <c r="F24" s="159">
        <v>0</v>
      </c>
      <c r="G24" s="157">
        <v>0</v>
      </c>
      <c r="H24" s="196">
        <v>0</v>
      </c>
      <c r="I24" s="198">
        <v>0</v>
      </c>
      <c r="J24" s="164">
        <f t="shared" si="0"/>
        <v>0</v>
      </c>
      <c r="K24" s="170" t="str">
        <f t="shared" si="1"/>
        <v>028</v>
      </c>
      <c r="M24" s="172" t="s">
        <v>1703</v>
      </c>
      <c r="N24" s="164">
        <v>0</v>
      </c>
    </row>
    <row r="25" spans="1:14" x14ac:dyDescent="0.3">
      <c r="A25" s="194">
        <v>28999</v>
      </c>
      <c r="B25" s="195" t="s">
        <v>710</v>
      </c>
      <c r="C25" s="195" t="s">
        <v>685</v>
      </c>
      <c r="D25" s="195" t="s">
        <v>690</v>
      </c>
      <c r="E25" s="196">
        <v>0</v>
      </c>
      <c r="F25" s="159">
        <v>0</v>
      </c>
      <c r="G25" s="158">
        <v>0</v>
      </c>
      <c r="H25" s="196">
        <v>0</v>
      </c>
      <c r="I25" s="198">
        <v>0</v>
      </c>
      <c r="J25" s="164">
        <f t="shared" si="0"/>
        <v>0</v>
      </c>
      <c r="K25" s="170" t="str">
        <f t="shared" si="1"/>
        <v>028</v>
      </c>
      <c r="M25" s="172" t="s">
        <v>1706</v>
      </c>
      <c r="N25" s="164">
        <v>650220.62</v>
      </c>
    </row>
    <row r="26" spans="1:14" x14ac:dyDescent="0.3">
      <c r="A26" s="194">
        <v>29000</v>
      </c>
      <c r="B26" s="195" t="s">
        <v>711</v>
      </c>
      <c r="C26" s="195" t="s">
        <v>685</v>
      </c>
      <c r="D26" s="195" t="s">
        <v>687</v>
      </c>
      <c r="E26" s="196">
        <v>0</v>
      </c>
      <c r="F26" s="159">
        <v>0</v>
      </c>
      <c r="G26" s="157">
        <v>0</v>
      </c>
      <c r="H26" s="196">
        <v>0</v>
      </c>
      <c r="I26" s="198">
        <v>0</v>
      </c>
      <c r="J26" s="164">
        <f t="shared" si="0"/>
        <v>0</v>
      </c>
      <c r="K26" s="170" t="str">
        <f t="shared" si="1"/>
        <v>029</v>
      </c>
      <c r="M26" s="172" t="s">
        <v>1707</v>
      </c>
      <c r="N26" s="164">
        <v>0</v>
      </c>
    </row>
    <row r="27" spans="1:14" x14ac:dyDescent="0.3">
      <c r="A27" s="194">
        <v>29100</v>
      </c>
      <c r="B27" s="195" t="s">
        <v>712</v>
      </c>
      <c r="C27" s="195" t="s">
        <v>685</v>
      </c>
      <c r="D27" s="195" t="s">
        <v>686</v>
      </c>
      <c r="E27" s="196">
        <v>1175.97</v>
      </c>
      <c r="F27" s="159">
        <v>1175.97</v>
      </c>
      <c r="G27" s="158">
        <v>1175.97</v>
      </c>
      <c r="H27" s="196">
        <v>1175.97</v>
      </c>
      <c r="I27" s="198">
        <v>0</v>
      </c>
      <c r="J27" s="164">
        <f t="shared" si="0"/>
        <v>0</v>
      </c>
      <c r="K27" s="170" t="str">
        <f t="shared" si="1"/>
        <v>029</v>
      </c>
      <c r="M27" s="172" t="s">
        <v>1708</v>
      </c>
      <c r="N27" s="164">
        <v>1571015.98</v>
      </c>
    </row>
    <row r="28" spans="1:14" x14ac:dyDescent="0.3">
      <c r="A28" s="194">
        <v>29998</v>
      </c>
      <c r="B28" s="195" t="s">
        <v>713</v>
      </c>
      <c r="C28" s="195" t="s">
        <v>685</v>
      </c>
      <c r="D28" s="195" t="s">
        <v>690</v>
      </c>
      <c r="E28" s="196">
        <v>1175.97</v>
      </c>
      <c r="F28" s="159">
        <v>1175.97</v>
      </c>
      <c r="G28" s="157">
        <v>1175.97</v>
      </c>
      <c r="H28" s="196">
        <v>1175.97</v>
      </c>
      <c r="I28" s="198">
        <v>0</v>
      </c>
      <c r="J28" s="164">
        <f t="shared" si="0"/>
        <v>0</v>
      </c>
      <c r="K28" s="170" t="str">
        <f t="shared" si="1"/>
        <v>029</v>
      </c>
      <c r="M28" s="172" t="s">
        <v>1709</v>
      </c>
      <c r="N28" s="164">
        <v>-2397858.7800000003</v>
      </c>
    </row>
    <row r="29" spans="1:14" x14ac:dyDescent="0.3">
      <c r="A29" s="194">
        <v>29999</v>
      </c>
      <c r="B29" s="195" t="s">
        <v>714</v>
      </c>
      <c r="C29" s="195" t="s">
        <v>685</v>
      </c>
      <c r="D29" s="195" t="s">
        <v>690</v>
      </c>
      <c r="E29" s="196">
        <v>158227.54999999999</v>
      </c>
      <c r="F29" s="159">
        <v>4612276.67</v>
      </c>
      <c r="G29" s="158">
        <v>4222521.5199999996</v>
      </c>
      <c r="H29" s="196">
        <v>7018747.6600000001</v>
      </c>
      <c r="I29" s="198">
        <v>6860520.1100000003</v>
      </c>
      <c r="J29" s="164">
        <f t="shared" si="0"/>
        <v>4454049.12</v>
      </c>
      <c r="K29" s="170" t="str">
        <f t="shared" si="1"/>
        <v>029</v>
      </c>
      <c r="M29" s="172" t="s">
        <v>1710</v>
      </c>
      <c r="N29" s="164">
        <v>-391255.11</v>
      </c>
    </row>
    <row r="30" spans="1:14" x14ac:dyDescent="0.3">
      <c r="A30" s="194">
        <v>41000</v>
      </c>
      <c r="B30" s="195" t="s">
        <v>715</v>
      </c>
      <c r="C30" s="195" t="s">
        <v>685</v>
      </c>
      <c r="D30" s="195" t="s">
        <v>687</v>
      </c>
      <c r="E30" s="196">
        <v>0</v>
      </c>
      <c r="F30" s="159">
        <v>0</v>
      </c>
      <c r="G30" s="157">
        <v>0</v>
      </c>
      <c r="H30" s="196">
        <v>0</v>
      </c>
      <c r="I30" s="198">
        <v>0</v>
      </c>
      <c r="J30" s="164">
        <f t="shared" si="0"/>
        <v>0</v>
      </c>
      <c r="K30" s="170" t="str">
        <f t="shared" si="1"/>
        <v>041</v>
      </c>
      <c r="M30" s="172" t="s">
        <v>1711</v>
      </c>
      <c r="N30" s="164">
        <v>-581052.30000000005</v>
      </c>
    </row>
    <row r="31" spans="1:14" x14ac:dyDescent="0.3">
      <c r="A31" s="194">
        <v>41100</v>
      </c>
      <c r="B31" s="195" t="s">
        <v>716</v>
      </c>
      <c r="C31" s="195" t="s">
        <v>685</v>
      </c>
      <c r="D31" s="195" t="s">
        <v>686</v>
      </c>
      <c r="E31" s="196">
        <v>19986.099999999999</v>
      </c>
      <c r="F31" s="159">
        <v>26986.1</v>
      </c>
      <c r="G31" s="158">
        <v>26986.1</v>
      </c>
      <c r="H31" s="196">
        <v>19986.099999999999</v>
      </c>
      <c r="I31" s="198">
        <v>0</v>
      </c>
      <c r="J31" s="164">
        <f t="shared" si="0"/>
        <v>7000</v>
      </c>
      <c r="K31" s="170" t="str">
        <f t="shared" si="1"/>
        <v>041</v>
      </c>
      <c r="M31" s="172" t="s">
        <v>1712</v>
      </c>
      <c r="N31" s="164">
        <v>-875958.02999999991</v>
      </c>
    </row>
    <row r="32" spans="1:14" x14ac:dyDescent="0.3">
      <c r="A32" s="194">
        <v>41999</v>
      </c>
      <c r="B32" s="195" t="s">
        <v>717</v>
      </c>
      <c r="C32" s="195" t="s">
        <v>685</v>
      </c>
      <c r="D32" s="195" t="s">
        <v>690</v>
      </c>
      <c r="E32" s="196">
        <v>19986.099999999999</v>
      </c>
      <c r="F32" s="159">
        <v>26986.1</v>
      </c>
      <c r="G32" s="157">
        <v>26986.1</v>
      </c>
      <c r="H32" s="196">
        <v>19986.099999999999</v>
      </c>
      <c r="I32" s="198">
        <v>0</v>
      </c>
      <c r="J32" s="164">
        <f t="shared" si="0"/>
        <v>7000</v>
      </c>
      <c r="K32" s="170" t="str">
        <f t="shared" si="1"/>
        <v>041</v>
      </c>
      <c r="M32" s="172" t="s">
        <v>1713</v>
      </c>
      <c r="N32" s="164">
        <v>-36310.550000000003</v>
      </c>
    </row>
    <row r="33" spans="1:14" x14ac:dyDescent="0.3">
      <c r="A33" s="194">
        <v>42000</v>
      </c>
      <c r="B33" s="195" t="s">
        <v>718</v>
      </c>
      <c r="C33" s="195" t="s">
        <v>685</v>
      </c>
      <c r="D33" s="195" t="s">
        <v>687</v>
      </c>
      <c r="E33" s="196">
        <v>0</v>
      </c>
      <c r="F33" s="159">
        <v>0</v>
      </c>
      <c r="G33" s="158">
        <v>0</v>
      </c>
      <c r="H33" s="196">
        <v>0</v>
      </c>
      <c r="I33" s="198">
        <v>0</v>
      </c>
      <c r="J33" s="164">
        <f t="shared" si="0"/>
        <v>0</v>
      </c>
      <c r="K33" s="170" t="str">
        <f t="shared" si="1"/>
        <v>042</v>
      </c>
      <c r="M33" s="172" t="s">
        <v>1714</v>
      </c>
      <c r="N33" s="164">
        <v>-142079.17000000001</v>
      </c>
    </row>
    <row r="34" spans="1:14" x14ac:dyDescent="0.3">
      <c r="A34" s="194">
        <v>42022</v>
      </c>
      <c r="B34" s="195" t="s">
        <v>719</v>
      </c>
      <c r="C34" s="195" t="s">
        <v>685</v>
      </c>
      <c r="D34" s="195" t="s">
        <v>686</v>
      </c>
      <c r="E34" s="196">
        <v>0</v>
      </c>
      <c r="F34" s="159">
        <v>0</v>
      </c>
      <c r="G34" s="157">
        <v>0</v>
      </c>
      <c r="H34" s="196">
        <v>109364.68</v>
      </c>
      <c r="I34" s="198">
        <v>109364.68</v>
      </c>
      <c r="J34" s="164">
        <f t="shared" si="0"/>
        <v>0</v>
      </c>
      <c r="K34" s="170" t="str">
        <f t="shared" si="1"/>
        <v>042</v>
      </c>
      <c r="M34" s="172" t="s">
        <v>1715</v>
      </c>
      <c r="N34" s="164">
        <v>0</v>
      </c>
    </row>
    <row r="35" spans="1:14" x14ac:dyDescent="0.3">
      <c r="A35" s="194">
        <v>42023</v>
      </c>
      <c r="B35" s="195" t="s">
        <v>720</v>
      </c>
      <c r="C35" s="195" t="s">
        <v>685</v>
      </c>
      <c r="D35" s="195" t="s">
        <v>686</v>
      </c>
      <c r="E35" s="196">
        <v>-198.4</v>
      </c>
      <c r="F35" s="159">
        <v>0</v>
      </c>
      <c r="G35" s="158">
        <v>2459.54</v>
      </c>
      <c r="H35" s="196">
        <v>6796101.2800000003</v>
      </c>
      <c r="I35" s="198">
        <v>6796299.6799999997</v>
      </c>
      <c r="J35" s="164">
        <f t="shared" si="0"/>
        <v>198.39999999944121</v>
      </c>
      <c r="K35" s="170" t="str">
        <f t="shared" si="1"/>
        <v>042</v>
      </c>
      <c r="M35" s="172" t="s">
        <v>1716</v>
      </c>
      <c r="N35" s="164">
        <v>2700</v>
      </c>
    </row>
    <row r="36" spans="1:14" x14ac:dyDescent="0.3">
      <c r="A36" s="194">
        <v>42024</v>
      </c>
      <c r="B36" s="195" t="s">
        <v>721</v>
      </c>
      <c r="C36" s="195" t="s">
        <v>685</v>
      </c>
      <c r="D36" s="195" t="s">
        <v>686</v>
      </c>
      <c r="E36" s="196">
        <v>-855</v>
      </c>
      <c r="F36" s="159">
        <v>150</v>
      </c>
      <c r="G36" s="157">
        <v>150</v>
      </c>
      <c r="H36" s="196">
        <v>30676.59</v>
      </c>
      <c r="I36" s="198">
        <v>31531.59</v>
      </c>
      <c r="J36" s="164">
        <f t="shared" si="0"/>
        <v>1005</v>
      </c>
      <c r="K36" s="170" t="str">
        <f t="shared" si="1"/>
        <v>042</v>
      </c>
      <c r="M36" s="172" t="s">
        <v>1717</v>
      </c>
      <c r="N36" s="164">
        <v>-99887.95</v>
      </c>
    </row>
    <row r="37" spans="1:14" x14ac:dyDescent="0.3">
      <c r="A37" s="194">
        <v>42028</v>
      </c>
      <c r="B37" s="195" t="s">
        <v>722</v>
      </c>
      <c r="C37" s="195" t="s">
        <v>685</v>
      </c>
      <c r="D37" s="195" t="s">
        <v>686</v>
      </c>
      <c r="E37" s="196">
        <v>0</v>
      </c>
      <c r="F37" s="159">
        <v>0</v>
      </c>
      <c r="G37" s="158">
        <v>0</v>
      </c>
      <c r="H37" s="196">
        <v>13665.51</v>
      </c>
      <c r="I37" s="198">
        <v>13665.51</v>
      </c>
      <c r="J37" s="164">
        <f t="shared" si="0"/>
        <v>0</v>
      </c>
      <c r="K37" s="170" t="str">
        <f t="shared" si="1"/>
        <v>042</v>
      </c>
      <c r="M37" s="172" t="s">
        <v>1718</v>
      </c>
      <c r="N37" s="164">
        <v>-54450.350000000006</v>
      </c>
    </row>
    <row r="38" spans="1:14" x14ac:dyDescent="0.3">
      <c r="A38" s="194">
        <v>42029</v>
      </c>
      <c r="B38" s="195" t="s">
        <v>723</v>
      </c>
      <c r="C38" s="195" t="s">
        <v>685</v>
      </c>
      <c r="D38" s="195" t="s">
        <v>686</v>
      </c>
      <c r="E38" s="196">
        <v>0</v>
      </c>
      <c r="F38" s="159">
        <v>0</v>
      </c>
      <c r="G38" s="157">
        <v>0</v>
      </c>
      <c r="H38" s="196">
        <v>0</v>
      </c>
      <c r="I38" s="198">
        <v>0</v>
      </c>
      <c r="J38" s="164">
        <f t="shared" si="0"/>
        <v>0</v>
      </c>
      <c r="K38" s="170" t="str">
        <f t="shared" si="1"/>
        <v>042</v>
      </c>
      <c r="M38" s="172" t="s">
        <v>1719</v>
      </c>
      <c r="N38" s="164">
        <v>-32351.07</v>
      </c>
    </row>
    <row r="39" spans="1:14" x14ac:dyDescent="0.3">
      <c r="A39" s="194">
        <v>42900</v>
      </c>
      <c r="B39" s="195" t="s">
        <v>724</v>
      </c>
      <c r="C39" s="195" t="s">
        <v>685</v>
      </c>
      <c r="D39" s="195" t="s">
        <v>686</v>
      </c>
      <c r="E39" s="196">
        <v>0</v>
      </c>
      <c r="F39" s="159">
        <v>0</v>
      </c>
      <c r="G39" s="158">
        <v>0</v>
      </c>
      <c r="H39" s="196">
        <v>14130</v>
      </c>
      <c r="I39" s="198">
        <v>14130</v>
      </c>
      <c r="J39" s="164">
        <f t="shared" si="0"/>
        <v>0</v>
      </c>
      <c r="K39" s="170" t="str">
        <f t="shared" si="1"/>
        <v>042</v>
      </c>
      <c r="M39" s="172" t="s">
        <v>1720</v>
      </c>
      <c r="N39" s="164">
        <v>-207130.58</v>
      </c>
    </row>
    <row r="40" spans="1:14" x14ac:dyDescent="0.3">
      <c r="A40" s="194">
        <v>42999</v>
      </c>
      <c r="B40" s="195" t="s">
        <v>725</v>
      </c>
      <c r="C40" s="195" t="s">
        <v>685</v>
      </c>
      <c r="D40" s="195" t="s">
        <v>690</v>
      </c>
      <c r="E40" s="196">
        <v>-1053.4000000000001</v>
      </c>
      <c r="F40" s="159">
        <v>150</v>
      </c>
      <c r="G40" s="157">
        <v>2609.54</v>
      </c>
      <c r="H40" s="196">
        <v>6963938.0599999996</v>
      </c>
      <c r="I40" s="198">
        <v>6964991.46</v>
      </c>
      <c r="J40" s="164">
        <f t="shared" si="0"/>
        <v>1203.4000000003725</v>
      </c>
      <c r="K40" s="170" t="str">
        <f t="shared" si="1"/>
        <v>042</v>
      </c>
      <c r="M40" s="172" t="s">
        <v>1721</v>
      </c>
      <c r="N40" s="164">
        <v>-2459.0700000000002</v>
      </c>
    </row>
    <row r="41" spans="1:14" x14ac:dyDescent="0.3">
      <c r="A41" s="194">
        <v>73000</v>
      </c>
      <c r="B41" s="195" t="s">
        <v>726</v>
      </c>
      <c r="C41" s="195" t="s">
        <v>685</v>
      </c>
      <c r="D41" s="195" t="s">
        <v>687</v>
      </c>
      <c r="E41" s="196">
        <v>0</v>
      </c>
      <c r="F41" s="159">
        <v>0</v>
      </c>
      <c r="G41" s="158">
        <v>0</v>
      </c>
      <c r="H41" s="196">
        <v>0</v>
      </c>
      <c r="I41" s="198">
        <v>0</v>
      </c>
      <c r="J41" s="164">
        <f t="shared" si="0"/>
        <v>0</v>
      </c>
      <c r="K41" s="170" t="str">
        <f t="shared" si="1"/>
        <v>073</v>
      </c>
      <c r="M41" s="172" t="s">
        <v>1722</v>
      </c>
      <c r="N41" s="164">
        <v>0</v>
      </c>
    </row>
    <row r="42" spans="1:14" x14ac:dyDescent="0.3">
      <c r="A42" s="194">
        <v>73100</v>
      </c>
      <c r="B42" s="195" t="s">
        <v>727</v>
      </c>
      <c r="C42" s="195" t="s">
        <v>685</v>
      </c>
      <c r="D42" s="195" t="s">
        <v>686</v>
      </c>
      <c r="E42" s="196">
        <v>-971.42</v>
      </c>
      <c r="F42" s="159">
        <v>-78500.31</v>
      </c>
      <c r="G42" s="157">
        <v>-78575.14</v>
      </c>
      <c r="H42" s="196">
        <v>0</v>
      </c>
      <c r="I42" s="198">
        <v>971.42</v>
      </c>
      <c r="J42" s="164">
        <f t="shared" si="0"/>
        <v>-77528.89</v>
      </c>
      <c r="K42" s="170" t="str">
        <f t="shared" si="1"/>
        <v>073</v>
      </c>
      <c r="M42" s="172" t="s">
        <v>1723</v>
      </c>
      <c r="N42" s="164">
        <v>0</v>
      </c>
    </row>
    <row r="43" spans="1:14" x14ac:dyDescent="0.3">
      <c r="A43" s="194">
        <v>73999</v>
      </c>
      <c r="B43" s="195" t="s">
        <v>728</v>
      </c>
      <c r="C43" s="195" t="s">
        <v>685</v>
      </c>
      <c r="D43" s="195" t="s">
        <v>690</v>
      </c>
      <c r="E43" s="196">
        <v>-971.42</v>
      </c>
      <c r="F43" s="159">
        <v>-78500.31</v>
      </c>
      <c r="G43" s="158">
        <v>-78575.14</v>
      </c>
      <c r="H43" s="196">
        <v>0</v>
      </c>
      <c r="I43" s="198">
        <v>971.42</v>
      </c>
      <c r="J43" s="164">
        <f t="shared" si="0"/>
        <v>-77528.89</v>
      </c>
      <c r="K43" s="170" t="str">
        <f t="shared" si="1"/>
        <v>073</v>
      </c>
      <c r="M43" s="172" t="s">
        <v>1724</v>
      </c>
      <c r="N43" s="164">
        <v>0</v>
      </c>
    </row>
    <row r="44" spans="1:14" x14ac:dyDescent="0.3">
      <c r="A44" s="194">
        <v>81000</v>
      </c>
      <c r="B44" s="195" t="s">
        <v>729</v>
      </c>
      <c r="C44" s="195" t="s">
        <v>685</v>
      </c>
      <c r="D44" s="195" t="s">
        <v>687</v>
      </c>
      <c r="E44" s="196">
        <v>0</v>
      </c>
      <c r="F44" s="159">
        <v>0</v>
      </c>
      <c r="G44" s="157">
        <v>0</v>
      </c>
      <c r="H44" s="196">
        <v>0</v>
      </c>
      <c r="I44" s="198">
        <v>0</v>
      </c>
      <c r="J44" s="164">
        <f t="shared" si="0"/>
        <v>0</v>
      </c>
      <c r="K44" s="170" t="str">
        <f t="shared" si="1"/>
        <v>081</v>
      </c>
      <c r="M44" s="172" t="s">
        <v>1725</v>
      </c>
      <c r="N44" s="164">
        <v>0</v>
      </c>
    </row>
    <row r="45" spans="1:14" x14ac:dyDescent="0.3">
      <c r="A45" s="194">
        <v>81100</v>
      </c>
      <c r="B45" s="195" t="s">
        <v>730</v>
      </c>
      <c r="C45" s="195" t="s">
        <v>685</v>
      </c>
      <c r="D45" s="195" t="s">
        <v>686</v>
      </c>
      <c r="E45" s="196">
        <v>-1051.8599999999999</v>
      </c>
      <c r="F45" s="159">
        <v>-4828.41</v>
      </c>
      <c r="G45" s="158">
        <v>-4916.0600000000004</v>
      </c>
      <c r="H45" s="196">
        <v>0</v>
      </c>
      <c r="I45" s="198">
        <v>1051.8599999999999</v>
      </c>
      <c r="J45" s="164">
        <f t="shared" si="0"/>
        <v>-3776.55</v>
      </c>
      <c r="K45" s="170" t="str">
        <f t="shared" si="1"/>
        <v>081</v>
      </c>
      <c r="M45" s="172" t="s">
        <v>1726</v>
      </c>
      <c r="N45" s="164">
        <v>0</v>
      </c>
    </row>
    <row r="46" spans="1:14" x14ac:dyDescent="0.3">
      <c r="A46" s="194">
        <v>81999</v>
      </c>
      <c r="B46" s="195" t="s">
        <v>731</v>
      </c>
      <c r="C46" s="195" t="s">
        <v>685</v>
      </c>
      <c r="D46" s="195" t="s">
        <v>690</v>
      </c>
      <c r="E46" s="196">
        <v>-1051.8599999999999</v>
      </c>
      <c r="F46" s="159">
        <v>-4828.41</v>
      </c>
      <c r="G46" s="157">
        <v>-4916.0600000000004</v>
      </c>
      <c r="H46" s="196">
        <v>0</v>
      </c>
      <c r="I46" s="198">
        <v>1051.8599999999999</v>
      </c>
      <c r="J46" s="164">
        <f t="shared" si="0"/>
        <v>-3776.55</v>
      </c>
      <c r="K46" s="170" t="str">
        <f t="shared" si="1"/>
        <v>081</v>
      </c>
      <c r="M46" s="172" t="s">
        <v>1727</v>
      </c>
      <c r="N46" s="164">
        <v>0</v>
      </c>
    </row>
    <row r="47" spans="1:14" x14ac:dyDescent="0.3">
      <c r="A47" s="194">
        <v>82000</v>
      </c>
      <c r="B47" s="195" t="s">
        <v>732</v>
      </c>
      <c r="C47" s="195" t="s">
        <v>685</v>
      </c>
      <c r="D47" s="195" t="s">
        <v>687</v>
      </c>
      <c r="E47" s="196">
        <v>0</v>
      </c>
      <c r="F47" s="159">
        <v>0</v>
      </c>
      <c r="G47" s="158">
        <v>0</v>
      </c>
      <c r="H47" s="196">
        <v>0</v>
      </c>
      <c r="I47" s="198">
        <v>0</v>
      </c>
      <c r="J47" s="164">
        <f t="shared" si="0"/>
        <v>0</v>
      </c>
      <c r="K47" s="170" t="str">
        <f t="shared" si="1"/>
        <v>082</v>
      </c>
      <c r="M47" s="172" t="s">
        <v>1728</v>
      </c>
      <c r="N47" s="164">
        <v>17846.39</v>
      </c>
    </row>
    <row r="48" spans="1:14" x14ac:dyDescent="0.3">
      <c r="A48" s="194">
        <v>82401</v>
      </c>
      <c r="B48" s="195" t="s">
        <v>733</v>
      </c>
      <c r="C48" s="195" t="s">
        <v>685</v>
      </c>
      <c r="D48" s="195" t="s">
        <v>686</v>
      </c>
      <c r="E48" s="196">
        <v>-3456.66</v>
      </c>
      <c r="F48" s="159">
        <v>-72568.58</v>
      </c>
      <c r="G48" s="157">
        <v>-83798.09</v>
      </c>
      <c r="H48" s="196">
        <v>6442333.6500000004</v>
      </c>
      <c r="I48" s="198">
        <v>6445790.3099999996</v>
      </c>
      <c r="J48" s="164">
        <f t="shared" si="0"/>
        <v>-69111.920000000857</v>
      </c>
      <c r="K48" s="170" t="str">
        <f t="shared" si="1"/>
        <v>082</v>
      </c>
      <c r="M48" s="172" t="s">
        <v>1729</v>
      </c>
      <c r="N48" s="164">
        <v>-7037.41</v>
      </c>
    </row>
    <row r="49" spans="1:14" x14ac:dyDescent="0.3">
      <c r="A49" s="194">
        <v>82402</v>
      </c>
      <c r="B49" s="195" t="s">
        <v>734</v>
      </c>
      <c r="C49" s="195" t="s">
        <v>685</v>
      </c>
      <c r="D49" s="195" t="s">
        <v>686</v>
      </c>
      <c r="E49" s="196">
        <v>-3521.87</v>
      </c>
      <c r="F49" s="159">
        <v>-44865.68</v>
      </c>
      <c r="G49" s="158">
        <v>-52146.93</v>
      </c>
      <c r="H49" s="196">
        <v>337049.79</v>
      </c>
      <c r="I49" s="198">
        <v>340571.66</v>
      </c>
      <c r="J49" s="164">
        <f t="shared" si="0"/>
        <v>-41343.81</v>
      </c>
      <c r="K49" s="170" t="str">
        <f t="shared" si="1"/>
        <v>082</v>
      </c>
      <c r="M49" s="172" t="s">
        <v>1730</v>
      </c>
      <c r="N49" s="164">
        <v>17961.46</v>
      </c>
    </row>
    <row r="50" spans="1:14" x14ac:dyDescent="0.3">
      <c r="A50" s="194">
        <v>82404</v>
      </c>
      <c r="B50" s="195" t="s">
        <v>735</v>
      </c>
      <c r="C50" s="195" t="s">
        <v>685</v>
      </c>
      <c r="D50" s="195" t="s">
        <v>686</v>
      </c>
      <c r="E50" s="196">
        <v>-23839.31</v>
      </c>
      <c r="F50" s="159">
        <v>-86212.97</v>
      </c>
      <c r="G50" s="157">
        <v>-88329.61</v>
      </c>
      <c r="H50" s="196">
        <v>37451.199999999997</v>
      </c>
      <c r="I50" s="198">
        <v>61290.51</v>
      </c>
      <c r="J50" s="164">
        <f t="shared" si="0"/>
        <v>-62373.659999999996</v>
      </c>
      <c r="K50" s="170" t="str">
        <f t="shared" si="1"/>
        <v>082</v>
      </c>
      <c r="M50" s="172" t="s">
        <v>1731</v>
      </c>
      <c r="N50" s="164">
        <v>0</v>
      </c>
    </row>
    <row r="51" spans="1:14" x14ac:dyDescent="0.3">
      <c r="A51" s="194">
        <v>82601</v>
      </c>
      <c r="B51" s="195" t="s">
        <v>736</v>
      </c>
      <c r="C51" s="195" t="s">
        <v>685</v>
      </c>
      <c r="D51" s="195" t="s">
        <v>686</v>
      </c>
      <c r="E51" s="196">
        <v>0</v>
      </c>
      <c r="F51" s="159">
        <v>-25584.93</v>
      </c>
      <c r="G51" s="158">
        <v>-25584.93</v>
      </c>
      <c r="H51" s="196">
        <v>0</v>
      </c>
      <c r="I51" s="198">
        <v>0</v>
      </c>
      <c r="J51" s="164">
        <f t="shared" si="0"/>
        <v>-25584.93</v>
      </c>
      <c r="K51" s="170" t="str">
        <f t="shared" si="1"/>
        <v>082</v>
      </c>
      <c r="M51" s="172" t="s">
        <v>1732</v>
      </c>
      <c r="N51" s="164">
        <v>-197.82</v>
      </c>
    </row>
    <row r="52" spans="1:14" x14ac:dyDescent="0.3">
      <c r="A52" s="194">
        <v>82603</v>
      </c>
      <c r="B52" s="195" t="s">
        <v>737</v>
      </c>
      <c r="C52" s="195" t="s">
        <v>685</v>
      </c>
      <c r="D52" s="195" t="s">
        <v>686</v>
      </c>
      <c r="E52" s="196">
        <v>-54459.55</v>
      </c>
      <c r="F52" s="159">
        <v>-505883.77</v>
      </c>
      <c r="G52" s="157">
        <v>-510337.97</v>
      </c>
      <c r="H52" s="196">
        <v>0</v>
      </c>
      <c r="I52" s="198">
        <v>54459.55</v>
      </c>
      <c r="J52" s="164">
        <f t="shared" si="0"/>
        <v>-451424.22000000003</v>
      </c>
      <c r="K52" s="170" t="str">
        <f t="shared" si="1"/>
        <v>082</v>
      </c>
      <c r="M52" s="172" t="s">
        <v>1733</v>
      </c>
      <c r="N52" s="164">
        <v>-19079.03</v>
      </c>
    </row>
    <row r="53" spans="1:14" x14ac:dyDescent="0.3">
      <c r="A53" s="194">
        <v>82604</v>
      </c>
      <c r="B53" s="195" t="s">
        <v>738</v>
      </c>
      <c r="C53" s="195" t="s">
        <v>685</v>
      </c>
      <c r="D53" s="195" t="s">
        <v>686</v>
      </c>
      <c r="E53" s="196">
        <v>-583.16</v>
      </c>
      <c r="F53" s="159">
        <v>-227671.32</v>
      </c>
      <c r="G53" s="158">
        <v>-227687.29</v>
      </c>
      <c r="H53" s="196">
        <v>0</v>
      </c>
      <c r="I53" s="198">
        <v>583.16</v>
      </c>
      <c r="J53" s="164">
        <f t="shared" si="0"/>
        <v>-227088.16</v>
      </c>
      <c r="K53" s="170" t="str">
        <f t="shared" si="1"/>
        <v>082</v>
      </c>
      <c r="M53" s="172" t="s">
        <v>1734</v>
      </c>
      <c r="N53" s="164">
        <v>38129</v>
      </c>
    </row>
    <row r="54" spans="1:14" x14ac:dyDescent="0.3">
      <c r="A54" s="194">
        <v>82605</v>
      </c>
      <c r="B54" s="195" t="s">
        <v>739</v>
      </c>
      <c r="C54" s="195" t="s">
        <v>685</v>
      </c>
      <c r="D54" s="195" t="s">
        <v>686</v>
      </c>
      <c r="E54" s="196">
        <v>-157.06</v>
      </c>
      <c r="F54" s="159">
        <v>-28208.98</v>
      </c>
      <c r="G54" s="157">
        <v>-28224.38</v>
      </c>
      <c r="H54" s="196">
        <v>0</v>
      </c>
      <c r="I54" s="198">
        <v>157.06</v>
      </c>
      <c r="J54" s="164">
        <f t="shared" si="0"/>
        <v>-28051.919999999998</v>
      </c>
      <c r="K54" s="170" t="str">
        <f t="shared" si="1"/>
        <v>082</v>
      </c>
      <c r="M54" s="172" t="s">
        <v>1735</v>
      </c>
      <c r="N54" s="164">
        <v>-60821.43</v>
      </c>
    </row>
    <row r="55" spans="1:14" x14ac:dyDescent="0.3">
      <c r="A55" s="194">
        <v>82701</v>
      </c>
      <c r="B55" s="195" t="s">
        <v>740</v>
      </c>
      <c r="C55" s="195" t="s">
        <v>685</v>
      </c>
      <c r="D55" s="195" t="s">
        <v>686</v>
      </c>
      <c r="E55" s="196">
        <v>2664.41</v>
      </c>
      <c r="F55" s="159">
        <v>-52353.84</v>
      </c>
      <c r="G55" s="158">
        <v>-52221.39</v>
      </c>
      <c r="H55" s="196">
        <v>13089.66</v>
      </c>
      <c r="I55" s="198">
        <v>10425.25</v>
      </c>
      <c r="J55" s="164">
        <f t="shared" si="0"/>
        <v>-55018.25</v>
      </c>
      <c r="K55" s="170" t="str">
        <f t="shared" si="1"/>
        <v>082</v>
      </c>
      <c r="M55" s="172" t="s">
        <v>1736</v>
      </c>
      <c r="N55" s="164">
        <v>0</v>
      </c>
    </row>
    <row r="56" spans="1:14" x14ac:dyDescent="0.3">
      <c r="A56" s="194">
        <v>82702</v>
      </c>
      <c r="B56" s="195" t="s">
        <v>741</v>
      </c>
      <c r="C56" s="195" t="s">
        <v>685</v>
      </c>
      <c r="D56" s="195" t="s">
        <v>686</v>
      </c>
      <c r="E56" s="196">
        <v>-18475.63</v>
      </c>
      <c r="F56" s="159">
        <v>-65987.490000000005</v>
      </c>
      <c r="G56" s="157">
        <v>-67574.92</v>
      </c>
      <c r="H56" s="196">
        <v>0</v>
      </c>
      <c r="I56" s="198">
        <v>18475.63</v>
      </c>
      <c r="J56" s="164">
        <f t="shared" si="0"/>
        <v>-47511.86</v>
      </c>
      <c r="K56" s="170" t="str">
        <f t="shared" si="1"/>
        <v>082</v>
      </c>
      <c r="M56" s="172" t="s">
        <v>1738</v>
      </c>
      <c r="N56" s="164">
        <v>-2956639</v>
      </c>
    </row>
    <row r="57" spans="1:14" x14ac:dyDescent="0.3">
      <c r="A57" s="194">
        <v>82703</v>
      </c>
      <c r="B57" s="195" t="s">
        <v>742</v>
      </c>
      <c r="C57" s="195" t="s">
        <v>685</v>
      </c>
      <c r="D57" s="195" t="s">
        <v>686</v>
      </c>
      <c r="E57" s="196">
        <v>-15699.93</v>
      </c>
      <c r="F57" s="159">
        <v>-117969.83</v>
      </c>
      <c r="G57" s="158">
        <v>-119553.62</v>
      </c>
      <c r="H57" s="196">
        <v>0</v>
      </c>
      <c r="I57" s="198">
        <v>15699.93</v>
      </c>
      <c r="J57" s="164">
        <f t="shared" si="0"/>
        <v>-102269.9</v>
      </c>
      <c r="K57" s="170" t="str">
        <f t="shared" si="1"/>
        <v>082</v>
      </c>
      <c r="M57" s="172" t="s">
        <v>1739</v>
      </c>
      <c r="N57" s="164">
        <v>-4346417.08</v>
      </c>
    </row>
    <row r="58" spans="1:14" x14ac:dyDescent="0.3">
      <c r="A58" s="194">
        <v>82704</v>
      </c>
      <c r="B58" s="195" t="s">
        <v>743</v>
      </c>
      <c r="C58" s="195" t="s">
        <v>685</v>
      </c>
      <c r="D58" s="195" t="s">
        <v>686</v>
      </c>
      <c r="E58" s="196">
        <v>-25527.38</v>
      </c>
      <c r="F58" s="159">
        <v>-268180.65999999997</v>
      </c>
      <c r="G58" s="157">
        <v>-269151.52</v>
      </c>
      <c r="H58" s="196">
        <v>0</v>
      </c>
      <c r="I58" s="198">
        <v>25527.38</v>
      </c>
      <c r="J58" s="164">
        <f t="shared" si="0"/>
        <v>-242653.27999999997</v>
      </c>
      <c r="K58" s="170" t="str">
        <f t="shared" si="1"/>
        <v>082</v>
      </c>
      <c r="M58" s="172" t="s">
        <v>1741</v>
      </c>
      <c r="N58" s="164">
        <v>-745.2</v>
      </c>
    </row>
    <row r="59" spans="1:14" x14ac:dyDescent="0.3">
      <c r="A59" s="194">
        <v>82705</v>
      </c>
      <c r="B59" s="195" t="s">
        <v>744</v>
      </c>
      <c r="C59" s="195" t="s">
        <v>685</v>
      </c>
      <c r="D59" s="195" t="s">
        <v>686</v>
      </c>
      <c r="E59" s="196">
        <v>-968.16</v>
      </c>
      <c r="F59" s="159">
        <v>-7663.94</v>
      </c>
      <c r="G59" s="158">
        <v>-7744.62</v>
      </c>
      <c r="H59" s="196">
        <v>0</v>
      </c>
      <c r="I59" s="198">
        <v>968.16</v>
      </c>
      <c r="J59" s="164">
        <f t="shared" si="0"/>
        <v>-6695.78</v>
      </c>
      <c r="K59" s="170" t="str">
        <f t="shared" si="1"/>
        <v>082</v>
      </c>
      <c r="M59" s="172" t="s">
        <v>1742</v>
      </c>
      <c r="N59" s="164">
        <v>-1440.75</v>
      </c>
    </row>
    <row r="60" spans="1:14" x14ac:dyDescent="0.3">
      <c r="A60" s="194">
        <v>82710</v>
      </c>
      <c r="B60" s="195" t="s">
        <v>745</v>
      </c>
      <c r="C60" s="195" t="s">
        <v>685</v>
      </c>
      <c r="D60" s="195" t="s">
        <v>686</v>
      </c>
      <c r="E60" s="196">
        <v>-6231.67</v>
      </c>
      <c r="F60" s="159">
        <v>-74905.17</v>
      </c>
      <c r="G60" s="157">
        <v>-75416.45</v>
      </c>
      <c r="H60" s="196">
        <v>0</v>
      </c>
      <c r="I60" s="198">
        <v>6231.67</v>
      </c>
      <c r="J60" s="164">
        <f t="shared" si="0"/>
        <v>-68673.5</v>
      </c>
      <c r="K60" s="170" t="str">
        <f t="shared" si="1"/>
        <v>082</v>
      </c>
      <c r="M60" s="172" t="s">
        <v>1743</v>
      </c>
      <c r="N60" s="164">
        <v>-5416844.5300000003</v>
      </c>
    </row>
    <row r="61" spans="1:14" x14ac:dyDescent="0.3">
      <c r="A61" s="194">
        <v>82999</v>
      </c>
      <c r="B61" s="195" t="s">
        <v>746</v>
      </c>
      <c r="C61" s="195" t="s">
        <v>685</v>
      </c>
      <c r="D61" s="195" t="s">
        <v>690</v>
      </c>
      <c r="E61" s="196">
        <v>-150255.97</v>
      </c>
      <c r="F61" s="159">
        <v>-1578057.16</v>
      </c>
      <c r="G61" s="158">
        <v>-1607771.72</v>
      </c>
      <c r="H61" s="196">
        <v>6829924.2999999998</v>
      </c>
      <c r="I61" s="198">
        <v>6980180.2699999996</v>
      </c>
      <c r="J61" s="164">
        <f t="shared" si="0"/>
        <v>-1427801.1899999995</v>
      </c>
      <c r="K61" s="170" t="str">
        <f t="shared" si="1"/>
        <v>082</v>
      </c>
      <c r="M61" s="172" t="s">
        <v>1744</v>
      </c>
      <c r="N61" s="164">
        <v>5147926.3499999996</v>
      </c>
    </row>
    <row r="62" spans="1:14" x14ac:dyDescent="0.3">
      <c r="A62" s="194">
        <v>89000</v>
      </c>
      <c r="B62" s="195" t="s">
        <v>747</v>
      </c>
      <c r="C62" s="195" t="s">
        <v>685</v>
      </c>
      <c r="D62" s="195" t="s">
        <v>687</v>
      </c>
      <c r="E62" s="196">
        <v>0</v>
      </c>
      <c r="F62" s="159">
        <v>0</v>
      </c>
      <c r="G62" s="157">
        <v>0</v>
      </c>
      <c r="H62" s="196">
        <v>0</v>
      </c>
      <c r="I62" s="198">
        <v>0</v>
      </c>
      <c r="J62" s="164">
        <f t="shared" si="0"/>
        <v>0</v>
      </c>
      <c r="K62" s="170" t="str">
        <f t="shared" si="1"/>
        <v>089</v>
      </c>
      <c r="M62" s="172" t="s">
        <v>1745</v>
      </c>
      <c r="N62" s="164">
        <v>0</v>
      </c>
    </row>
    <row r="63" spans="1:14" x14ac:dyDescent="0.3">
      <c r="A63" s="194">
        <v>89100</v>
      </c>
      <c r="B63" s="195" t="s">
        <v>747</v>
      </c>
      <c r="C63" s="195" t="s">
        <v>685</v>
      </c>
      <c r="D63" s="195" t="s">
        <v>686</v>
      </c>
      <c r="E63" s="196">
        <v>0</v>
      </c>
      <c r="F63" s="159">
        <v>0</v>
      </c>
      <c r="G63" s="158">
        <v>0</v>
      </c>
      <c r="H63" s="196">
        <v>157.06</v>
      </c>
      <c r="I63" s="198">
        <v>157.06</v>
      </c>
      <c r="J63" s="164">
        <f t="shared" si="0"/>
        <v>0</v>
      </c>
      <c r="K63" s="170" t="str">
        <f t="shared" si="1"/>
        <v>089</v>
      </c>
      <c r="M63" s="172" t="s">
        <v>1746</v>
      </c>
      <c r="N63" s="164">
        <v>-358.16</v>
      </c>
    </row>
    <row r="64" spans="1:14" x14ac:dyDescent="0.3">
      <c r="A64" s="194">
        <v>89999</v>
      </c>
      <c r="B64" s="195" t="s">
        <v>748</v>
      </c>
      <c r="C64" s="195" t="s">
        <v>685</v>
      </c>
      <c r="D64" s="195" t="s">
        <v>690</v>
      </c>
      <c r="E64" s="196">
        <v>0</v>
      </c>
      <c r="F64" s="159">
        <v>0</v>
      </c>
      <c r="G64" s="157">
        <v>0</v>
      </c>
      <c r="H64" s="196">
        <v>157.06</v>
      </c>
      <c r="I64" s="198">
        <v>157.06</v>
      </c>
      <c r="J64" s="164">
        <f t="shared" si="0"/>
        <v>0</v>
      </c>
      <c r="K64" s="170" t="str">
        <f t="shared" si="1"/>
        <v>089</v>
      </c>
      <c r="M64" s="172" t="s">
        <v>1747</v>
      </c>
      <c r="N64" s="164">
        <v>223819.38</v>
      </c>
    </row>
    <row r="65" spans="1:14" x14ac:dyDescent="0.3">
      <c r="A65" s="194">
        <v>92000</v>
      </c>
      <c r="B65" s="195" t="s">
        <v>749</v>
      </c>
      <c r="C65" s="195" t="s">
        <v>685</v>
      </c>
      <c r="D65" s="195" t="s">
        <v>687</v>
      </c>
      <c r="E65" s="196">
        <v>0</v>
      </c>
      <c r="F65" s="159">
        <v>0</v>
      </c>
      <c r="G65" s="158">
        <v>0</v>
      </c>
      <c r="H65" s="196">
        <v>0</v>
      </c>
      <c r="I65" s="198">
        <v>0</v>
      </c>
      <c r="J65" s="164">
        <f t="shared" si="0"/>
        <v>0</v>
      </c>
      <c r="K65" s="170" t="str">
        <f t="shared" si="1"/>
        <v>092</v>
      </c>
      <c r="M65" s="172" t="s">
        <v>1748</v>
      </c>
      <c r="N65" s="164">
        <v>486349.99</v>
      </c>
    </row>
    <row r="66" spans="1:14" x14ac:dyDescent="0.3">
      <c r="A66" s="194">
        <v>92100</v>
      </c>
      <c r="B66" s="195" t="s">
        <v>749</v>
      </c>
      <c r="C66" s="195" t="s">
        <v>685</v>
      </c>
      <c r="D66" s="195" t="s">
        <v>686</v>
      </c>
      <c r="E66" s="196">
        <v>0</v>
      </c>
      <c r="F66" s="159">
        <v>0</v>
      </c>
      <c r="G66" s="157">
        <v>0</v>
      </c>
      <c r="H66" s="196">
        <v>0</v>
      </c>
      <c r="I66" s="198">
        <v>0</v>
      </c>
      <c r="J66" s="164">
        <f t="shared" ref="J66:J129" si="2">F66-H66+I66</f>
        <v>0</v>
      </c>
      <c r="K66" s="170" t="str">
        <f t="shared" si="1"/>
        <v>092</v>
      </c>
      <c r="M66" s="172" t="s">
        <v>1749</v>
      </c>
      <c r="N66" s="164">
        <v>102735.67000000001</v>
      </c>
    </row>
    <row r="67" spans="1:14" x14ac:dyDescent="0.3">
      <c r="A67" s="194">
        <v>92401</v>
      </c>
      <c r="B67" s="195" t="s">
        <v>750</v>
      </c>
      <c r="C67" s="195" t="s">
        <v>685</v>
      </c>
      <c r="D67" s="195" t="s">
        <v>686</v>
      </c>
      <c r="E67" s="196">
        <v>0</v>
      </c>
      <c r="F67" s="159">
        <v>0</v>
      </c>
      <c r="G67" s="158">
        <v>0</v>
      </c>
      <c r="H67" s="196">
        <v>0</v>
      </c>
      <c r="I67" s="198">
        <v>0</v>
      </c>
      <c r="J67" s="164">
        <f t="shared" si="2"/>
        <v>0</v>
      </c>
      <c r="K67" s="170" t="str">
        <f t="shared" ref="K67:K130" si="3">IF(A67&lt;100000,CONCATENATE(0,LEFT(A67,2)),LEFT(A67,3))</f>
        <v>092</v>
      </c>
      <c r="M67" s="172" t="s">
        <v>1750</v>
      </c>
      <c r="N67" s="164">
        <v>12612.140000000001</v>
      </c>
    </row>
    <row r="68" spans="1:14" x14ac:dyDescent="0.3">
      <c r="A68" s="194">
        <v>92402</v>
      </c>
      <c r="B68" s="195" t="s">
        <v>751</v>
      </c>
      <c r="C68" s="195" t="s">
        <v>685</v>
      </c>
      <c r="D68" s="195" t="s">
        <v>686</v>
      </c>
      <c r="E68" s="196">
        <v>0</v>
      </c>
      <c r="F68" s="159">
        <v>0</v>
      </c>
      <c r="G68" s="157">
        <v>0</v>
      </c>
      <c r="H68" s="196">
        <v>0</v>
      </c>
      <c r="I68" s="198">
        <v>0</v>
      </c>
      <c r="J68" s="164">
        <f t="shared" si="2"/>
        <v>0</v>
      </c>
      <c r="K68" s="170" t="str">
        <f t="shared" si="3"/>
        <v>092</v>
      </c>
      <c r="M68" s="172" t="s">
        <v>1751</v>
      </c>
      <c r="N68" s="164">
        <v>35657750.229999997</v>
      </c>
    </row>
    <row r="69" spans="1:14" x14ac:dyDescent="0.3">
      <c r="A69" s="194">
        <v>92999</v>
      </c>
      <c r="B69" s="195" t="s">
        <v>752</v>
      </c>
      <c r="C69" s="195" t="s">
        <v>685</v>
      </c>
      <c r="D69" s="195" t="s">
        <v>690</v>
      </c>
      <c r="E69" s="196">
        <v>0</v>
      </c>
      <c r="F69" s="159">
        <v>0</v>
      </c>
      <c r="G69" s="158">
        <v>0</v>
      </c>
      <c r="H69" s="196">
        <v>0</v>
      </c>
      <c r="I69" s="198">
        <v>0</v>
      </c>
      <c r="J69" s="164">
        <f t="shared" si="2"/>
        <v>0</v>
      </c>
      <c r="K69" s="170" t="str">
        <f t="shared" si="3"/>
        <v>092</v>
      </c>
      <c r="M69" s="172" t="s">
        <v>1752</v>
      </c>
      <c r="N69" s="164">
        <v>192910.06</v>
      </c>
    </row>
    <row r="70" spans="1:14" x14ac:dyDescent="0.3">
      <c r="A70" s="194">
        <v>99998</v>
      </c>
      <c r="B70" s="195" t="s">
        <v>753</v>
      </c>
      <c r="C70" s="195" t="s">
        <v>685</v>
      </c>
      <c r="D70" s="195" t="s">
        <v>690</v>
      </c>
      <c r="E70" s="196">
        <v>24881</v>
      </c>
      <c r="F70" s="159">
        <v>2978026.89</v>
      </c>
      <c r="G70" s="157">
        <v>2560854.2400000002</v>
      </c>
      <c r="H70" s="196">
        <v>20832753.18</v>
      </c>
      <c r="I70" s="198">
        <v>20807872.18</v>
      </c>
      <c r="J70" s="164">
        <f t="shared" si="2"/>
        <v>2953145.8900000006</v>
      </c>
      <c r="K70" s="170" t="str">
        <f t="shared" si="3"/>
        <v>099</v>
      </c>
      <c r="M70" s="172" t="s">
        <v>1753</v>
      </c>
      <c r="N70" s="164">
        <v>17910.240000000002</v>
      </c>
    </row>
    <row r="71" spans="1:14" x14ac:dyDescent="0.3">
      <c r="A71" s="194">
        <v>99999</v>
      </c>
      <c r="B71" s="195" t="s">
        <v>754</v>
      </c>
      <c r="C71" s="195" t="s">
        <v>685</v>
      </c>
      <c r="D71" s="195" t="s">
        <v>690</v>
      </c>
      <c r="E71" s="196">
        <v>24881</v>
      </c>
      <c r="F71" s="159">
        <v>3059071.25</v>
      </c>
      <c r="G71" s="158">
        <v>2641898.6</v>
      </c>
      <c r="H71" s="196">
        <v>20832753.18</v>
      </c>
      <c r="I71" s="198">
        <v>20807872.18</v>
      </c>
      <c r="J71" s="164">
        <f t="shared" si="2"/>
        <v>3034190.25</v>
      </c>
      <c r="K71" s="170" t="str">
        <f t="shared" si="3"/>
        <v>099</v>
      </c>
      <c r="M71" s="172" t="s">
        <v>1754</v>
      </c>
      <c r="N71" s="164">
        <v>17637.53</v>
      </c>
    </row>
    <row r="72" spans="1:14" x14ac:dyDescent="0.3">
      <c r="A72" s="194">
        <v>100000</v>
      </c>
      <c r="B72" s="195" t="s">
        <v>755</v>
      </c>
      <c r="C72" s="195" t="s">
        <v>685</v>
      </c>
      <c r="D72" s="195" t="s">
        <v>687</v>
      </c>
      <c r="E72" s="196">
        <v>0</v>
      </c>
      <c r="F72" s="159">
        <v>0</v>
      </c>
      <c r="G72" s="157">
        <v>0</v>
      </c>
      <c r="H72" s="196">
        <v>0</v>
      </c>
      <c r="I72" s="198">
        <v>0</v>
      </c>
      <c r="J72" s="164">
        <f t="shared" si="2"/>
        <v>0</v>
      </c>
      <c r="K72" s="170" t="str">
        <f t="shared" si="3"/>
        <v>100</v>
      </c>
      <c r="M72" s="172" t="s">
        <v>1755</v>
      </c>
      <c r="N72" s="164">
        <v>29331.26</v>
      </c>
    </row>
    <row r="73" spans="1:14" x14ac:dyDescent="0.3">
      <c r="A73" s="194">
        <v>130000</v>
      </c>
      <c r="B73" s="195" t="s">
        <v>123</v>
      </c>
      <c r="C73" s="195" t="s">
        <v>685</v>
      </c>
      <c r="D73" s="195" t="s">
        <v>687</v>
      </c>
      <c r="E73" s="196">
        <v>0</v>
      </c>
      <c r="F73" s="159">
        <v>0</v>
      </c>
      <c r="G73" s="158">
        <v>0</v>
      </c>
      <c r="H73" s="196">
        <v>0</v>
      </c>
      <c r="I73" s="198">
        <v>0</v>
      </c>
      <c r="J73" s="164">
        <f t="shared" si="2"/>
        <v>0</v>
      </c>
      <c r="K73" s="170" t="str">
        <f t="shared" si="3"/>
        <v>130</v>
      </c>
      <c r="M73" s="172" t="s">
        <v>1756</v>
      </c>
      <c r="N73" s="164">
        <v>2774061.06</v>
      </c>
    </row>
    <row r="74" spans="1:14" x14ac:dyDescent="0.3">
      <c r="A74" s="194">
        <v>131100</v>
      </c>
      <c r="B74" s="195" t="s">
        <v>756</v>
      </c>
      <c r="C74" s="195" t="s">
        <v>685</v>
      </c>
      <c r="D74" s="195" t="s">
        <v>686</v>
      </c>
      <c r="E74" s="196">
        <v>0</v>
      </c>
      <c r="F74" s="159">
        <v>0</v>
      </c>
      <c r="G74" s="157">
        <v>1.8</v>
      </c>
      <c r="H74" s="196">
        <v>5040166.63</v>
      </c>
      <c r="I74" s="198">
        <v>5040166.63</v>
      </c>
      <c r="J74" s="164">
        <f t="shared" si="2"/>
        <v>0</v>
      </c>
      <c r="K74" s="170" t="str">
        <f t="shared" si="3"/>
        <v>131</v>
      </c>
      <c r="M74" s="172" t="s">
        <v>1757</v>
      </c>
      <c r="N74" s="164">
        <v>2360131.4699999997</v>
      </c>
    </row>
    <row r="75" spans="1:14" x14ac:dyDescent="0.3">
      <c r="A75" s="194">
        <v>131110</v>
      </c>
      <c r="B75" s="195" t="s">
        <v>757</v>
      </c>
      <c r="C75" s="195" t="s">
        <v>685</v>
      </c>
      <c r="D75" s="195" t="s">
        <v>686</v>
      </c>
      <c r="E75" s="196">
        <v>0</v>
      </c>
      <c r="F75" s="159">
        <v>0</v>
      </c>
      <c r="G75" s="158">
        <v>0</v>
      </c>
      <c r="H75" s="196">
        <v>5163493.26</v>
      </c>
      <c r="I75" s="198">
        <v>5163493.26</v>
      </c>
      <c r="J75" s="164">
        <f t="shared" si="2"/>
        <v>0</v>
      </c>
      <c r="K75" s="170" t="str">
        <f t="shared" si="3"/>
        <v>131</v>
      </c>
      <c r="M75" s="172" t="s">
        <v>1758</v>
      </c>
      <c r="N75" s="164">
        <v>0</v>
      </c>
    </row>
    <row r="76" spans="1:14" x14ac:dyDescent="0.3">
      <c r="A76" s="194">
        <v>131111</v>
      </c>
      <c r="B76" s="195" t="s">
        <v>758</v>
      </c>
      <c r="C76" s="195" t="s">
        <v>685</v>
      </c>
      <c r="D76" s="195" t="s">
        <v>686</v>
      </c>
      <c r="E76" s="196">
        <v>0</v>
      </c>
      <c r="F76" s="159">
        <v>0</v>
      </c>
      <c r="G76" s="157">
        <v>0</v>
      </c>
      <c r="H76" s="196">
        <v>679991.01</v>
      </c>
      <c r="I76" s="198">
        <v>679991.01</v>
      </c>
      <c r="J76" s="164">
        <f t="shared" si="2"/>
        <v>0</v>
      </c>
      <c r="K76" s="170" t="str">
        <f t="shared" si="3"/>
        <v>131</v>
      </c>
      <c r="M76" s="172" t="s">
        <v>1759</v>
      </c>
      <c r="N76" s="164">
        <v>0</v>
      </c>
    </row>
    <row r="77" spans="1:14" x14ac:dyDescent="0.3">
      <c r="A77" s="194">
        <v>131115</v>
      </c>
      <c r="B77" s="195" t="s">
        <v>447</v>
      </c>
      <c r="C77" s="195" t="s">
        <v>685</v>
      </c>
      <c r="D77" s="195" t="s">
        <v>686</v>
      </c>
      <c r="E77" s="196">
        <v>0</v>
      </c>
      <c r="F77" s="159">
        <v>0</v>
      </c>
      <c r="G77" s="158">
        <v>0</v>
      </c>
      <c r="H77" s="196">
        <v>77650</v>
      </c>
      <c r="I77" s="198">
        <v>77650</v>
      </c>
      <c r="J77" s="164">
        <f t="shared" si="2"/>
        <v>0</v>
      </c>
      <c r="K77" s="170" t="str">
        <f t="shared" si="3"/>
        <v>131</v>
      </c>
      <c r="M77" s="172" t="s">
        <v>1760</v>
      </c>
      <c r="N77" s="164">
        <v>858822.84000000008</v>
      </c>
    </row>
    <row r="78" spans="1:14" x14ac:dyDescent="0.3">
      <c r="A78" s="194">
        <v>131199</v>
      </c>
      <c r="B78" s="195" t="s">
        <v>759</v>
      </c>
      <c r="C78" s="195" t="s">
        <v>685</v>
      </c>
      <c r="D78" s="195" t="s">
        <v>690</v>
      </c>
      <c r="E78" s="196">
        <v>0</v>
      </c>
      <c r="F78" s="159">
        <v>0</v>
      </c>
      <c r="G78" s="157">
        <v>1.8</v>
      </c>
      <c r="H78" s="196">
        <v>10961300.9</v>
      </c>
      <c r="I78" s="198">
        <v>10961300.9</v>
      </c>
      <c r="J78" s="164">
        <f t="shared" si="2"/>
        <v>0</v>
      </c>
      <c r="K78" s="170" t="str">
        <f t="shared" si="3"/>
        <v>131</v>
      </c>
      <c r="M78" s="172" t="s">
        <v>1761</v>
      </c>
      <c r="N78" s="164">
        <v>93932.9</v>
      </c>
    </row>
    <row r="79" spans="1:14" x14ac:dyDescent="0.3">
      <c r="A79" s="194">
        <v>131200</v>
      </c>
      <c r="B79" s="195" t="s">
        <v>760</v>
      </c>
      <c r="C79" s="195" t="s">
        <v>685</v>
      </c>
      <c r="D79" s="195" t="s">
        <v>687</v>
      </c>
      <c r="E79" s="196">
        <v>0</v>
      </c>
      <c r="F79" s="159">
        <v>0</v>
      </c>
      <c r="G79" s="158">
        <v>0</v>
      </c>
      <c r="H79" s="196">
        <v>0</v>
      </c>
      <c r="I79" s="198">
        <v>0</v>
      </c>
      <c r="J79" s="164">
        <f t="shared" si="2"/>
        <v>0</v>
      </c>
      <c r="K79" s="170" t="str">
        <f t="shared" si="3"/>
        <v>131</v>
      </c>
      <c r="M79" s="172" t="s">
        <v>1762</v>
      </c>
      <c r="N79" s="164">
        <v>3864.13</v>
      </c>
    </row>
    <row r="80" spans="1:14" x14ac:dyDescent="0.3">
      <c r="A80" s="194">
        <v>131210</v>
      </c>
      <c r="B80" s="195" t="s">
        <v>761</v>
      </c>
      <c r="C80" s="195" t="s">
        <v>685</v>
      </c>
      <c r="D80" s="195" t="s">
        <v>686</v>
      </c>
      <c r="E80" s="196">
        <v>0</v>
      </c>
      <c r="F80" s="159">
        <v>0</v>
      </c>
      <c r="G80" s="157">
        <v>0</v>
      </c>
      <c r="H80" s="196">
        <v>2806603.06</v>
      </c>
      <c r="I80" s="198">
        <v>2806603.06</v>
      </c>
      <c r="J80" s="164">
        <f t="shared" si="2"/>
        <v>0</v>
      </c>
      <c r="K80" s="170" t="str">
        <f t="shared" si="3"/>
        <v>131</v>
      </c>
      <c r="M80" s="172" t="s">
        <v>1763</v>
      </c>
      <c r="N80" s="164">
        <v>9455.25</v>
      </c>
    </row>
    <row r="81" spans="1:14" x14ac:dyDescent="0.3">
      <c r="A81" s="194">
        <v>131211</v>
      </c>
      <c r="B81" s="195" t="s">
        <v>762</v>
      </c>
      <c r="C81" s="195" t="s">
        <v>685</v>
      </c>
      <c r="D81" s="195" t="s">
        <v>686</v>
      </c>
      <c r="E81" s="196">
        <v>0</v>
      </c>
      <c r="F81" s="159">
        <v>0</v>
      </c>
      <c r="G81" s="158">
        <v>0</v>
      </c>
      <c r="H81" s="196">
        <v>0</v>
      </c>
      <c r="I81" s="198">
        <v>0</v>
      </c>
      <c r="J81" s="164">
        <f t="shared" si="2"/>
        <v>0</v>
      </c>
      <c r="K81" s="170" t="str">
        <f t="shared" si="3"/>
        <v>131</v>
      </c>
      <c r="M81" s="172" t="s">
        <v>1764</v>
      </c>
      <c r="N81" s="164">
        <v>5214.3099999999995</v>
      </c>
    </row>
    <row r="82" spans="1:14" x14ac:dyDescent="0.3">
      <c r="A82" s="194">
        <v>131215</v>
      </c>
      <c r="B82" s="195" t="s">
        <v>763</v>
      </c>
      <c r="C82" s="195" t="s">
        <v>685</v>
      </c>
      <c r="D82" s="195" t="s">
        <v>686</v>
      </c>
      <c r="E82" s="196">
        <v>0</v>
      </c>
      <c r="F82" s="159">
        <v>0</v>
      </c>
      <c r="G82" s="157">
        <v>0</v>
      </c>
      <c r="H82" s="196">
        <v>0</v>
      </c>
      <c r="I82" s="198">
        <v>0</v>
      </c>
      <c r="J82" s="164">
        <f t="shared" si="2"/>
        <v>0</v>
      </c>
      <c r="K82" s="170" t="str">
        <f t="shared" si="3"/>
        <v>131</v>
      </c>
      <c r="M82" s="172" t="s">
        <v>1765</v>
      </c>
      <c r="N82" s="164">
        <v>5365819.97</v>
      </c>
    </row>
    <row r="83" spans="1:14" x14ac:dyDescent="0.3">
      <c r="A83" s="194">
        <v>131250</v>
      </c>
      <c r="B83" s="195" t="s">
        <v>764</v>
      </c>
      <c r="C83" s="195" t="s">
        <v>685</v>
      </c>
      <c r="D83" s="195" t="s">
        <v>686</v>
      </c>
      <c r="E83" s="196">
        <v>0</v>
      </c>
      <c r="F83" s="159">
        <v>0</v>
      </c>
      <c r="G83" s="158">
        <v>0</v>
      </c>
      <c r="H83" s="196">
        <v>0</v>
      </c>
      <c r="I83" s="198">
        <v>0</v>
      </c>
      <c r="J83" s="164">
        <f t="shared" si="2"/>
        <v>0</v>
      </c>
      <c r="K83" s="170" t="str">
        <f t="shared" si="3"/>
        <v>131</v>
      </c>
      <c r="M83" s="172" t="s">
        <v>1766</v>
      </c>
      <c r="N83" s="164">
        <v>0</v>
      </c>
    </row>
    <row r="84" spans="1:14" x14ac:dyDescent="0.3">
      <c r="A84" s="194">
        <v>131299</v>
      </c>
      <c r="B84" s="195" t="s">
        <v>765</v>
      </c>
      <c r="C84" s="195" t="s">
        <v>685</v>
      </c>
      <c r="D84" s="195" t="s">
        <v>690</v>
      </c>
      <c r="E84" s="196">
        <v>0</v>
      </c>
      <c r="F84" s="159">
        <v>0</v>
      </c>
      <c r="G84" s="157">
        <v>0</v>
      </c>
      <c r="H84" s="196">
        <v>2806603.06</v>
      </c>
      <c r="I84" s="198">
        <v>2806603.06</v>
      </c>
      <c r="J84" s="164">
        <f t="shared" si="2"/>
        <v>0</v>
      </c>
      <c r="K84" s="170" t="str">
        <f t="shared" si="3"/>
        <v>131</v>
      </c>
      <c r="M84" s="172" t="s">
        <v>1767</v>
      </c>
      <c r="N84" s="164">
        <v>1200</v>
      </c>
    </row>
    <row r="85" spans="1:14" x14ac:dyDescent="0.3">
      <c r="A85" s="194">
        <v>131300</v>
      </c>
      <c r="B85" s="195" t="s">
        <v>766</v>
      </c>
      <c r="C85" s="195" t="s">
        <v>685</v>
      </c>
      <c r="D85" s="195" t="s">
        <v>687</v>
      </c>
      <c r="E85" s="196">
        <v>0</v>
      </c>
      <c r="F85" s="159">
        <v>0</v>
      </c>
      <c r="G85" s="158">
        <v>0</v>
      </c>
      <c r="H85" s="196">
        <v>0</v>
      </c>
      <c r="I85" s="198">
        <v>0</v>
      </c>
      <c r="J85" s="164">
        <f t="shared" si="2"/>
        <v>0</v>
      </c>
      <c r="K85" s="170" t="str">
        <f t="shared" si="3"/>
        <v>131</v>
      </c>
      <c r="M85" s="172" t="s">
        <v>1768</v>
      </c>
      <c r="N85" s="164">
        <v>7.04</v>
      </c>
    </row>
    <row r="86" spans="1:14" x14ac:dyDescent="0.3">
      <c r="A86" s="194">
        <v>131500</v>
      </c>
      <c r="B86" s="195" t="s">
        <v>767</v>
      </c>
      <c r="C86" s="195" t="s">
        <v>685</v>
      </c>
      <c r="D86" s="195" t="s">
        <v>686</v>
      </c>
      <c r="E86" s="196">
        <v>0</v>
      </c>
      <c r="F86" s="159">
        <v>0</v>
      </c>
      <c r="G86" s="157">
        <v>0</v>
      </c>
      <c r="H86" s="196">
        <v>24139115.800000001</v>
      </c>
      <c r="I86" s="198">
        <v>24139115.800000001</v>
      </c>
      <c r="J86" s="164">
        <f t="shared" si="2"/>
        <v>0</v>
      </c>
      <c r="K86" s="170" t="str">
        <f t="shared" si="3"/>
        <v>131</v>
      </c>
      <c r="M86" s="172" t="s">
        <v>1769</v>
      </c>
      <c r="N86" s="164">
        <v>730</v>
      </c>
    </row>
    <row r="87" spans="1:14" x14ac:dyDescent="0.3">
      <c r="A87" s="194">
        <v>131600</v>
      </c>
      <c r="B87" s="195" t="s">
        <v>768</v>
      </c>
      <c r="C87" s="195" t="s">
        <v>685</v>
      </c>
      <c r="D87" s="195" t="s">
        <v>686</v>
      </c>
      <c r="E87" s="196">
        <v>0</v>
      </c>
      <c r="F87" s="159">
        <v>0</v>
      </c>
      <c r="G87" s="158">
        <v>0</v>
      </c>
      <c r="H87" s="196">
        <v>10313447.779999999</v>
      </c>
      <c r="I87" s="198">
        <v>10313447.779999999</v>
      </c>
      <c r="J87" s="164">
        <f t="shared" si="2"/>
        <v>0</v>
      </c>
      <c r="K87" s="170" t="str">
        <f t="shared" si="3"/>
        <v>131</v>
      </c>
      <c r="M87" s="172" t="s">
        <v>1770</v>
      </c>
      <c r="N87" s="164">
        <v>4299.8599999999997</v>
      </c>
    </row>
    <row r="88" spans="1:14" x14ac:dyDescent="0.3">
      <c r="A88" s="194">
        <v>131800</v>
      </c>
      <c r="B88" s="195" t="s">
        <v>769</v>
      </c>
      <c r="C88" s="195" t="s">
        <v>685</v>
      </c>
      <c r="D88" s="195" t="s">
        <v>687</v>
      </c>
      <c r="E88" s="196">
        <v>0</v>
      </c>
      <c r="F88" s="159">
        <v>0</v>
      </c>
      <c r="G88" s="157">
        <v>0</v>
      </c>
      <c r="H88" s="196">
        <v>0</v>
      </c>
      <c r="I88" s="198">
        <v>0</v>
      </c>
      <c r="J88" s="164">
        <f t="shared" si="2"/>
        <v>0</v>
      </c>
      <c r="K88" s="170" t="str">
        <f t="shared" si="3"/>
        <v>131</v>
      </c>
      <c r="M88" s="172" t="s">
        <v>1771</v>
      </c>
      <c r="N88" s="164">
        <v>0</v>
      </c>
    </row>
    <row r="89" spans="1:14" x14ac:dyDescent="0.3">
      <c r="A89" s="194">
        <v>131899</v>
      </c>
      <c r="B89" s="195" t="s">
        <v>770</v>
      </c>
      <c r="C89" s="195" t="s">
        <v>685</v>
      </c>
      <c r="D89" s="195" t="s">
        <v>690</v>
      </c>
      <c r="E89" s="196">
        <v>0</v>
      </c>
      <c r="F89" s="159">
        <v>0</v>
      </c>
      <c r="G89" s="158">
        <v>0</v>
      </c>
      <c r="H89" s="196">
        <v>0</v>
      </c>
      <c r="I89" s="198">
        <v>0</v>
      </c>
      <c r="J89" s="164">
        <f t="shared" si="2"/>
        <v>0</v>
      </c>
      <c r="K89" s="170" t="str">
        <f t="shared" si="3"/>
        <v>131</v>
      </c>
      <c r="M89" s="172" t="s">
        <v>1772</v>
      </c>
      <c r="N89" s="164">
        <v>170020.1</v>
      </c>
    </row>
    <row r="90" spans="1:14" x14ac:dyDescent="0.3">
      <c r="A90" s="194">
        <v>131990</v>
      </c>
      <c r="B90" s="195" t="s">
        <v>771</v>
      </c>
      <c r="C90" s="195" t="s">
        <v>685</v>
      </c>
      <c r="D90" s="195" t="s">
        <v>686</v>
      </c>
      <c r="E90" s="196">
        <v>0</v>
      </c>
      <c r="F90" s="159">
        <v>0</v>
      </c>
      <c r="G90" s="157">
        <v>0</v>
      </c>
      <c r="H90" s="196">
        <v>67063.679999999993</v>
      </c>
      <c r="I90" s="198">
        <v>67063.679999999993</v>
      </c>
      <c r="J90" s="164">
        <f t="shared" si="2"/>
        <v>0</v>
      </c>
      <c r="K90" s="170" t="str">
        <f t="shared" si="3"/>
        <v>131</v>
      </c>
      <c r="M90" s="172" t="s">
        <v>1773</v>
      </c>
      <c r="N90" s="164">
        <v>0</v>
      </c>
    </row>
    <row r="91" spans="1:14" x14ac:dyDescent="0.3">
      <c r="A91" s="194">
        <v>131998</v>
      </c>
      <c r="B91" s="195" t="s">
        <v>772</v>
      </c>
      <c r="C91" s="195" t="s">
        <v>685</v>
      </c>
      <c r="D91" s="195" t="s">
        <v>690</v>
      </c>
      <c r="E91" s="196">
        <v>0</v>
      </c>
      <c r="F91" s="159">
        <v>0</v>
      </c>
      <c r="G91" s="158">
        <v>0</v>
      </c>
      <c r="H91" s="196">
        <v>34519627.259999998</v>
      </c>
      <c r="I91" s="198">
        <v>34519627.259999998</v>
      </c>
      <c r="J91" s="164">
        <f t="shared" si="2"/>
        <v>0</v>
      </c>
      <c r="K91" s="170" t="str">
        <f t="shared" si="3"/>
        <v>131</v>
      </c>
      <c r="M91" s="172" t="s">
        <v>1774</v>
      </c>
      <c r="N91" s="164">
        <v>557044.49000000011</v>
      </c>
    </row>
    <row r="92" spans="1:14" x14ac:dyDescent="0.3">
      <c r="A92" s="194">
        <v>131999</v>
      </c>
      <c r="B92" s="195" t="s">
        <v>773</v>
      </c>
      <c r="C92" s="195" t="s">
        <v>685</v>
      </c>
      <c r="D92" s="195" t="s">
        <v>690</v>
      </c>
      <c r="E92" s="196">
        <v>0</v>
      </c>
      <c r="F92" s="159">
        <v>0</v>
      </c>
      <c r="G92" s="157">
        <v>1.8</v>
      </c>
      <c r="H92" s="196">
        <v>48287531.219999999</v>
      </c>
      <c r="I92" s="198">
        <v>48287531.219999999</v>
      </c>
      <c r="J92" s="164">
        <f t="shared" si="2"/>
        <v>0</v>
      </c>
      <c r="K92" s="170" t="str">
        <f t="shared" si="3"/>
        <v>131</v>
      </c>
      <c r="M92" s="172" t="s">
        <v>1775</v>
      </c>
      <c r="N92" s="164">
        <v>0</v>
      </c>
    </row>
    <row r="93" spans="1:14" x14ac:dyDescent="0.3">
      <c r="A93" s="194">
        <v>132100</v>
      </c>
      <c r="B93" s="195" t="s">
        <v>774</v>
      </c>
      <c r="C93" s="195" t="s">
        <v>685</v>
      </c>
      <c r="D93" s="195" t="s">
        <v>686</v>
      </c>
      <c r="E93" s="196">
        <v>-423468.39</v>
      </c>
      <c r="F93" s="159">
        <v>781759.93</v>
      </c>
      <c r="G93" s="158">
        <v>727044.56</v>
      </c>
      <c r="H93" s="196">
        <v>7576512.25</v>
      </c>
      <c r="I93" s="198">
        <v>7999980.6399999997</v>
      </c>
      <c r="J93" s="164">
        <f t="shared" si="2"/>
        <v>1205228.3199999994</v>
      </c>
      <c r="K93" s="170" t="str">
        <f t="shared" si="3"/>
        <v>132</v>
      </c>
      <c r="M93" s="172" t="s">
        <v>1776</v>
      </c>
      <c r="N93" s="164">
        <v>0</v>
      </c>
    </row>
    <row r="94" spans="1:14" x14ac:dyDescent="0.3">
      <c r="A94" s="194">
        <v>132115</v>
      </c>
      <c r="B94" s="195" t="s">
        <v>447</v>
      </c>
      <c r="C94" s="195" t="s">
        <v>685</v>
      </c>
      <c r="D94" s="195" t="s">
        <v>686</v>
      </c>
      <c r="E94" s="196">
        <v>0</v>
      </c>
      <c r="F94" s="159">
        <v>0</v>
      </c>
      <c r="G94" s="157">
        <v>0</v>
      </c>
      <c r="H94" s="196">
        <v>0</v>
      </c>
      <c r="I94" s="198">
        <v>0</v>
      </c>
      <c r="J94" s="164">
        <f t="shared" si="2"/>
        <v>0</v>
      </c>
      <c r="K94" s="170" t="str">
        <f t="shared" si="3"/>
        <v>132</v>
      </c>
      <c r="M94" s="172" t="s">
        <v>1777</v>
      </c>
      <c r="N94" s="164">
        <v>53415.839999999997</v>
      </c>
    </row>
    <row r="95" spans="1:14" x14ac:dyDescent="0.3">
      <c r="A95" s="194">
        <v>132199</v>
      </c>
      <c r="B95" s="195" t="s">
        <v>775</v>
      </c>
      <c r="C95" s="195" t="s">
        <v>685</v>
      </c>
      <c r="D95" s="195" t="s">
        <v>686</v>
      </c>
      <c r="E95" s="196">
        <v>20598.400000000001</v>
      </c>
      <c r="F95" s="159">
        <v>20598.400000000001</v>
      </c>
      <c r="G95" s="158">
        <v>0</v>
      </c>
      <c r="H95" s="196">
        <v>532333.23</v>
      </c>
      <c r="I95" s="198">
        <v>511734.83</v>
      </c>
      <c r="J95" s="164">
        <f t="shared" si="2"/>
        <v>0</v>
      </c>
      <c r="K95" s="170" t="str">
        <f t="shared" si="3"/>
        <v>132</v>
      </c>
      <c r="M95" s="172" t="s">
        <v>1778</v>
      </c>
      <c r="N95" s="164">
        <v>15245.4</v>
      </c>
    </row>
    <row r="96" spans="1:14" x14ac:dyDescent="0.3">
      <c r="A96" s="194">
        <v>132300</v>
      </c>
      <c r="B96" s="195" t="s">
        <v>776</v>
      </c>
      <c r="C96" s="195" t="s">
        <v>685</v>
      </c>
      <c r="D96" s="195" t="s">
        <v>687</v>
      </c>
      <c r="E96" s="196">
        <v>0</v>
      </c>
      <c r="F96" s="159">
        <v>0</v>
      </c>
      <c r="G96" s="157">
        <v>0</v>
      </c>
      <c r="H96" s="196">
        <v>0</v>
      </c>
      <c r="I96" s="198">
        <v>0</v>
      </c>
      <c r="J96" s="164">
        <f t="shared" si="2"/>
        <v>0</v>
      </c>
      <c r="K96" s="170" t="str">
        <f t="shared" si="3"/>
        <v>132</v>
      </c>
      <c r="M96" s="172" t="s">
        <v>1779</v>
      </c>
      <c r="N96" s="164">
        <v>17300.060000000001</v>
      </c>
    </row>
    <row r="97" spans="1:14" x14ac:dyDescent="0.3">
      <c r="A97" s="194">
        <v>132500</v>
      </c>
      <c r="B97" s="195" t="s">
        <v>777</v>
      </c>
      <c r="C97" s="195" t="s">
        <v>685</v>
      </c>
      <c r="D97" s="195" t="s">
        <v>686</v>
      </c>
      <c r="E97" s="196">
        <v>779793.47</v>
      </c>
      <c r="F97" s="159">
        <v>5955013.7199999997</v>
      </c>
      <c r="G97" s="158">
        <v>7902371.2000000002</v>
      </c>
      <c r="H97" s="196">
        <v>30506324.559999999</v>
      </c>
      <c r="I97" s="198">
        <v>29726531.09</v>
      </c>
      <c r="J97" s="164">
        <f t="shared" si="2"/>
        <v>5175220.25</v>
      </c>
      <c r="K97" s="170" t="str">
        <f t="shared" si="3"/>
        <v>132</v>
      </c>
      <c r="M97" s="172" t="s">
        <v>1780</v>
      </c>
      <c r="N97" s="164">
        <v>0</v>
      </c>
    </row>
    <row r="98" spans="1:14" x14ac:dyDescent="0.3">
      <c r="A98" s="194">
        <v>132501</v>
      </c>
      <c r="B98" s="195" t="s">
        <v>778</v>
      </c>
      <c r="C98" s="195" t="s">
        <v>685</v>
      </c>
      <c r="D98" s="195" t="s">
        <v>686</v>
      </c>
      <c r="E98" s="196">
        <v>4700.9799999999996</v>
      </c>
      <c r="F98" s="159">
        <v>4700.9799999999996</v>
      </c>
      <c r="G98" s="157">
        <v>9518.2000000000007</v>
      </c>
      <c r="H98" s="196">
        <v>84758.46</v>
      </c>
      <c r="I98" s="198">
        <v>80057.48</v>
      </c>
      <c r="J98" s="164">
        <f t="shared" si="2"/>
        <v>0</v>
      </c>
      <c r="K98" s="170" t="str">
        <f t="shared" si="3"/>
        <v>132</v>
      </c>
      <c r="M98" s="172" t="s">
        <v>1781</v>
      </c>
      <c r="N98" s="164">
        <v>228884.91</v>
      </c>
    </row>
    <row r="99" spans="1:14" x14ac:dyDescent="0.3">
      <c r="A99" s="194">
        <v>132502</v>
      </c>
      <c r="B99" s="195" t="s">
        <v>779</v>
      </c>
      <c r="C99" s="195" t="s">
        <v>685</v>
      </c>
      <c r="D99" s="195" t="s">
        <v>686</v>
      </c>
      <c r="E99" s="196">
        <v>190</v>
      </c>
      <c r="F99" s="159">
        <v>190</v>
      </c>
      <c r="G99" s="158">
        <v>190</v>
      </c>
      <c r="H99" s="196">
        <v>520</v>
      </c>
      <c r="I99" s="198">
        <v>330</v>
      </c>
      <c r="J99" s="164">
        <f t="shared" si="2"/>
        <v>0</v>
      </c>
      <c r="K99" s="170" t="str">
        <f t="shared" si="3"/>
        <v>132</v>
      </c>
      <c r="M99" s="172" t="s">
        <v>1782</v>
      </c>
      <c r="N99" s="164">
        <v>-23421.96</v>
      </c>
    </row>
    <row r="100" spans="1:14" x14ac:dyDescent="0.3">
      <c r="A100" s="194">
        <v>132504</v>
      </c>
      <c r="B100" s="195" t="s">
        <v>780</v>
      </c>
      <c r="C100" s="195" t="s">
        <v>685</v>
      </c>
      <c r="D100" s="195" t="s">
        <v>686</v>
      </c>
      <c r="E100" s="196">
        <v>9080</v>
      </c>
      <c r="F100" s="159">
        <v>9080</v>
      </c>
      <c r="G100" s="157">
        <v>8587</v>
      </c>
      <c r="H100" s="196">
        <v>208949</v>
      </c>
      <c r="I100" s="198">
        <v>199869</v>
      </c>
      <c r="J100" s="164">
        <f t="shared" si="2"/>
        <v>0</v>
      </c>
      <c r="K100" s="170" t="str">
        <f t="shared" si="3"/>
        <v>132</v>
      </c>
      <c r="M100" s="172" t="s">
        <v>1783</v>
      </c>
      <c r="N100" s="164">
        <v>0</v>
      </c>
    </row>
    <row r="101" spans="1:14" x14ac:dyDescent="0.3">
      <c r="A101" s="194">
        <v>132600</v>
      </c>
      <c r="B101" s="195" t="s">
        <v>781</v>
      </c>
      <c r="C101" s="195" t="s">
        <v>685</v>
      </c>
      <c r="D101" s="195" t="s">
        <v>686</v>
      </c>
      <c r="E101" s="196">
        <v>-451764.55</v>
      </c>
      <c r="F101" s="159">
        <v>647905.19999999995</v>
      </c>
      <c r="G101" s="158">
        <v>790468.23</v>
      </c>
      <c r="H101" s="196">
        <v>13271608.029999999</v>
      </c>
      <c r="I101" s="198">
        <v>13723372.58</v>
      </c>
      <c r="J101" s="164">
        <f t="shared" si="2"/>
        <v>1099669.75</v>
      </c>
      <c r="K101" s="170" t="str">
        <f t="shared" si="3"/>
        <v>132</v>
      </c>
      <c r="M101" s="172" t="s">
        <v>1784</v>
      </c>
      <c r="N101" s="164">
        <v>-3262034.9200000009</v>
      </c>
    </row>
    <row r="102" spans="1:14" x14ac:dyDescent="0.3">
      <c r="A102" s="194">
        <v>132601</v>
      </c>
      <c r="B102" s="195" t="s">
        <v>782</v>
      </c>
      <c r="C102" s="195" t="s">
        <v>685</v>
      </c>
      <c r="D102" s="195" t="s">
        <v>686</v>
      </c>
      <c r="E102" s="196">
        <v>12696.26</v>
      </c>
      <c r="F102" s="159">
        <v>12696.26</v>
      </c>
      <c r="G102" s="157">
        <v>14842.84</v>
      </c>
      <c r="H102" s="196">
        <v>88546.64</v>
      </c>
      <c r="I102" s="198">
        <v>75850.38</v>
      </c>
      <c r="J102" s="164">
        <f t="shared" si="2"/>
        <v>0</v>
      </c>
      <c r="K102" s="170" t="str">
        <f t="shared" si="3"/>
        <v>132</v>
      </c>
      <c r="M102" s="172" t="s">
        <v>1785</v>
      </c>
      <c r="N102" s="164">
        <v>-40607651.230000004</v>
      </c>
    </row>
    <row r="103" spans="1:14" x14ac:dyDescent="0.3">
      <c r="A103" s="194">
        <v>132900</v>
      </c>
      <c r="B103" s="195" t="s">
        <v>783</v>
      </c>
      <c r="C103" s="195" t="s">
        <v>685</v>
      </c>
      <c r="D103" s="195" t="s">
        <v>686</v>
      </c>
      <c r="E103" s="196">
        <v>-42301.74</v>
      </c>
      <c r="F103" s="159">
        <v>0</v>
      </c>
      <c r="G103" s="158">
        <v>0</v>
      </c>
      <c r="H103" s="196">
        <v>0</v>
      </c>
      <c r="I103" s="198">
        <v>42301.74</v>
      </c>
      <c r="J103" s="164">
        <f t="shared" si="2"/>
        <v>42301.74</v>
      </c>
      <c r="K103" s="170" t="str">
        <f t="shared" si="3"/>
        <v>132</v>
      </c>
      <c r="M103" s="172" t="s">
        <v>1786</v>
      </c>
      <c r="N103" s="164">
        <v>0</v>
      </c>
    </row>
    <row r="104" spans="1:14" x14ac:dyDescent="0.3">
      <c r="A104" s="194">
        <v>132999</v>
      </c>
      <c r="B104" s="195" t="s">
        <v>784</v>
      </c>
      <c r="C104" s="195" t="s">
        <v>685</v>
      </c>
      <c r="D104" s="195" t="s">
        <v>690</v>
      </c>
      <c r="E104" s="196">
        <v>312394.42</v>
      </c>
      <c r="F104" s="159">
        <v>6629586.1600000001</v>
      </c>
      <c r="G104" s="157">
        <v>8725977.4700000007</v>
      </c>
      <c r="H104" s="196">
        <v>44160706.689999998</v>
      </c>
      <c r="I104" s="198">
        <v>43848312.270000003</v>
      </c>
      <c r="J104" s="164">
        <f t="shared" si="2"/>
        <v>6317191.7400000021</v>
      </c>
      <c r="K104" s="170" t="str">
        <f t="shared" si="3"/>
        <v>132</v>
      </c>
      <c r="M104" s="172" t="s">
        <v>1787</v>
      </c>
      <c r="N104" s="164">
        <v>-237839.78</v>
      </c>
    </row>
    <row r="105" spans="1:14" x14ac:dyDescent="0.3">
      <c r="A105" s="194">
        <v>139000</v>
      </c>
      <c r="B105" s="195" t="s">
        <v>785</v>
      </c>
      <c r="C105" s="195" t="s">
        <v>685</v>
      </c>
      <c r="D105" s="195" t="s">
        <v>687</v>
      </c>
      <c r="E105" s="196">
        <v>0</v>
      </c>
      <c r="F105" s="159">
        <v>0</v>
      </c>
      <c r="G105" s="158">
        <v>0</v>
      </c>
      <c r="H105" s="196">
        <v>0</v>
      </c>
      <c r="I105" s="198">
        <v>0</v>
      </c>
      <c r="J105" s="164">
        <f t="shared" si="2"/>
        <v>0</v>
      </c>
      <c r="K105" s="170" t="str">
        <f t="shared" si="3"/>
        <v>139</v>
      </c>
      <c r="M105" s="172" t="s">
        <v>1788</v>
      </c>
      <c r="N105" s="164">
        <v>0</v>
      </c>
    </row>
    <row r="106" spans="1:14" x14ac:dyDescent="0.3">
      <c r="A106" s="194">
        <v>139100</v>
      </c>
      <c r="B106" s="195" t="s">
        <v>786</v>
      </c>
      <c r="C106" s="195" t="s">
        <v>685</v>
      </c>
      <c r="D106" s="195" t="s">
        <v>686</v>
      </c>
      <c r="E106" s="196">
        <v>-1959.39</v>
      </c>
      <c r="F106" s="159">
        <v>624.03</v>
      </c>
      <c r="G106" s="157">
        <v>0</v>
      </c>
      <c r="H106" s="196">
        <v>3207.45</v>
      </c>
      <c r="I106" s="198">
        <v>5166.84</v>
      </c>
      <c r="J106" s="164">
        <f t="shared" si="2"/>
        <v>2583.42</v>
      </c>
      <c r="K106" s="170" t="str">
        <f t="shared" si="3"/>
        <v>139</v>
      </c>
      <c r="M106" s="172" t="s">
        <v>1789</v>
      </c>
      <c r="N106" s="164">
        <v>-5485256.5800000001</v>
      </c>
    </row>
    <row r="107" spans="1:14" x14ac:dyDescent="0.3">
      <c r="A107" s="194">
        <v>139199</v>
      </c>
      <c r="B107" s="195" t="s">
        <v>787</v>
      </c>
      <c r="C107" s="195" t="s">
        <v>685</v>
      </c>
      <c r="D107" s="195" t="s">
        <v>690</v>
      </c>
      <c r="E107" s="196">
        <v>-1959.39</v>
      </c>
      <c r="F107" s="159">
        <v>624.03</v>
      </c>
      <c r="G107" s="158">
        <v>0</v>
      </c>
      <c r="H107" s="196">
        <v>3207.45</v>
      </c>
      <c r="I107" s="198">
        <v>5166.84</v>
      </c>
      <c r="J107" s="164">
        <f t="shared" si="2"/>
        <v>2583.42</v>
      </c>
      <c r="K107" s="170" t="str">
        <f t="shared" si="3"/>
        <v>139</v>
      </c>
      <c r="M107" s="172" t="s">
        <v>1790</v>
      </c>
      <c r="N107" s="164">
        <v>0</v>
      </c>
    </row>
    <row r="108" spans="1:14" x14ac:dyDescent="0.3">
      <c r="A108" s="194">
        <v>139200</v>
      </c>
      <c r="B108" s="195" t="s">
        <v>786</v>
      </c>
      <c r="C108" s="195" t="s">
        <v>685</v>
      </c>
      <c r="D108" s="195" t="s">
        <v>687</v>
      </c>
      <c r="E108" s="196">
        <v>0</v>
      </c>
      <c r="F108" s="159">
        <v>0</v>
      </c>
      <c r="G108" s="157">
        <v>0</v>
      </c>
      <c r="H108" s="196">
        <v>0</v>
      </c>
      <c r="I108" s="198">
        <v>0</v>
      </c>
      <c r="J108" s="164">
        <f t="shared" si="2"/>
        <v>0</v>
      </c>
      <c r="K108" s="170" t="str">
        <f t="shared" si="3"/>
        <v>139</v>
      </c>
      <c r="M108" s="172" t="s">
        <v>1791</v>
      </c>
      <c r="N108" s="164">
        <v>0</v>
      </c>
    </row>
    <row r="109" spans="1:14" x14ac:dyDescent="0.3">
      <c r="A109" s="194">
        <v>139500</v>
      </c>
      <c r="B109" s="195" t="s">
        <v>788</v>
      </c>
      <c r="C109" s="195" t="s">
        <v>685</v>
      </c>
      <c r="D109" s="195" t="s">
        <v>686</v>
      </c>
      <c r="E109" s="196">
        <v>-466172.04</v>
      </c>
      <c r="F109" s="159">
        <v>0</v>
      </c>
      <c r="G109" s="158">
        <v>0</v>
      </c>
      <c r="H109" s="196">
        <v>5232.41</v>
      </c>
      <c r="I109" s="198">
        <v>471404.45</v>
      </c>
      <c r="J109" s="164">
        <f t="shared" si="2"/>
        <v>466172.04000000004</v>
      </c>
      <c r="K109" s="170" t="str">
        <f t="shared" si="3"/>
        <v>139</v>
      </c>
      <c r="M109" s="172" t="s">
        <v>1792</v>
      </c>
      <c r="N109" s="164">
        <v>0</v>
      </c>
    </row>
    <row r="110" spans="1:14" x14ac:dyDescent="0.3">
      <c r="A110" s="194">
        <v>139600</v>
      </c>
      <c r="B110" s="195" t="s">
        <v>789</v>
      </c>
      <c r="C110" s="195" t="s">
        <v>685</v>
      </c>
      <c r="D110" s="195" t="s">
        <v>686</v>
      </c>
      <c r="E110" s="196">
        <v>-460204.02</v>
      </c>
      <c r="F110" s="159">
        <v>1113073.21</v>
      </c>
      <c r="G110" s="157">
        <v>150924.20000000001</v>
      </c>
      <c r="H110" s="196">
        <v>1138513.83</v>
      </c>
      <c r="I110" s="198">
        <v>1598717.85</v>
      </c>
      <c r="J110" s="164">
        <f t="shared" si="2"/>
        <v>1573277.23</v>
      </c>
      <c r="K110" s="170" t="str">
        <f t="shared" si="3"/>
        <v>139</v>
      </c>
      <c r="M110" s="172" t="s">
        <v>1793</v>
      </c>
      <c r="N110" s="164">
        <v>-92667.56</v>
      </c>
    </row>
    <row r="111" spans="1:14" x14ac:dyDescent="0.3">
      <c r="A111" s="194">
        <v>139998</v>
      </c>
      <c r="B111" s="195" t="s">
        <v>790</v>
      </c>
      <c r="C111" s="195" t="s">
        <v>685</v>
      </c>
      <c r="D111" s="195" t="s">
        <v>690</v>
      </c>
      <c r="E111" s="196">
        <v>-926376.06</v>
      </c>
      <c r="F111" s="159">
        <v>1113073.21</v>
      </c>
      <c r="G111" s="158">
        <v>150924.20000000001</v>
      </c>
      <c r="H111" s="196">
        <v>1143746.24</v>
      </c>
      <c r="I111" s="198">
        <v>2070122.3</v>
      </c>
      <c r="J111" s="164">
        <f t="shared" si="2"/>
        <v>2039449.27</v>
      </c>
      <c r="K111" s="170" t="str">
        <f t="shared" si="3"/>
        <v>139</v>
      </c>
      <c r="M111" s="172" t="s">
        <v>1794</v>
      </c>
      <c r="N111" s="164">
        <v>-8580.82</v>
      </c>
    </row>
    <row r="112" spans="1:14" x14ac:dyDescent="0.3">
      <c r="A112" s="194">
        <v>139999</v>
      </c>
      <c r="B112" s="195" t="s">
        <v>791</v>
      </c>
      <c r="C112" s="195" t="s">
        <v>685</v>
      </c>
      <c r="D112" s="195" t="s">
        <v>690</v>
      </c>
      <c r="E112" s="196">
        <v>-928335.45</v>
      </c>
      <c r="F112" s="159">
        <v>1113697.24</v>
      </c>
      <c r="G112" s="157">
        <v>150924.20000000001</v>
      </c>
      <c r="H112" s="196">
        <v>1146953.69</v>
      </c>
      <c r="I112" s="198">
        <v>2075289.14</v>
      </c>
      <c r="J112" s="164">
        <f t="shared" si="2"/>
        <v>2042032.69</v>
      </c>
      <c r="K112" s="170" t="str">
        <f t="shared" si="3"/>
        <v>139</v>
      </c>
      <c r="M112" s="172" t="s">
        <v>1795</v>
      </c>
      <c r="N112" s="164">
        <v>-17.86</v>
      </c>
    </row>
    <row r="113" spans="1:14" x14ac:dyDescent="0.3">
      <c r="A113" s="194">
        <v>191000</v>
      </c>
      <c r="B113" s="195" t="s">
        <v>792</v>
      </c>
      <c r="C113" s="195" t="s">
        <v>685</v>
      </c>
      <c r="D113" s="195" t="s">
        <v>687</v>
      </c>
      <c r="E113" s="196">
        <v>0</v>
      </c>
      <c r="F113" s="159">
        <v>0</v>
      </c>
      <c r="G113" s="158">
        <v>0</v>
      </c>
      <c r="H113" s="196">
        <v>0</v>
      </c>
      <c r="I113" s="198">
        <v>0</v>
      </c>
      <c r="J113" s="164">
        <f t="shared" si="2"/>
        <v>0</v>
      </c>
      <c r="K113" s="170" t="str">
        <f t="shared" si="3"/>
        <v>191</v>
      </c>
      <c r="M113" s="172" t="s">
        <v>1796</v>
      </c>
      <c r="N113" s="164">
        <v>0</v>
      </c>
    </row>
    <row r="114" spans="1:14" x14ac:dyDescent="0.3">
      <c r="A114" s="194">
        <v>191999</v>
      </c>
      <c r="B114" s="195" t="s">
        <v>793</v>
      </c>
      <c r="C114" s="195" t="s">
        <v>685</v>
      </c>
      <c r="D114" s="195" t="s">
        <v>690</v>
      </c>
      <c r="E114" s="196">
        <v>0</v>
      </c>
      <c r="F114" s="159">
        <v>0</v>
      </c>
      <c r="G114" s="157">
        <v>0</v>
      </c>
      <c r="H114" s="196">
        <v>0</v>
      </c>
      <c r="I114" s="198">
        <v>0</v>
      </c>
      <c r="J114" s="164">
        <f t="shared" si="2"/>
        <v>0</v>
      </c>
      <c r="K114" s="170" t="str">
        <f t="shared" si="3"/>
        <v>191</v>
      </c>
      <c r="M114" s="172" t="s">
        <v>1797</v>
      </c>
      <c r="N114" s="164">
        <v>0</v>
      </c>
    </row>
    <row r="115" spans="1:14" x14ac:dyDescent="0.3">
      <c r="A115" s="194">
        <v>192000</v>
      </c>
      <c r="B115" s="195" t="s">
        <v>794</v>
      </c>
      <c r="C115" s="195" t="s">
        <v>685</v>
      </c>
      <c r="D115" s="195" t="s">
        <v>687</v>
      </c>
      <c r="E115" s="196">
        <v>0</v>
      </c>
      <c r="F115" s="159">
        <v>0</v>
      </c>
      <c r="G115" s="158">
        <v>0</v>
      </c>
      <c r="H115" s="196">
        <v>0</v>
      </c>
      <c r="I115" s="198">
        <v>0</v>
      </c>
      <c r="J115" s="164">
        <f t="shared" si="2"/>
        <v>0</v>
      </c>
      <c r="K115" s="170" t="str">
        <f t="shared" si="3"/>
        <v>192</v>
      </c>
      <c r="M115" s="172" t="s">
        <v>1798</v>
      </c>
      <c r="N115" s="164">
        <v>0</v>
      </c>
    </row>
    <row r="116" spans="1:14" x14ac:dyDescent="0.3">
      <c r="A116" s="194">
        <v>192999</v>
      </c>
      <c r="B116" s="195" t="s">
        <v>795</v>
      </c>
      <c r="C116" s="195" t="s">
        <v>685</v>
      </c>
      <c r="D116" s="195" t="s">
        <v>690</v>
      </c>
      <c r="E116" s="196">
        <v>0</v>
      </c>
      <c r="F116" s="159">
        <v>0</v>
      </c>
      <c r="G116" s="157">
        <v>0</v>
      </c>
      <c r="H116" s="196">
        <v>0</v>
      </c>
      <c r="I116" s="198">
        <v>0</v>
      </c>
      <c r="J116" s="164">
        <f t="shared" si="2"/>
        <v>0</v>
      </c>
      <c r="K116" s="170" t="str">
        <f t="shared" si="3"/>
        <v>192</v>
      </c>
      <c r="M116" s="172" t="s">
        <v>1799</v>
      </c>
      <c r="N116" s="164">
        <v>0</v>
      </c>
    </row>
    <row r="117" spans="1:14" x14ac:dyDescent="0.3">
      <c r="A117" s="194">
        <v>193000</v>
      </c>
      <c r="B117" s="195" t="s">
        <v>796</v>
      </c>
      <c r="C117" s="195" t="s">
        <v>685</v>
      </c>
      <c r="D117" s="195" t="s">
        <v>687</v>
      </c>
      <c r="E117" s="196">
        <v>0</v>
      </c>
      <c r="F117" s="159">
        <v>0</v>
      </c>
      <c r="G117" s="158">
        <v>0</v>
      </c>
      <c r="H117" s="196">
        <v>0</v>
      </c>
      <c r="I117" s="198">
        <v>0</v>
      </c>
      <c r="J117" s="164">
        <f t="shared" si="2"/>
        <v>0</v>
      </c>
      <c r="K117" s="170" t="str">
        <f t="shared" si="3"/>
        <v>193</v>
      </c>
      <c r="M117" s="172" t="s">
        <v>1800</v>
      </c>
      <c r="N117" s="164">
        <v>0</v>
      </c>
    </row>
    <row r="118" spans="1:14" x14ac:dyDescent="0.3">
      <c r="A118" s="194">
        <v>193999</v>
      </c>
      <c r="B118" s="195" t="s">
        <v>797</v>
      </c>
      <c r="C118" s="195" t="s">
        <v>685</v>
      </c>
      <c r="D118" s="195" t="s">
        <v>690</v>
      </c>
      <c r="E118" s="196">
        <v>0</v>
      </c>
      <c r="F118" s="159">
        <v>0</v>
      </c>
      <c r="G118" s="157">
        <v>0</v>
      </c>
      <c r="H118" s="196">
        <v>0</v>
      </c>
      <c r="I118" s="198">
        <v>0</v>
      </c>
      <c r="J118" s="164">
        <f t="shared" si="2"/>
        <v>0</v>
      </c>
      <c r="K118" s="170" t="str">
        <f t="shared" si="3"/>
        <v>193</v>
      </c>
      <c r="M118" s="172" t="s">
        <v>1801</v>
      </c>
      <c r="N118" s="164">
        <v>-2.9103830456733704E-11</v>
      </c>
    </row>
    <row r="119" spans="1:14" x14ac:dyDescent="0.3">
      <c r="A119" s="194">
        <v>194000</v>
      </c>
      <c r="B119" s="195" t="s">
        <v>798</v>
      </c>
      <c r="C119" s="195" t="s">
        <v>685</v>
      </c>
      <c r="D119" s="195" t="s">
        <v>687</v>
      </c>
      <c r="E119" s="196">
        <v>0</v>
      </c>
      <c r="F119" s="159">
        <v>0</v>
      </c>
      <c r="G119" s="158">
        <v>0</v>
      </c>
      <c r="H119" s="196">
        <v>0</v>
      </c>
      <c r="I119" s="198">
        <v>0</v>
      </c>
      <c r="J119" s="164">
        <f t="shared" si="2"/>
        <v>0</v>
      </c>
      <c r="K119" s="170" t="str">
        <f t="shared" si="3"/>
        <v>194</v>
      </c>
      <c r="M119" s="172" t="s">
        <v>1802</v>
      </c>
      <c r="N119" s="164">
        <v>9.9999990421935081E-3</v>
      </c>
    </row>
    <row r="120" spans="1:14" x14ac:dyDescent="0.3">
      <c r="A120" s="194">
        <v>194999</v>
      </c>
      <c r="B120" s="195" t="s">
        <v>799</v>
      </c>
      <c r="C120" s="195" t="s">
        <v>685</v>
      </c>
      <c r="D120" s="195" t="s">
        <v>690</v>
      </c>
      <c r="E120" s="196">
        <v>0</v>
      </c>
      <c r="F120" s="159">
        <v>0</v>
      </c>
      <c r="G120" s="157">
        <v>0</v>
      </c>
      <c r="H120" s="196">
        <v>0</v>
      </c>
      <c r="I120" s="198">
        <v>0</v>
      </c>
      <c r="J120" s="164">
        <f t="shared" si="2"/>
        <v>0</v>
      </c>
      <c r="K120" s="170" t="str">
        <f t="shared" si="3"/>
        <v>194</v>
      </c>
    </row>
    <row r="121" spans="1:14" x14ac:dyDescent="0.3">
      <c r="A121" s="194">
        <v>195000</v>
      </c>
      <c r="B121" s="195" t="s">
        <v>800</v>
      </c>
      <c r="C121" s="195" t="s">
        <v>685</v>
      </c>
      <c r="D121" s="195" t="s">
        <v>687</v>
      </c>
      <c r="E121" s="196">
        <v>0</v>
      </c>
      <c r="F121" s="159">
        <v>0</v>
      </c>
      <c r="G121" s="158">
        <v>0</v>
      </c>
      <c r="H121" s="196">
        <v>0</v>
      </c>
      <c r="I121" s="198">
        <v>0</v>
      </c>
      <c r="J121" s="164">
        <f t="shared" si="2"/>
        <v>0</v>
      </c>
      <c r="K121" s="170" t="str">
        <f t="shared" si="3"/>
        <v>195</v>
      </c>
    </row>
    <row r="122" spans="1:14" x14ac:dyDescent="0.3">
      <c r="A122" s="194">
        <v>195999</v>
      </c>
      <c r="B122" s="195" t="s">
        <v>801</v>
      </c>
      <c r="C122" s="195" t="s">
        <v>685</v>
      </c>
      <c r="D122" s="195" t="s">
        <v>690</v>
      </c>
      <c r="E122" s="196">
        <v>0</v>
      </c>
      <c r="F122" s="159">
        <v>0</v>
      </c>
      <c r="G122" s="157">
        <v>0</v>
      </c>
      <c r="H122" s="196">
        <v>0</v>
      </c>
      <c r="I122" s="198">
        <v>0</v>
      </c>
      <c r="J122" s="164">
        <f t="shared" si="2"/>
        <v>0</v>
      </c>
      <c r="K122" s="170" t="str">
        <f t="shared" si="3"/>
        <v>195</v>
      </c>
    </row>
    <row r="123" spans="1:14" x14ac:dyDescent="0.3">
      <c r="A123" s="194">
        <v>196000</v>
      </c>
      <c r="B123" s="195" t="s">
        <v>802</v>
      </c>
      <c r="C123" s="195" t="s">
        <v>685</v>
      </c>
      <c r="D123" s="195" t="s">
        <v>687</v>
      </c>
      <c r="E123" s="196">
        <v>0</v>
      </c>
      <c r="F123" s="159">
        <v>0</v>
      </c>
      <c r="G123" s="158">
        <v>0</v>
      </c>
      <c r="H123" s="196">
        <v>0</v>
      </c>
      <c r="I123" s="198">
        <v>0</v>
      </c>
      <c r="J123" s="164">
        <f t="shared" si="2"/>
        <v>0</v>
      </c>
      <c r="K123" s="170" t="str">
        <f t="shared" si="3"/>
        <v>196</v>
      </c>
    </row>
    <row r="124" spans="1:14" x14ac:dyDescent="0.3">
      <c r="A124" s="194">
        <v>196100</v>
      </c>
      <c r="B124" s="195" t="s">
        <v>803</v>
      </c>
      <c r="C124" s="195" t="s">
        <v>685</v>
      </c>
      <c r="D124" s="195" t="s">
        <v>686</v>
      </c>
      <c r="E124" s="196">
        <v>-7771.97</v>
      </c>
      <c r="F124" s="159">
        <v>-40506.1</v>
      </c>
      <c r="G124" s="157">
        <v>-40506.1</v>
      </c>
      <c r="H124" s="196">
        <v>-7771.97</v>
      </c>
      <c r="I124" s="198">
        <v>0</v>
      </c>
      <c r="J124" s="164">
        <f t="shared" si="2"/>
        <v>-32734.129999999997</v>
      </c>
      <c r="K124" s="170" t="str">
        <f t="shared" si="3"/>
        <v>196</v>
      </c>
    </row>
    <row r="125" spans="1:14" x14ac:dyDescent="0.3">
      <c r="A125" s="194">
        <v>196110</v>
      </c>
      <c r="B125" s="195" t="s">
        <v>804</v>
      </c>
      <c r="C125" s="195" t="s">
        <v>685</v>
      </c>
      <c r="D125" s="195" t="s">
        <v>686</v>
      </c>
      <c r="E125" s="196">
        <v>1173.8900000000001</v>
      </c>
      <c r="F125" s="159">
        <v>-14092.1</v>
      </c>
      <c r="G125" s="158">
        <v>-14092.1</v>
      </c>
      <c r="H125" s="196">
        <v>1173.8900000000001</v>
      </c>
      <c r="I125" s="198">
        <v>0</v>
      </c>
      <c r="J125" s="164">
        <f t="shared" si="2"/>
        <v>-15265.99</v>
      </c>
      <c r="K125" s="170" t="str">
        <f t="shared" si="3"/>
        <v>196</v>
      </c>
    </row>
    <row r="126" spans="1:14" x14ac:dyDescent="0.3">
      <c r="A126" s="194">
        <v>196120</v>
      </c>
      <c r="B126" s="195" t="s">
        <v>805</v>
      </c>
      <c r="C126" s="195" t="s">
        <v>685</v>
      </c>
      <c r="D126" s="195" t="s">
        <v>686</v>
      </c>
      <c r="E126" s="196">
        <v>88.02</v>
      </c>
      <c r="F126" s="159">
        <v>0</v>
      </c>
      <c r="G126" s="157">
        <v>0</v>
      </c>
      <c r="H126" s="196">
        <v>88.02</v>
      </c>
      <c r="I126" s="198">
        <v>0</v>
      </c>
      <c r="J126" s="164">
        <f t="shared" si="2"/>
        <v>-88.02</v>
      </c>
      <c r="K126" s="170" t="str">
        <f t="shared" si="3"/>
        <v>196</v>
      </c>
    </row>
    <row r="127" spans="1:14" x14ac:dyDescent="0.3">
      <c r="A127" s="194">
        <v>196130</v>
      </c>
      <c r="B127" s="195" t="s">
        <v>806</v>
      </c>
      <c r="C127" s="195" t="s">
        <v>685</v>
      </c>
      <c r="D127" s="195" t="s">
        <v>686</v>
      </c>
      <c r="E127" s="196">
        <v>0</v>
      </c>
      <c r="F127" s="159">
        <v>-109151.22</v>
      </c>
      <c r="G127" s="158">
        <v>-109151.22</v>
      </c>
      <c r="H127" s="196">
        <v>0</v>
      </c>
      <c r="I127" s="198">
        <v>0</v>
      </c>
      <c r="J127" s="164">
        <f t="shared" si="2"/>
        <v>-109151.22</v>
      </c>
      <c r="K127" s="170" t="str">
        <f t="shared" si="3"/>
        <v>196</v>
      </c>
    </row>
    <row r="128" spans="1:14" x14ac:dyDescent="0.3">
      <c r="A128" s="194">
        <v>196500</v>
      </c>
      <c r="B128" s="195" t="s">
        <v>807</v>
      </c>
      <c r="C128" s="195" t="s">
        <v>685</v>
      </c>
      <c r="D128" s="195" t="s">
        <v>686</v>
      </c>
      <c r="E128" s="196">
        <v>-121000</v>
      </c>
      <c r="F128" s="159">
        <v>-150000</v>
      </c>
      <c r="G128" s="157">
        <v>-150000</v>
      </c>
      <c r="H128" s="196">
        <v>107504</v>
      </c>
      <c r="I128" s="198">
        <v>228504</v>
      </c>
      <c r="J128" s="164">
        <f t="shared" si="2"/>
        <v>-29000</v>
      </c>
      <c r="K128" s="170" t="str">
        <f t="shared" si="3"/>
        <v>196</v>
      </c>
    </row>
    <row r="129" spans="1:11" x14ac:dyDescent="0.3">
      <c r="A129" s="194">
        <v>196600</v>
      </c>
      <c r="B129" s="195" t="s">
        <v>808</v>
      </c>
      <c r="C129" s="195" t="s">
        <v>685</v>
      </c>
      <c r="D129" s="195" t="s">
        <v>686</v>
      </c>
      <c r="E129" s="196">
        <v>-65400</v>
      </c>
      <c r="F129" s="159">
        <v>-150000</v>
      </c>
      <c r="G129" s="158">
        <v>-150000</v>
      </c>
      <c r="H129" s="196">
        <v>278500</v>
      </c>
      <c r="I129" s="198">
        <v>343900</v>
      </c>
      <c r="J129" s="164">
        <f t="shared" si="2"/>
        <v>-84600</v>
      </c>
      <c r="K129" s="170" t="str">
        <f t="shared" si="3"/>
        <v>196</v>
      </c>
    </row>
    <row r="130" spans="1:11" x14ac:dyDescent="0.3">
      <c r="A130" s="194">
        <v>196999</v>
      </c>
      <c r="B130" s="195" t="s">
        <v>809</v>
      </c>
      <c r="C130" s="195" t="s">
        <v>685</v>
      </c>
      <c r="D130" s="195" t="s">
        <v>690</v>
      </c>
      <c r="E130" s="196">
        <v>-192910.06</v>
      </c>
      <c r="F130" s="159">
        <v>-463749.42</v>
      </c>
      <c r="G130" s="157">
        <v>-463749.42</v>
      </c>
      <c r="H130" s="196">
        <v>379493.94</v>
      </c>
      <c r="I130" s="198">
        <v>572404</v>
      </c>
      <c r="J130" s="164">
        <f t="shared" ref="J130:J131" si="4">F130-H130+I130</f>
        <v>-270839.36</v>
      </c>
      <c r="K130" s="170" t="str">
        <f t="shared" si="3"/>
        <v>196</v>
      </c>
    </row>
    <row r="131" spans="1:11" x14ac:dyDescent="0.3">
      <c r="A131" s="194">
        <v>199999</v>
      </c>
      <c r="B131" s="195" t="s">
        <v>810</v>
      </c>
      <c r="C131" s="195" t="s">
        <v>685</v>
      </c>
      <c r="D131" s="195" t="s">
        <v>690</v>
      </c>
      <c r="E131" s="196">
        <v>-1211721.08</v>
      </c>
      <c r="F131" s="159">
        <v>8081892.3099999996</v>
      </c>
      <c r="G131" s="158">
        <v>9140198.6099999994</v>
      </c>
      <c r="H131" s="196">
        <v>102083531.02</v>
      </c>
      <c r="I131" s="198">
        <v>103295252.09999999</v>
      </c>
      <c r="J131" s="164">
        <f t="shared" si="4"/>
        <v>9293613.3900000006</v>
      </c>
      <c r="K131" s="170" t="str">
        <f t="shared" ref="K131:K194" si="5">IF(A131&lt;100000,CONCATENATE(0,LEFT(A131,2)),LEFT(A131,3))</f>
        <v>199</v>
      </c>
    </row>
    <row r="132" spans="1:11" x14ac:dyDescent="0.3">
      <c r="A132" s="194">
        <v>200000</v>
      </c>
      <c r="B132" s="195" t="s">
        <v>811</v>
      </c>
      <c r="C132" s="195" t="s">
        <v>685</v>
      </c>
      <c r="D132" s="195" t="s">
        <v>687</v>
      </c>
      <c r="E132" s="196">
        <v>0</v>
      </c>
      <c r="F132" s="159">
        <v>0</v>
      </c>
      <c r="G132" s="157">
        <v>0</v>
      </c>
      <c r="H132" s="196">
        <v>0</v>
      </c>
      <c r="I132" s="198">
        <v>0</v>
      </c>
      <c r="J132" s="165">
        <f t="shared" ref="J132:J195" si="6">F132-H132+I132</f>
        <v>0</v>
      </c>
      <c r="K132" s="200" t="str">
        <f t="shared" si="5"/>
        <v>200</v>
      </c>
    </row>
    <row r="133" spans="1:11" x14ac:dyDescent="0.3">
      <c r="A133" s="194">
        <v>210000</v>
      </c>
      <c r="B133" s="195" t="s">
        <v>812</v>
      </c>
      <c r="C133" s="195" t="s">
        <v>685</v>
      </c>
      <c r="D133" s="195" t="s">
        <v>687</v>
      </c>
      <c r="E133" s="196">
        <v>0</v>
      </c>
      <c r="F133" s="159">
        <v>0</v>
      </c>
      <c r="G133" s="158">
        <v>0</v>
      </c>
      <c r="H133" s="196">
        <v>0</v>
      </c>
      <c r="I133" s="198">
        <v>0</v>
      </c>
      <c r="J133" s="165">
        <f t="shared" si="6"/>
        <v>0</v>
      </c>
      <c r="K133" s="200" t="str">
        <f t="shared" si="5"/>
        <v>210</v>
      </c>
    </row>
    <row r="134" spans="1:11" x14ac:dyDescent="0.3">
      <c r="A134" s="194">
        <v>211000</v>
      </c>
      <c r="B134" s="195" t="s">
        <v>813</v>
      </c>
      <c r="C134" s="195" t="s">
        <v>685</v>
      </c>
      <c r="D134" s="195" t="s">
        <v>687</v>
      </c>
      <c r="E134" s="196">
        <v>0</v>
      </c>
      <c r="F134" s="159">
        <v>0</v>
      </c>
      <c r="G134" s="157">
        <v>0</v>
      </c>
      <c r="H134" s="196">
        <v>0</v>
      </c>
      <c r="I134" s="198">
        <v>0</v>
      </c>
      <c r="J134" s="165">
        <f t="shared" si="6"/>
        <v>0</v>
      </c>
      <c r="K134" s="200" t="str">
        <f t="shared" si="5"/>
        <v>211</v>
      </c>
    </row>
    <row r="135" spans="1:11" x14ac:dyDescent="0.3">
      <c r="A135" s="194">
        <v>211111</v>
      </c>
      <c r="B135" s="195" t="s">
        <v>814</v>
      </c>
      <c r="C135" s="195" t="s">
        <v>685</v>
      </c>
      <c r="D135" s="195" t="s">
        <v>686</v>
      </c>
      <c r="E135" s="196">
        <v>-501.75</v>
      </c>
      <c r="F135" s="159">
        <v>1337.06</v>
      </c>
      <c r="G135" s="158">
        <v>4513.8599999999997</v>
      </c>
      <c r="H135" s="196">
        <v>1077477.45</v>
      </c>
      <c r="I135" s="198">
        <v>1077979.2</v>
      </c>
      <c r="J135" s="165">
        <f t="shared" si="6"/>
        <v>1838.8100000000559</v>
      </c>
      <c r="K135" s="200" t="str">
        <f t="shared" si="5"/>
        <v>211</v>
      </c>
    </row>
    <row r="136" spans="1:11" x14ac:dyDescent="0.3">
      <c r="A136" s="194">
        <v>211112</v>
      </c>
      <c r="B136" s="195" t="s">
        <v>815</v>
      </c>
      <c r="C136" s="195" t="s">
        <v>685</v>
      </c>
      <c r="D136" s="195" t="s">
        <v>686</v>
      </c>
      <c r="E136" s="196">
        <v>0</v>
      </c>
      <c r="F136" s="159">
        <v>0</v>
      </c>
      <c r="G136" s="157">
        <v>0</v>
      </c>
      <c r="H136" s="196">
        <v>0</v>
      </c>
      <c r="I136" s="198">
        <v>0</v>
      </c>
      <c r="J136" s="165">
        <f t="shared" si="6"/>
        <v>0</v>
      </c>
      <c r="K136" s="200" t="str">
        <f t="shared" si="5"/>
        <v>211</v>
      </c>
    </row>
    <row r="137" spans="1:11" x14ac:dyDescent="0.3">
      <c r="A137" s="194">
        <v>211113</v>
      </c>
      <c r="B137" s="195" t="s">
        <v>816</v>
      </c>
      <c r="C137" s="195" t="s">
        <v>685</v>
      </c>
      <c r="D137" s="195" t="s">
        <v>686</v>
      </c>
      <c r="E137" s="196">
        <v>-3776.12</v>
      </c>
      <c r="F137" s="159">
        <v>2040.13</v>
      </c>
      <c r="G137" s="158">
        <v>1708.73</v>
      </c>
      <c r="H137" s="196">
        <v>1043874.27</v>
      </c>
      <c r="I137" s="198">
        <v>1047650.39</v>
      </c>
      <c r="J137" s="165">
        <f t="shared" si="6"/>
        <v>5816.25</v>
      </c>
      <c r="K137" s="200" t="str">
        <f t="shared" si="5"/>
        <v>211</v>
      </c>
    </row>
    <row r="138" spans="1:11" x14ac:dyDescent="0.3">
      <c r="A138" s="194">
        <v>211114</v>
      </c>
      <c r="B138" s="195" t="s">
        <v>817</v>
      </c>
      <c r="C138" s="195" t="s">
        <v>685</v>
      </c>
      <c r="D138" s="195" t="s">
        <v>686</v>
      </c>
      <c r="E138" s="196">
        <v>657.88</v>
      </c>
      <c r="F138" s="159">
        <v>881.26</v>
      </c>
      <c r="G138" s="157">
        <v>1913.14</v>
      </c>
      <c r="H138" s="196">
        <v>4647.82</v>
      </c>
      <c r="I138" s="198">
        <v>3989.94</v>
      </c>
      <c r="J138" s="165">
        <f t="shared" si="6"/>
        <v>223.38000000000056</v>
      </c>
      <c r="K138" s="200" t="str">
        <f t="shared" si="5"/>
        <v>211</v>
      </c>
    </row>
    <row r="139" spans="1:11" x14ac:dyDescent="0.3">
      <c r="A139" s="194">
        <v>211999</v>
      </c>
      <c r="B139" s="195" t="s">
        <v>818</v>
      </c>
      <c r="C139" s="195" t="s">
        <v>685</v>
      </c>
      <c r="D139" s="195" t="s">
        <v>690</v>
      </c>
      <c r="E139" s="196">
        <v>-3619.99</v>
      </c>
      <c r="F139" s="159">
        <v>4258.45</v>
      </c>
      <c r="G139" s="158">
        <v>8135.73</v>
      </c>
      <c r="H139" s="196">
        <v>2125999.54</v>
      </c>
      <c r="I139" s="198">
        <v>2129619.5299999998</v>
      </c>
      <c r="J139" s="165">
        <f t="shared" si="6"/>
        <v>7878.4399999999441</v>
      </c>
      <c r="K139" s="200" t="str">
        <f t="shared" si="5"/>
        <v>211</v>
      </c>
    </row>
    <row r="140" spans="1:11" x14ac:dyDescent="0.3">
      <c r="A140" s="194">
        <v>213000</v>
      </c>
      <c r="B140" s="195" t="s">
        <v>819</v>
      </c>
      <c r="C140" s="195" t="s">
        <v>685</v>
      </c>
      <c r="D140" s="195" t="s">
        <v>687</v>
      </c>
      <c r="E140" s="196">
        <v>0</v>
      </c>
      <c r="F140" s="159">
        <v>0</v>
      </c>
      <c r="G140" s="157">
        <v>0</v>
      </c>
      <c r="H140" s="196">
        <v>0</v>
      </c>
      <c r="I140" s="198">
        <v>0</v>
      </c>
      <c r="J140" s="165">
        <f t="shared" si="6"/>
        <v>0</v>
      </c>
      <c r="K140" s="200" t="str">
        <f t="shared" si="5"/>
        <v>213</v>
      </c>
    </row>
    <row r="141" spans="1:11" x14ac:dyDescent="0.3">
      <c r="A141" s="194">
        <v>213110</v>
      </c>
      <c r="B141" s="195" t="s">
        <v>820</v>
      </c>
      <c r="C141" s="195" t="s">
        <v>685</v>
      </c>
      <c r="D141" s="195" t="s">
        <v>686</v>
      </c>
      <c r="E141" s="196">
        <v>9660</v>
      </c>
      <c r="F141" s="159">
        <v>9660</v>
      </c>
      <c r="G141" s="158">
        <v>3820</v>
      </c>
      <c r="H141" s="196">
        <v>90000</v>
      </c>
      <c r="I141" s="198">
        <v>80340</v>
      </c>
      <c r="J141" s="165">
        <f t="shared" si="6"/>
        <v>0</v>
      </c>
      <c r="K141" s="200" t="str">
        <f t="shared" si="5"/>
        <v>213</v>
      </c>
    </row>
    <row r="142" spans="1:11" x14ac:dyDescent="0.3">
      <c r="A142" s="194">
        <v>213120</v>
      </c>
      <c r="B142" s="195" t="s">
        <v>821</v>
      </c>
      <c r="C142" s="195" t="s">
        <v>685</v>
      </c>
      <c r="D142" s="195" t="s">
        <v>686</v>
      </c>
      <c r="E142" s="196">
        <v>0</v>
      </c>
      <c r="F142" s="159">
        <v>0</v>
      </c>
      <c r="G142" s="157">
        <v>0</v>
      </c>
      <c r="H142" s="196">
        <v>0</v>
      </c>
      <c r="I142" s="198">
        <v>0</v>
      </c>
      <c r="J142" s="165">
        <f t="shared" si="6"/>
        <v>0</v>
      </c>
      <c r="K142" s="200" t="str">
        <f t="shared" si="5"/>
        <v>213</v>
      </c>
    </row>
    <row r="143" spans="1:11" x14ac:dyDescent="0.3">
      <c r="A143" s="194">
        <v>213200</v>
      </c>
      <c r="B143" s="195" t="s">
        <v>822</v>
      </c>
      <c r="C143" s="195" t="s">
        <v>685</v>
      </c>
      <c r="D143" s="195" t="s">
        <v>686</v>
      </c>
      <c r="E143" s="196">
        <v>0</v>
      </c>
      <c r="F143" s="159">
        <v>0</v>
      </c>
      <c r="G143" s="158">
        <v>0</v>
      </c>
      <c r="H143" s="196">
        <v>0</v>
      </c>
      <c r="I143" s="198">
        <v>0</v>
      </c>
      <c r="J143" s="165">
        <f t="shared" si="6"/>
        <v>0</v>
      </c>
      <c r="K143" s="200" t="str">
        <f t="shared" si="5"/>
        <v>213</v>
      </c>
    </row>
    <row r="144" spans="1:11" x14ac:dyDescent="0.3">
      <c r="A144" s="194">
        <v>213300</v>
      </c>
      <c r="B144" s="195" t="s">
        <v>823</v>
      </c>
      <c r="C144" s="195" t="s">
        <v>685</v>
      </c>
      <c r="D144" s="195" t="s">
        <v>686</v>
      </c>
      <c r="E144" s="196">
        <v>-120</v>
      </c>
      <c r="F144" s="159">
        <v>0</v>
      </c>
      <c r="G144" s="157">
        <v>0</v>
      </c>
      <c r="H144" s="196">
        <v>0</v>
      </c>
      <c r="I144" s="198">
        <v>120</v>
      </c>
      <c r="J144" s="165">
        <f t="shared" si="6"/>
        <v>120</v>
      </c>
      <c r="K144" s="200" t="str">
        <f t="shared" si="5"/>
        <v>213</v>
      </c>
    </row>
    <row r="145" spans="1:11" x14ac:dyDescent="0.3">
      <c r="A145" s="194">
        <v>213400</v>
      </c>
      <c r="B145" s="195" t="s">
        <v>824</v>
      </c>
      <c r="C145" s="195" t="s">
        <v>685</v>
      </c>
      <c r="D145" s="195" t="s">
        <v>686</v>
      </c>
      <c r="E145" s="196">
        <v>0</v>
      </c>
      <c r="F145" s="159">
        <v>0</v>
      </c>
      <c r="G145" s="158">
        <v>0</v>
      </c>
      <c r="H145" s="196">
        <v>0</v>
      </c>
      <c r="I145" s="198">
        <v>0</v>
      </c>
      <c r="J145" s="165">
        <f t="shared" si="6"/>
        <v>0</v>
      </c>
      <c r="K145" s="200" t="str">
        <f t="shared" si="5"/>
        <v>213</v>
      </c>
    </row>
    <row r="146" spans="1:11" x14ac:dyDescent="0.3">
      <c r="A146" s="194">
        <v>213999</v>
      </c>
      <c r="B146" s="195" t="s">
        <v>825</v>
      </c>
      <c r="C146" s="195" t="s">
        <v>685</v>
      </c>
      <c r="D146" s="195" t="s">
        <v>690</v>
      </c>
      <c r="E146" s="196">
        <v>9540</v>
      </c>
      <c r="F146" s="159">
        <v>9660</v>
      </c>
      <c r="G146" s="157">
        <v>3820</v>
      </c>
      <c r="H146" s="196">
        <v>90000</v>
      </c>
      <c r="I146" s="198">
        <v>80460</v>
      </c>
      <c r="J146" s="165">
        <f t="shared" si="6"/>
        <v>120</v>
      </c>
      <c r="K146" s="200" t="str">
        <f t="shared" si="5"/>
        <v>213</v>
      </c>
    </row>
    <row r="147" spans="1:11" x14ac:dyDescent="0.3">
      <c r="A147" s="194">
        <v>221000</v>
      </c>
      <c r="B147" s="195" t="s">
        <v>826</v>
      </c>
      <c r="C147" s="195" t="s">
        <v>685</v>
      </c>
      <c r="D147" s="195" t="s">
        <v>687</v>
      </c>
      <c r="E147" s="196">
        <v>0</v>
      </c>
      <c r="F147" s="159">
        <v>0</v>
      </c>
      <c r="G147" s="158">
        <v>0</v>
      </c>
      <c r="H147" s="196">
        <v>0</v>
      </c>
      <c r="I147" s="198">
        <v>0</v>
      </c>
      <c r="J147" s="165">
        <f t="shared" si="6"/>
        <v>0</v>
      </c>
      <c r="K147" s="200" t="str">
        <f t="shared" si="5"/>
        <v>221</v>
      </c>
    </row>
    <row r="148" spans="1:11" x14ac:dyDescent="0.3">
      <c r="A148" s="194">
        <v>221100</v>
      </c>
      <c r="B148" s="195" t="s">
        <v>827</v>
      </c>
      <c r="C148" s="195" t="s">
        <v>685</v>
      </c>
      <c r="D148" s="195" t="s">
        <v>686</v>
      </c>
      <c r="E148" s="196">
        <v>76771.56</v>
      </c>
      <c r="F148" s="159">
        <v>78151.92</v>
      </c>
      <c r="G148" s="157">
        <v>37056.67</v>
      </c>
      <c r="H148" s="196">
        <v>36052249.770000003</v>
      </c>
      <c r="I148" s="198">
        <v>35975478.210000001</v>
      </c>
      <c r="J148" s="165">
        <f t="shared" si="6"/>
        <v>1380.359999999404</v>
      </c>
      <c r="K148" s="200" t="str">
        <f t="shared" si="5"/>
        <v>221</v>
      </c>
    </row>
    <row r="149" spans="1:11" x14ac:dyDescent="0.3">
      <c r="A149" s="194">
        <v>221200</v>
      </c>
      <c r="B149" s="195" t="s">
        <v>828</v>
      </c>
      <c r="C149" s="195" t="s">
        <v>685</v>
      </c>
      <c r="D149" s="195" t="s">
        <v>686</v>
      </c>
      <c r="E149" s="196">
        <v>-508823.38</v>
      </c>
      <c r="F149" s="159">
        <v>-591495.77</v>
      </c>
      <c r="G149" s="158">
        <v>-979923.17</v>
      </c>
      <c r="H149" s="196">
        <v>68392613.510000005</v>
      </c>
      <c r="I149" s="198">
        <v>68901436.890000001</v>
      </c>
      <c r="J149" s="165">
        <f t="shared" si="6"/>
        <v>-82672.390000000596</v>
      </c>
      <c r="K149" s="200" t="str">
        <f t="shared" si="5"/>
        <v>221</v>
      </c>
    </row>
    <row r="150" spans="1:11" x14ac:dyDescent="0.3">
      <c r="A150" s="194">
        <v>221300</v>
      </c>
      <c r="B150" s="195" t="s">
        <v>829</v>
      </c>
      <c r="C150" s="195" t="s">
        <v>685</v>
      </c>
      <c r="D150" s="195" t="s">
        <v>686</v>
      </c>
      <c r="E150" s="196">
        <v>0</v>
      </c>
      <c r="F150" s="159">
        <v>0</v>
      </c>
      <c r="G150" s="157">
        <v>0</v>
      </c>
      <c r="H150" s="196">
        <v>0</v>
      </c>
      <c r="I150" s="198">
        <v>0</v>
      </c>
      <c r="J150" s="165">
        <f t="shared" si="6"/>
        <v>0</v>
      </c>
      <c r="K150" s="200" t="str">
        <f t="shared" si="5"/>
        <v>221</v>
      </c>
    </row>
    <row r="151" spans="1:11" x14ac:dyDescent="0.3">
      <c r="A151" s="194">
        <v>221999</v>
      </c>
      <c r="B151" s="195" t="s">
        <v>830</v>
      </c>
      <c r="C151" s="195" t="s">
        <v>685</v>
      </c>
      <c r="D151" s="195" t="s">
        <v>690</v>
      </c>
      <c r="E151" s="196">
        <v>-432051.82</v>
      </c>
      <c r="F151" s="159">
        <v>-513343.85</v>
      </c>
      <c r="G151" s="158">
        <v>-942866.5</v>
      </c>
      <c r="H151" s="196">
        <v>104444863.28</v>
      </c>
      <c r="I151" s="198">
        <v>104876915.09999999</v>
      </c>
      <c r="J151" s="165">
        <f t="shared" si="6"/>
        <v>-81292.030000001192</v>
      </c>
      <c r="K151" s="200" t="str">
        <f t="shared" si="5"/>
        <v>221</v>
      </c>
    </row>
    <row r="152" spans="1:11" x14ac:dyDescent="0.3">
      <c r="A152" s="194">
        <v>231000</v>
      </c>
      <c r="B152" s="195" t="s">
        <v>242</v>
      </c>
      <c r="C152" s="195" t="s">
        <v>685</v>
      </c>
      <c r="D152" s="195" t="s">
        <v>687</v>
      </c>
      <c r="E152" s="196">
        <v>0</v>
      </c>
      <c r="F152" s="159">
        <v>0</v>
      </c>
      <c r="G152" s="157">
        <v>0</v>
      </c>
      <c r="H152" s="196">
        <v>0</v>
      </c>
      <c r="I152" s="198">
        <v>0</v>
      </c>
      <c r="J152" s="165">
        <f t="shared" si="6"/>
        <v>0</v>
      </c>
      <c r="K152" s="200" t="str">
        <f t="shared" si="5"/>
        <v>231</v>
      </c>
    </row>
    <row r="153" spans="1:11" x14ac:dyDescent="0.3">
      <c r="A153" s="194">
        <v>231100</v>
      </c>
      <c r="B153" s="195" t="s">
        <v>831</v>
      </c>
      <c r="C153" s="195" t="s">
        <v>685</v>
      </c>
      <c r="D153" s="195" t="s">
        <v>686</v>
      </c>
      <c r="E153" s="196">
        <v>0</v>
      </c>
      <c r="F153" s="159">
        <v>0</v>
      </c>
      <c r="G153" s="158">
        <v>0</v>
      </c>
      <c r="H153" s="196">
        <v>25953.06</v>
      </c>
      <c r="I153" s="198">
        <v>25953.06</v>
      </c>
      <c r="J153" s="165">
        <f t="shared" si="6"/>
        <v>0</v>
      </c>
      <c r="K153" s="200" t="str">
        <f t="shared" si="5"/>
        <v>231</v>
      </c>
    </row>
    <row r="154" spans="1:11" x14ac:dyDescent="0.3">
      <c r="A154" s="194">
        <v>231999</v>
      </c>
      <c r="B154" s="195" t="s">
        <v>832</v>
      </c>
      <c r="C154" s="195" t="s">
        <v>685</v>
      </c>
      <c r="D154" s="195" t="s">
        <v>690</v>
      </c>
      <c r="E154" s="196">
        <v>0</v>
      </c>
      <c r="F154" s="159">
        <v>0</v>
      </c>
      <c r="G154" s="157">
        <v>0</v>
      </c>
      <c r="H154" s="196">
        <v>25953.06</v>
      </c>
      <c r="I154" s="198">
        <v>25953.06</v>
      </c>
      <c r="J154" s="165">
        <f t="shared" si="6"/>
        <v>0</v>
      </c>
      <c r="K154" s="200" t="str">
        <f t="shared" si="5"/>
        <v>231</v>
      </c>
    </row>
    <row r="155" spans="1:11" x14ac:dyDescent="0.3">
      <c r="A155" s="194">
        <v>261000</v>
      </c>
      <c r="B155" s="195" t="s">
        <v>833</v>
      </c>
      <c r="C155" s="195" t="s">
        <v>685</v>
      </c>
      <c r="D155" s="195" t="s">
        <v>687</v>
      </c>
      <c r="E155" s="196">
        <v>0</v>
      </c>
      <c r="F155" s="159">
        <v>0</v>
      </c>
      <c r="G155" s="158">
        <v>0</v>
      </c>
      <c r="H155" s="196">
        <v>0</v>
      </c>
      <c r="I155" s="198">
        <v>0</v>
      </c>
      <c r="J155" s="164">
        <f t="shared" si="6"/>
        <v>0</v>
      </c>
      <c r="K155" s="170" t="str">
        <f t="shared" si="5"/>
        <v>261</v>
      </c>
    </row>
    <row r="156" spans="1:11" x14ac:dyDescent="0.3">
      <c r="A156" s="194">
        <v>261100</v>
      </c>
      <c r="B156" s="195" t="s">
        <v>834</v>
      </c>
      <c r="C156" s="195" t="s">
        <v>685</v>
      </c>
      <c r="D156" s="195" t="s">
        <v>686</v>
      </c>
      <c r="E156" s="196">
        <v>-160000</v>
      </c>
      <c r="F156" s="159">
        <v>0</v>
      </c>
      <c r="G156" s="157">
        <v>200000</v>
      </c>
      <c r="H156" s="196">
        <v>34419952</v>
      </c>
      <c r="I156" s="198">
        <v>34579952</v>
      </c>
      <c r="J156" s="164">
        <f t="shared" si="6"/>
        <v>160000</v>
      </c>
      <c r="K156" s="170" t="str">
        <f t="shared" si="5"/>
        <v>261</v>
      </c>
    </row>
    <row r="157" spans="1:11" x14ac:dyDescent="0.3">
      <c r="A157" s="194">
        <v>261200</v>
      </c>
      <c r="B157" s="195" t="s">
        <v>835</v>
      </c>
      <c r="C157" s="195" t="s">
        <v>685</v>
      </c>
      <c r="D157" s="195" t="s">
        <v>686</v>
      </c>
      <c r="E157" s="196">
        <v>0</v>
      </c>
      <c r="F157" s="159">
        <v>0</v>
      </c>
      <c r="G157" s="158">
        <v>0</v>
      </c>
      <c r="H157" s="196">
        <v>4642.34</v>
      </c>
      <c r="I157" s="198">
        <v>4642.34</v>
      </c>
      <c r="J157" s="164">
        <f t="shared" si="6"/>
        <v>0</v>
      </c>
      <c r="K157" s="170" t="str">
        <f t="shared" si="5"/>
        <v>261</v>
      </c>
    </row>
    <row r="158" spans="1:11" x14ac:dyDescent="0.3">
      <c r="A158" s="194">
        <v>261300</v>
      </c>
      <c r="B158" s="195" t="s">
        <v>836</v>
      </c>
      <c r="C158" s="195" t="s">
        <v>685</v>
      </c>
      <c r="D158" s="195" t="s">
        <v>686</v>
      </c>
      <c r="E158" s="196">
        <v>0</v>
      </c>
      <c r="F158" s="159">
        <v>0</v>
      </c>
      <c r="G158" s="157">
        <v>0</v>
      </c>
      <c r="H158" s="196">
        <v>0</v>
      </c>
      <c r="I158" s="198">
        <v>0</v>
      </c>
      <c r="J158" s="164">
        <f t="shared" si="6"/>
        <v>0</v>
      </c>
      <c r="K158" s="170" t="str">
        <f t="shared" si="5"/>
        <v>261</v>
      </c>
    </row>
    <row r="159" spans="1:11" x14ac:dyDescent="0.3">
      <c r="A159" s="194">
        <v>261301</v>
      </c>
      <c r="B159" s="195" t="s">
        <v>837</v>
      </c>
      <c r="C159" s="195" t="s">
        <v>685</v>
      </c>
      <c r="D159" s="195" t="s">
        <v>686</v>
      </c>
      <c r="E159" s="196">
        <v>0</v>
      </c>
      <c r="F159" s="159">
        <v>0</v>
      </c>
      <c r="G159" s="158">
        <v>0</v>
      </c>
      <c r="H159" s="196">
        <v>0</v>
      </c>
      <c r="I159" s="198">
        <v>0</v>
      </c>
      <c r="J159" s="164">
        <f t="shared" si="6"/>
        <v>0</v>
      </c>
      <c r="K159" s="170" t="str">
        <f t="shared" si="5"/>
        <v>261</v>
      </c>
    </row>
    <row r="160" spans="1:11" x14ac:dyDescent="0.3">
      <c r="A160" s="194">
        <v>261302</v>
      </c>
      <c r="B160" s="195" t="s">
        <v>838</v>
      </c>
      <c r="C160" s="195" t="s">
        <v>685</v>
      </c>
      <c r="D160" s="195" t="s">
        <v>686</v>
      </c>
      <c r="E160" s="196">
        <v>0</v>
      </c>
      <c r="F160" s="159">
        <v>0</v>
      </c>
      <c r="G160" s="157">
        <v>0</v>
      </c>
      <c r="H160" s="196">
        <v>0</v>
      </c>
      <c r="I160" s="198">
        <v>0</v>
      </c>
      <c r="J160" s="164">
        <f t="shared" si="6"/>
        <v>0</v>
      </c>
      <c r="K160" s="170" t="str">
        <f t="shared" si="5"/>
        <v>261</v>
      </c>
    </row>
    <row r="161" spans="1:11" x14ac:dyDescent="0.3">
      <c r="A161" s="194">
        <v>261500</v>
      </c>
      <c r="B161" s="195" t="s">
        <v>839</v>
      </c>
      <c r="C161" s="195" t="s">
        <v>685</v>
      </c>
      <c r="D161" s="195" t="s">
        <v>686</v>
      </c>
      <c r="E161" s="196">
        <v>0</v>
      </c>
      <c r="F161" s="159">
        <v>0</v>
      </c>
      <c r="G161" s="158">
        <v>0</v>
      </c>
      <c r="H161" s="196">
        <v>1033225.54</v>
      </c>
      <c r="I161" s="198">
        <v>1033225.54</v>
      </c>
      <c r="J161" s="164">
        <f t="shared" si="6"/>
        <v>0</v>
      </c>
      <c r="K161" s="170" t="str">
        <f t="shared" si="5"/>
        <v>261</v>
      </c>
    </row>
    <row r="162" spans="1:11" x14ac:dyDescent="0.3">
      <c r="A162" s="194">
        <v>261900</v>
      </c>
      <c r="B162" s="195" t="s">
        <v>840</v>
      </c>
      <c r="C162" s="195" t="s">
        <v>685</v>
      </c>
      <c r="D162" s="195" t="s">
        <v>686</v>
      </c>
      <c r="E162" s="196">
        <v>0</v>
      </c>
      <c r="F162" s="159">
        <v>0</v>
      </c>
      <c r="G162" s="157">
        <v>0</v>
      </c>
      <c r="H162" s="196">
        <v>0</v>
      </c>
      <c r="I162" s="198">
        <v>0</v>
      </c>
      <c r="J162" s="164">
        <f t="shared" si="6"/>
        <v>0</v>
      </c>
      <c r="K162" s="170" t="str">
        <f t="shared" si="5"/>
        <v>261</v>
      </c>
    </row>
    <row r="163" spans="1:11" x14ac:dyDescent="0.3">
      <c r="A163" s="194">
        <v>261999</v>
      </c>
      <c r="B163" s="195" t="s">
        <v>841</v>
      </c>
      <c r="C163" s="195" t="s">
        <v>685</v>
      </c>
      <c r="D163" s="195" t="s">
        <v>690</v>
      </c>
      <c r="E163" s="196">
        <v>-160000</v>
      </c>
      <c r="F163" s="159">
        <v>0</v>
      </c>
      <c r="G163" s="158">
        <v>200000</v>
      </c>
      <c r="H163" s="196">
        <v>35457819.880000003</v>
      </c>
      <c r="I163" s="198">
        <v>35617819.880000003</v>
      </c>
      <c r="J163" s="165">
        <f t="shared" si="6"/>
        <v>160000</v>
      </c>
      <c r="K163" s="170" t="str">
        <f t="shared" si="5"/>
        <v>261</v>
      </c>
    </row>
    <row r="164" spans="1:11" x14ac:dyDescent="0.3">
      <c r="A164" s="194">
        <v>291000</v>
      </c>
      <c r="B164" s="195" t="s">
        <v>842</v>
      </c>
      <c r="C164" s="195" t="s">
        <v>685</v>
      </c>
      <c r="D164" s="195" t="s">
        <v>687</v>
      </c>
      <c r="E164" s="196">
        <v>0</v>
      </c>
      <c r="F164" s="159">
        <v>0</v>
      </c>
      <c r="G164" s="157">
        <v>0</v>
      </c>
      <c r="H164" s="196">
        <v>0</v>
      </c>
      <c r="I164" s="198">
        <v>0</v>
      </c>
      <c r="J164" s="165">
        <f t="shared" si="6"/>
        <v>0</v>
      </c>
      <c r="K164" s="170" t="str">
        <f t="shared" si="5"/>
        <v>291</v>
      </c>
    </row>
    <row r="165" spans="1:11" x14ac:dyDescent="0.3">
      <c r="A165" s="194">
        <v>291999</v>
      </c>
      <c r="B165" s="195" t="s">
        <v>843</v>
      </c>
      <c r="C165" s="195" t="s">
        <v>685</v>
      </c>
      <c r="D165" s="195" t="s">
        <v>690</v>
      </c>
      <c r="E165" s="196">
        <v>0</v>
      </c>
      <c r="F165" s="159">
        <v>0</v>
      </c>
      <c r="G165" s="158">
        <v>0</v>
      </c>
      <c r="H165" s="196">
        <v>0</v>
      </c>
      <c r="I165" s="198">
        <v>0</v>
      </c>
      <c r="J165" s="165">
        <f t="shared" si="6"/>
        <v>0</v>
      </c>
      <c r="K165" s="170" t="str">
        <f t="shared" si="5"/>
        <v>291</v>
      </c>
    </row>
    <row r="166" spans="1:11" x14ac:dyDescent="0.3">
      <c r="A166" s="194">
        <v>299998</v>
      </c>
      <c r="B166" s="195" t="s">
        <v>844</v>
      </c>
      <c r="C166" s="195" t="s">
        <v>685</v>
      </c>
      <c r="D166" s="195" t="s">
        <v>690</v>
      </c>
      <c r="E166" s="196">
        <v>-586131.81000000006</v>
      </c>
      <c r="F166" s="159">
        <v>-499425.4</v>
      </c>
      <c r="G166" s="157">
        <v>-730910.77</v>
      </c>
      <c r="H166" s="196">
        <v>142144635.75999999</v>
      </c>
      <c r="I166" s="198">
        <v>142730767.56999999</v>
      </c>
      <c r="J166" s="165">
        <f t="shared" si="6"/>
        <v>86706.409999996424</v>
      </c>
      <c r="K166" s="170" t="str">
        <f t="shared" si="5"/>
        <v>299</v>
      </c>
    </row>
    <row r="167" spans="1:11" x14ac:dyDescent="0.3">
      <c r="A167" s="194">
        <v>299999</v>
      </c>
      <c r="B167" s="195" t="s">
        <v>845</v>
      </c>
      <c r="C167" s="195" t="s">
        <v>685</v>
      </c>
      <c r="D167" s="195" t="s">
        <v>690</v>
      </c>
      <c r="E167" s="196">
        <v>-586131.81000000006</v>
      </c>
      <c r="F167" s="159">
        <v>-499425.4</v>
      </c>
      <c r="G167" s="158">
        <v>-730910.77</v>
      </c>
      <c r="H167" s="196">
        <v>142144635.75999999</v>
      </c>
      <c r="I167" s="198">
        <v>142730767.56999999</v>
      </c>
      <c r="J167" s="165">
        <f t="shared" si="6"/>
        <v>86706.409999996424</v>
      </c>
      <c r="K167" s="170" t="str">
        <f t="shared" si="5"/>
        <v>299</v>
      </c>
    </row>
    <row r="168" spans="1:11" x14ac:dyDescent="0.3">
      <c r="A168" s="194">
        <v>300000</v>
      </c>
      <c r="B168" s="195" t="s">
        <v>846</v>
      </c>
      <c r="C168" s="195" t="s">
        <v>685</v>
      </c>
      <c r="D168" s="195" t="s">
        <v>687</v>
      </c>
      <c r="E168" s="196">
        <v>0</v>
      </c>
      <c r="F168" s="159">
        <v>0</v>
      </c>
      <c r="G168" s="157">
        <v>0</v>
      </c>
      <c r="H168" s="196">
        <v>0</v>
      </c>
      <c r="I168" s="198">
        <v>0</v>
      </c>
      <c r="J168" s="165">
        <f t="shared" si="6"/>
        <v>0</v>
      </c>
      <c r="K168" s="170" t="str">
        <f t="shared" si="5"/>
        <v>300</v>
      </c>
    </row>
    <row r="169" spans="1:11" x14ac:dyDescent="0.3">
      <c r="A169" s="194">
        <v>310000</v>
      </c>
      <c r="B169" s="195" t="s">
        <v>129</v>
      </c>
      <c r="C169" s="195" t="s">
        <v>685</v>
      </c>
      <c r="D169" s="195" t="s">
        <v>687</v>
      </c>
      <c r="E169" s="196">
        <v>0</v>
      </c>
      <c r="F169" s="159">
        <v>0</v>
      </c>
      <c r="G169" s="158">
        <v>0</v>
      </c>
      <c r="H169" s="196">
        <v>0</v>
      </c>
      <c r="I169" s="198">
        <v>0</v>
      </c>
      <c r="J169" s="165">
        <f t="shared" si="6"/>
        <v>0</v>
      </c>
      <c r="K169" s="170" t="str">
        <f t="shared" si="5"/>
        <v>310</v>
      </c>
    </row>
    <row r="170" spans="1:11" x14ac:dyDescent="0.3">
      <c r="A170" s="194">
        <v>311000</v>
      </c>
      <c r="B170" s="195" t="s">
        <v>847</v>
      </c>
      <c r="C170" s="195" t="s">
        <v>685</v>
      </c>
      <c r="D170" s="195" t="s">
        <v>687</v>
      </c>
      <c r="E170" s="196">
        <v>0</v>
      </c>
      <c r="F170" s="159">
        <v>0</v>
      </c>
      <c r="G170" s="157">
        <v>0</v>
      </c>
      <c r="H170" s="196">
        <v>0</v>
      </c>
      <c r="I170" s="198">
        <v>0</v>
      </c>
      <c r="J170" s="165">
        <f t="shared" si="6"/>
        <v>0</v>
      </c>
      <c r="K170" s="170" t="str">
        <f t="shared" si="5"/>
        <v>311</v>
      </c>
    </row>
    <row r="171" spans="1:11" x14ac:dyDescent="0.3">
      <c r="A171" s="194">
        <v>311110</v>
      </c>
      <c r="B171" s="195" t="s">
        <v>848</v>
      </c>
      <c r="C171" s="195" t="s">
        <v>685</v>
      </c>
      <c r="D171" s="195" t="s">
        <v>686</v>
      </c>
      <c r="E171" s="196">
        <v>-757249.72</v>
      </c>
      <c r="F171" s="159">
        <v>346207.74</v>
      </c>
      <c r="G171" s="158">
        <v>1084040.3999999999</v>
      </c>
      <c r="H171" s="196">
        <v>55374437.850000001</v>
      </c>
      <c r="I171" s="198">
        <v>56131687.57</v>
      </c>
      <c r="J171" s="165">
        <f t="shared" si="6"/>
        <v>1103457.4600000009</v>
      </c>
      <c r="K171" s="170" t="str">
        <f t="shared" si="5"/>
        <v>311</v>
      </c>
    </row>
    <row r="172" spans="1:11" x14ac:dyDescent="0.3">
      <c r="A172" s="194">
        <v>311130</v>
      </c>
      <c r="B172" s="195" t="s">
        <v>849</v>
      </c>
      <c r="C172" s="195" t="s">
        <v>685</v>
      </c>
      <c r="D172" s="195" t="s">
        <v>686</v>
      </c>
      <c r="E172" s="196">
        <v>16122.39</v>
      </c>
      <c r="F172" s="159">
        <v>121906.95</v>
      </c>
      <c r="G172" s="157">
        <v>159030.62</v>
      </c>
      <c r="H172" s="196">
        <v>1267278.75</v>
      </c>
      <c r="I172" s="198">
        <v>1251156.3600000001</v>
      </c>
      <c r="J172" s="165">
        <f t="shared" si="6"/>
        <v>105784.56000000006</v>
      </c>
      <c r="K172" s="170" t="str">
        <f t="shared" si="5"/>
        <v>311</v>
      </c>
    </row>
    <row r="173" spans="1:11" x14ac:dyDescent="0.3">
      <c r="A173" s="194">
        <v>311150</v>
      </c>
      <c r="B173" s="195" t="s">
        <v>850</v>
      </c>
      <c r="C173" s="195" t="s">
        <v>685</v>
      </c>
      <c r="D173" s="195" t="s">
        <v>686</v>
      </c>
      <c r="E173" s="196">
        <v>42521.55</v>
      </c>
      <c r="F173" s="159">
        <v>112260.59</v>
      </c>
      <c r="G173" s="158">
        <v>15441.27</v>
      </c>
      <c r="H173" s="196">
        <v>6194639.1200000001</v>
      </c>
      <c r="I173" s="198">
        <v>6152117.5700000003</v>
      </c>
      <c r="J173" s="165">
        <f t="shared" si="6"/>
        <v>69739.040000000037</v>
      </c>
      <c r="K173" s="170" t="str">
        <f t="shared" si="5"/>
        <v>311</v>
      </c>
    </row>
    <row r="174" spans="1:11" x14ac:dyDescent="0.3">
      <c r="A174" s="194">
        <v>311210</v>
      </c>
      <c r="B174" s="195" t="s">
        <v>851</v>
      </c>
      <c r="C174" s="195" t="s">
        <v>685</v>
      </c>
      <c r="D174" s="195" t="s">
        <v>686</v>
      </c>
      <c r="E174" s="196">
        <v>65438.26</v>
      </c>
      <c r="F174" s="159">
        <v>69675.12</v>
      </c>
      <c r="G174" s="157">
        <v>79735.19</v>
      </c>
      <c r="H174" s="196">
        <v>2858075.05</v>
      </c>
      <c r="I174" s="198">
        <v>2792636.79</v>
      </c>
      <c r="J174" s="165">
        <f t="shared" si="6"/>
        <v>4236.8600000003353</v>
      </c>
      <c r="K174" s="170" t="str">
        <f t="shared" si="5"/>
        <v>311</v>
      </c>
    </row>
    <row r="175" spans="1:11" x14ac:dyDescent="0.3">
      <c r="A175" s="194">
        <v>311211</v>
      </c>
      <c r="B175" s="195" t="s">
        <v>852</v>
      </c>
      <c r="C175" s="195" t="s">
        <v>685</v>
      </c>
      <c r="D175" s="195" t="s">
        <v>686</v>
      </c>
      <c r="E175" s="196">
        <v>0</v>
      </c>
      <c r="F175" s="159">
        <v>0</v>
      </c>
      <c r="G175" s="158">
        <v>0</v>
      </c>
      <c r="H175" s="196">
        <v>24592</v>
      </c>
      <c r="I175" s="198">
        <v>24592</v>
      </c>
      <c r="J175" s="165">
        <f t="shared" si="6"/>
        <v>0</v>
      </c>
      <c r="K175" s="170" t="str">
        <f t="shared" si="5"/>
        <v>311</v>
      </c>
    </row>
    <row r="176" spans="1:11" x14ac:dyDescent="0.3">
      <c r="A176" s="194">
        <v>311230</v>
      </c>
      <c r="B176" s="195" t="s">
        <v>853</v>
      </c>
      <c r="C176" s="195" t="s">
        <v>685</v>
      </c>
      <c r="D176" s="195" t="s">
        <v>686</v>
      </c>
      <c r="E176" s="196">
        <v>-2668.83</v>
      </c>
      <c r="F176" s="159">
        <v>170.22</v>
      </c>
      <c r="G176" s="157">
        <v>23419.8</v>
      </c>
      <c r="H176" s="196">
        <v>1025224.4</v>
      </c>
      <c r="I176" s="198">
        <v>1027893.23</v>
      </c>
      <c r="J176" s="165">
        <f t="shared" si="6"/>
        <v>2839.0499999999302</v>
      </c>
      <c r="K176" s="170" t="str">
        <f t="shared" si="5"/>
        <v>311</v>
      </c>
    </row>
    <row r="177" spans="1:11" x14ac:dyDescent="0.3">
      <c r="A177" s="194">
        <v>311999</v>
      </c>
      <c r="B177" s="195" t="s">
        <v>854</v>
      </c>
      <c r="C177" s="195" t="s">
        <v>685</v>
      </c>
      <c r="D177" s="195" t="s">
        <v>690</v>
      </c>
      <c r="E177" s="196">
        <v>-635836.35</v>
      </c>
      <c r="F177" s="159">
        <v>650220.62</v>
      </c>
      <c r="G177" s="158">
        <v>1361667.28</v>
      </c>
      <c r="H177" s="196">
        <v>66744247.170000002</v>
      </c>
      <c r="I177" s="198">
        <v>67380083.519999996</v>
      </c>
      <c r="J177" s="165">
        <f t="shared" si="6"/>
        <v>1286056.9699999914</v>
      </c>
      <c r="K177" s="170" t="str">
        <f t="shared" si="5"/>
        <v>311</v>
      </c>
    </row>
    <row r="178" spans="1:11" x14ac:dyDescent="0.3">
      <c r="A178" s="194">
        <v>312000</v>
      </c>
      <c r="B178" s="195" t="s">
        <v>855</v>
      </c>
      <c r="C178" s="195" t="s">
        <v>685</v>
      </c>
      <c r="D178" s="195" t="s">
        <v>687</v>
      </c>
      <c r="E178" s="196">
        <v>0</v>
      </c>
      <c r="F178" s="159">
        <v>0</v>
      </c>
      <c r="G178" s="157">
        <v>0</v>
      </c>
      <c r="H178" s="196">
        <v>0</v>
      </c>
      <c r="I178" s="198">
        <v>0</v>
      </c>
      <c r="J178" s="165">
        <f t="shared" si="6"/>
        <v>0</v>
      </c>
      <c r="K178" s="170" t="str">
        <f t="shared" si="5"/>
        <v>312</v>
      </c>
    </row>
    <row r="179" spans="1:11" x14ac:dyDescent="0.3">
      <c r="A179" s="194">
        <v>312999</v>
      </c>
      <c r="B179" s="195" t="s">
        <v>856</v>
      </c>
      <c r="C179" s="195" t="s">
        <v>685</v>
      </c>
      <c r="D179" s="195" t="s">
        <v>690</v>
      </c>
      <c r="E179" s="196">
        <v>0</v>
      </c>
      <c r="F179" s="159">
        <v>0</v>
      </c>
      <c r="G179" s="158">
        <v>0</v>
      </c>
      <c r="H179" s="196">
        <v>0</v>
      </c>
      <c r="I179" s="198">
        <v>0</v>
      </c>
      <c r="J179" s="165">
        <f t="shared" si="6"/>
        <v>0</v>
      </c>
      <c r="K179" s="170" t="str">
        <f t="shared" si="5"/>
        <v>312</v>
      </c>
    </row>
    <row r="180" spans="1:11" x14ac:dyDescent="0.3">
      <c r="A180" s="194">
        <v>313000</v>
      </c>
      <c r="B180" s="195" t="s">
        <v>857</v>
      </c>
      <c r="C180" s="195" t="s">
        <v>685</v>
      </c>
      <c r="D180" s="195" t="s">
        <v>687</v>
      </c>
      <c r="E180" s="196">
        <v>0</v>
      </c>
      <c r="F180" s="159">
        <v>0</v>
      </c>
      <c r="G180" s="157">
        <v>0</v>
      </c>
      <c r="H180" s="196">
        <v>0</v>
      </c>
      <c r="I180" s="198">
        <v>0</v>
      </c>
      <c r="J180" s="165">
        <f t="shared" si="6"/>
        <v>0</v>
      </c>
      <c r="K180" s="170" t="str">
        <f t="shared" si="5"/>
        <v>313</v>
      </c>
    </row>
    <row r="181" spans="1:11" x14ac:dyDescent="0.3">
      <c r="A181" s="194">
        <v>313999</v>
      </c>
      <c r="B181" s="195" t="s">
        <v>858</v>
      </c>
      <c r="C181" s="195" t="s">
        <v>685</v>
      </c>
      <c r="D181" s="195" t="s">
        <v>690</v>
      </c>
      <c r="E181" s="196">
        <v>0</v>
      </c>
      <c r="F181" s="159">
        <v>0</v>
      </c>
      <c r="G181" s="158">
        <v>0</v>
      </c>
      <c r="H181" s="196">
        <v>0</v>
      </c>
      <c r="I181" s="198">
        <v>0</v>
      </c>
      <c r="J181" s="164">
        <f t="shared" si="6"/>
        <v>0</v>
      </c>
      <c r="K181" s="170" t="str">
        <f t="shared" si="5"/>
        <v>313</v>
      </c>
    </row>
    <row r="182" spans="1:11" x14ac:dyDescent="0.3">
      <c r="A182" s="194">
        <v>314000</v>
      </c>
      <c r="B182" s="195" t="s">
        <v>859</v>
      </c>
      <c r="C182" s="195" t="s">
        <v>685</v>
      </c>
      <c r="D182" s="195" t="s">
        <v>687</v>
      </c>
      <c r="E182" s="196">
        <v>0</v>
      </c>
      <c r="F182" s="159">
        <v>0</v>
      </c>
      <c r="G182" s="157">
        <v>0</v>
      </c>
      <c r="H182" s="196">
        <v>0</v>
      </c>
      <c r="I182" s="198">
        <v>0</v>
      </c>
      <c r="J182" s="164">
        <f t="shared" si="6"/>
        <v>0</v>
      </c>
      <c r="K182" s="170" t="str">
        <f t="shared" si="5"/>
        <v>314</v>
      </c>
    </row>
    <row r="183" spans="1:11" x14ac:dyDescent="0.3">
      <c r="A183" s="194">
        <v>314100</v>
      </c>
      <c r="B183" s="195" t="s">
        <v>860</v>
      </c>
      <c r="C183" s="195" t="s">
        <v>685</v>
      </c>
      <c r="D183" s="195" t="s">
        <v>686</v>
      </c>
      <c r="E183" s="196">
        <v>-85699</v>
      </c>
      <c r="F183" s="159">
        <v>0</v>
      </c>
      <c r="G183" s="158">
        <v>0</v>
      </c>
      <c r="H183" s="196">
        <v>536937.22</v>
      </c>
      <c r="I183" s="198">
        <v>622636.22</v>
      </c>
      <c r="J183" s="164">
        <f t="shared" si="6"/>
        <v>85699</v>
      </c>
      <c r="K183" s="170" t="str">
        <f t="shared" si="5"/>
        <v>314</v>
      </c>
    </row>
    <row r="184" spans="1:11" x14ac:dyDescent="0.3">
      <c r="A184" s="194">
        <v>314999</v>
      </c>
      <c r="B184" s="195" t="s">
        <v>861</v>
      </c>
      <c r="C184" s="195" t="s">
        <v>685</v>
      </c>
      <c r="D184" s="195" t="s">
        <v>690</v>
      </c>
      <c r="E184" s="196">
        <v>-85699</v>
      </c>
      <c r="F184" s="159">
        <v>0</v>
      </c>
      <c r="G184" s="157">
        <v>0</v>
      </c>
      <c r="H184" s="196">
        <v>536937.22</v>
      </c>
      <c r="I184" s="198">
        <v>622636.22</v>
      </c>
      <c r="J184" s="164">
        <f t="shared" si="6"/>
        <v>85699</v>
      </c>
      <c r="K184" s="170" t="str">
        <f t="shared" si="5"/>
        <v>314</v>
      </c>
    </row>
    <row r="185" spans="1:11" x14ac:dyDescent="0.3">
      <c r="A185" s="194">
        <v>315000</v>
      </c>
      <c r="B185" s="195" t="s">
        <v>862</v>
      </c>
      <c r="C185" s="195" t="s">
        <v>685</v>
      </c>
      <c r="D185" s="195" t="s">
        <v>687</v>
      </c>
      <c r="E185" s="196">
        <v>0</v>
      </c>
      <c r="F185" s="159">
        <v>0</v>
      </c>
      <c r="G185" s="158">
        <v>0</v>
      </c>
      <c r="H185" s="196">
        <v>0</v>
      </c>
      <c r="I185" s="198">
        <v>0</v>
      </c>
      <c r="J185" s="164">
        <f t="shared" si="6"/>
        <v>0</v>
      </c>
      <c r="K185" s="170" t="str">
        <f t="shared" si="5"/>
        <v>315</v>
      </c>
    </row>
    <row r="186" spans="1:11" x14ac:dyDescent="0.3">
      <c r="A186" s="194">
        <v>315100</v>
      </c>
      <c r="B186" s="195" t="s">
        <v>862</v>
      </c>
      <c r="C186" s="195" t="s">
        <v>685</v>
      </c>
      <c r="D186" s="195" t="s">
        <v>686</v>
      </c>
      <c r="E186" s="196">
        <v>-33749.46</v>
      </c>
      <c r="F186" s="159">
        <v>-33749.46</v>
      </c>
      <c r="G186" s="157">
        <v>0</v>
      </c>
      <c r="H186" s="196">
        <v>172461.95</v>
      </c>
      <c r="I186" s="198">
        <v>206211.41</v>
      </c>
      <c r="J186" s="164">
        <f t="shared" si="6"/>
        <v>0</v>
      </c>
      <c r="K186" s="170" t="str">
        <f t="shared" si="5"/>
        <v>315</v>
      </c>
    </row>
    <row r="187" spans="1:11" x14ac:dyDescent="0.3">
      <c r="A187" s="194">
        <v>315200</v>
      </c>
      <c r="B187" s="195" t="s">
        <v>863</v>
      </c>
      <c r="C187" s="195" t="s">
        <v>685</v>
      </c>
      <c r="D187" s="195" t="s">
        <v>686</v>
      </c>
      <c r="E187" s="196">
        <v>1416.2</v>
      </c>
      <c r="F187" s="159">
        <v>1803.08</v>
      </c>
      <c r="G187" s="158">
        <v>8744.43</v>
      </c>
      <c r="H187" s="196">
        <v>1756036.92</v>
      </c>
      <c r="I187" s="198">
        <v>1754620.72</v>
      </c>
      <c r="J187" s="164">
        <f t="shared" si="6"/>
        <v>386.88000000012107</v>
      </c>
      <c r="K187" s="170" t="str">
        <f t="shared" si="5"/>
        <v>315</v>
      </c>
    </row>
    <row r="188" spans="1:11" x14ac:dyDescent="0.3">
      <c r="A188" s="194">
        <v>315300</v>
      </c>
      <c r="B188" s="195" t="s">
        <v>864</v>
      </c>
      <c r="C188" s="195" t="s">
        <v>685</v>
      </c>
      <c r="D188" s="195" t="s">
        <v>686</v>
      </c>
      <c r="E188" s="196">
        <v>0</v>
      </c>
      <c r="F188" s="159">
        <v>0</v>
      </c>
      <c r="G188" s="157">
        <v>0</v>
      </c>
      <c r="H188" s="196">
        <v>0</v>
      </c>
      <c r="I188" s="198">
        <v>0</v>
      </c>
      <c r="J188" s="164">
        <f t="shared" si="6"/>
        <v>0</v>
      </c>
      <c r="K188" s="170" t="str">
        <f t="shared" si="5"/>
        <v>315</v>
      </c>
    </row>
    <row r="189" spans="1:11" x14ac:dyDescent="0.3">
      <c r="A189" s="194">
        <v>315400</v>
      </c>
      <c r="B189" s="195" t="s">
        <v>865</v>
      </c>
      <c r="C189" s="195" t="s">
        <v>685</v>
      </c>
      <c r="D189" s="195" t="s">
        <v>686</v>
      </c>
      <c r="E189" s="196">
        <v>-196625.69</v>
      </c>
      <c r="F189" s="159">
        <v>323642.40999999997</v>
      </c>
      <c r="G189" s="158">
        <v>293263.65000000002</v>
      </c>
      <c r="H189" s="196">
        <v>4228271.8</v>
      </c>
      <c r="I189" s="198">
        <v>4424897.49</v>
      </c>
      <c r="J189" s="164">
        <f t="shared" si="6"/>
        <v>520268.10000000056</v>
      </c>
      <c r="K189" s="170" t="str">
        <f t="shared" si="5"/>
        <v>315</v>
      </c>
    </row>
    <row r="190" spans="1:11" x14ac:dyDescent="0.3">
      <c r="A190" s="194">
        <v>315401</v>
      </c>
      <c r="B190" s="195" t="s">
        <v>866</v>
      </c>
      <c r="C190" s="195" t="s">
        <v>685</v>
      </c>
      <c r="D190" s="195" t="s">
        <v>686</v>
      </c>
      <c r="E190" s="196">
        <v>0</v>
      </c>
      <c r="F190" s="159">
        <v>0</v>
      </c>
      <c r="G190" s="157">
        <v>0</v>
      </c>
      <c r="H190" s="196">
        <v>0</v>
      </c>
      <c r="I190" s="198">
        <v>0</v>
      </c>
      <c r="J190" s="164">
        <f t="shared" si="6"/>
        <v>0</v>
      </c>
      <c r="K190" s="170" t="str">
        <f t="shared" si="5"/>
        <v>315</v>
      </c>
    </row>
    <row r="191" spans="1:11" x14ac:dyDescent="0.3">
      <c r="A191" s="194">
        <v>315500</v>
      </c>
      <c r="B191" s="195" t="s">
        <v>867</v>
      </c>
      <c r="C191" s="195" t="s">
        <v>685</v>
      </c>
      <c r="D191" s="195" t="s">
        <v>686</v>
      </c>
      <c r="E191" s="196">
        <v>0</v>
      </c>
      <c r="F191" s="159">
        <v>0</v>
      </c>
      <c r="G191" s="158">
        <v>0</v>
      </c>
      <c r="H191" s="196">
        <v>0</v>
      </c>
      <c r="I191" s="198">
        <v>0</v>
      </c>
      <c r="J191" s="164">
        <f t="shared" si="6"/>
        <v>0</v>
      </c>
      <c r="K191" s="170" t="str">
        <f t="shared" si="5"/>
        <v>315</v>
      </c>
    </row>
    <row r="192" spans="1:11" x14ac:dyDescent="0.3">
      <c r="A192" s="194">
        <v>315700</v>
      </c>
      <c r="B192" s="195" t="s">
        <v>868</v>
      </c>
      <c r="C192" s="195" t="s">
        <v>685</v>
      </c>
      <c r="D192" s="195" t="s">
        <v>686</v>
      </c>
      <c r="E192" s="196">
        <v>0</v>
      </c>
      <c r="F192" s="159">
        <v>0</v>
      </c>
      <c r="G192" s="157">
        <v>0</v>
      </c>
      <c r="H192" s="196">
        <v>0</v>
      </c>
      <c r="I192" s="198">
        <v>0</v>
      </c>
      <c r="J192" s="164">
        <f t="shared" si="6"/>
        <v>0</v>
      </c>
      <c r="K192" s="170" t="str">
        <f t="shared" si="5"/>
        <v>315</v>
      </c>
    </row>
    <row r="193" spans="1:11" x14ac:dyDescent="0.3">
      <c r="A193" s="194">
        <v>315800</v>
      </c>
      <c r="B193" s="195" t="s">
        <v>869</v>
      </c>
      <c r="C193" s="195" t="s">
        <v>685</v>
      </c>
      <c r="D193" s="195" t="s">
        <v>686</v>
      </c>
      <c r="E193" s="196">
        <v>0</v>
      </c>
      <c r="F193" s="159">
        <v>0</v>
      </c>
      <c r="G193" s="158">
        <v>0</v>
      </c>
      <c r="H193" s="196">
        <v>21472.47</v>
      </c>
      <c r="I193" s="198">
        <v>21472.47</v>
      </c>
      <c r="J193" s="164">
        <f t="shared" si="6"/>
        <v>0</v>
      </c>
      <c r="K193" s="170" t="str">
        <f t="shared" si="5"/>
        <v>315</v>
      </c>
    </row>
    <row r="194" spans="1:11" x14ac:dyDescent="0.3">
      <c r="A194" s="194">
        <v>315900</v>
      </c>
      <c r="B194" s="195" t="s">
        <v>870</v>
      </c>
      <c r="C194" s="195" t="s">
        <v>685</v>
      </c>
      <c r="D194" s="195" t="s">
        <v>686</v>
      </c>
      <c r="E194" s="196">
        <v>128022.89</v>
      </c>
      <c r="F194" s="159">
        <v>187674.38</v>
      </c>
      <c r="G194" s="157">
        <v>187674.38</v>
      </c>
      <c r="H194" s="196">
        <v>187674.38</v>
      </c>
      <c r="I194" s="198">
        <v>59651.49</v>
      </c>
      <c r="J194" s="164">
        <f t="shared" si="6"/>
        <v>59651.49</v>
      </c>
      <c r="K194" s="170" t="str">
        <f t="shared" si="5"/>
        <v>315</v>
      </c>
    </row>
    <row r="195" spans="1:11" x14ac:dyDescent="0.3">
      <c r="A195" s="194">
        <v>315910</v>
      </c>
      <c r="B195" s="195" t="s">
        <v>871</v>
      </c>
      <c r="C195" s="195" t="s">
        <v>685</v>
      </c>
      <c r="D195" s="195" t="s">
        <v>686</v>
      </c>
      <c r="E195" s="196">
        <v>0</v>
      </c>
      <c r="F195" s="159">
        <v>0</v>
      </c>
      <c r="G195" s="158">
        <v>0</v>
      </c>
      <c r="H195" s="196">
        <v>0</v>
      </c>
      <c r="I195" s="198">
        <v>0</v>
      </c>
      <c r="J195" s="164">
        <f t="shared" si="6"/>
        <v>0</v>
      </c>
      <c r="K195" s="170" t="str">
        <f t="shared" ref="K195:K258" si="7">IF(A195&lt;100000,CONCATENATE(0,LEFT(A195,2)),LEFT(A195,3))</f>
        <v>315</v>
      </c>
    </row>
    <row r="196" spans="1:11" x14ac:dyDescent="0.3">
      <c r="A196" s="194">
        <v>315920</v>
      </c>
      <c r="B196" s="195" t="s">
        <v>872</v>
      </c>
      <c r="C196" s="195" t="s">
        <v>685</v>
      </c>
      <c r="D196" s="195" t="s">
        <v>686</v>
      </c>
      <c r="E196" s="196">
        <v>35147.22</v>
      </c>
      <c r="F196" s="159">
        <v>684796.31</v>
      </c>
      <c r="G196" s="157">
        <v>571634.25</v>
      </c>
      <c r="H196" s="196">
        <v>2169139.0499999998</v>
      </c>
      <c r="I196" s="198">
        <v>2133991.83</v>
      </c>
      <c r="J196" s="164">
        <f t="shared" ref="J196:J259" si="8">F196-H196+I196</f>
        <v>649649.09000000032</v>
      </c>
      <c r="K196" s="170" t="str">
        <f t="shared" si="7"/>
        <v>315</v>
      </c>
    </row>
    <row r="197" spans="1:11" x14ac:dyDescent="0.3">
      <c r="A197" s="194">
        <v>315921</v>
      </c>
      <c r="B197" s="195" t="s">
        <v>873</v>
      </c>
      <c r="C197" s="195" t="s">
        <v>685</v>
      </c>
      <c r="D197" s="195" t="s">
        <v>686</v>
      </c>
      <c r="E197" s="196">
        <v>-146045.79</v>
      </c>
      <c r="F197" s="159">
        <v>260549</v>
      </c>
      <c r="G197" s="158">
        <v>287790</v>
      </c>
      <c r="H197" s="196">
        <v>522387</v>
      </c>
      <c r="I197" s="198">
        <v>668432.79</v>
      </c>
      <c r="J197" s="164">
        <f t="shared" si="8"/>
        <v>406594.79000000004</v>
      </c>
      <c r="K197" s="170" t="str">
        <f t="shared" si="7"/>
        <v>315</v>
      </c>
    </row>
    <row r="198" spans="1:11" x14ac:dyDescent="0.3">
      <c r="A198" s="194">
        <v>315922</v>
      </c>
      <c r="B198" s="195" t="s">
        <v>874</v>
      </c>
      <c r="C198" s="195" t="s">
        <v>685</v>
      </c>
      <c r="D198" s="195" t="s">
        <v>686</v>
      </c>
      <c r="E198" s="196">
        <v>105700.26</v>
      </c>
      <c r="F198" s="159">
        <v>146300.26</v>
      </c>
      <c r="G198" s="157">
        <v>174396.63</v>
      </c>
      <c r="H198" s="196">
        <v>324220.46000000002</v>
      </c>
      <c r="I198" s="198">
        <v>218520.2</v>
      </c>
      <c r="J198" s="164">
        <f t="shared" si="8"/>
        <v>40600</v>
      </c>
      <c r="K198" s="170" t="str">
        <f t="shared" si="7"/>
        <v>315</v>
      </c>
    </row>
    <row r="199" spans="1:11" x14ac:dyDescent="0.3">
      <c r="A199" s="194">
        <v>315998</v>
      </c>
      <c r="B199" s="195" t="s">
        <v>875</v>
      </c>
      <c r="C199" s="195" t="s">
        <v>685</v>
      </c>
      <c r="D199" s="195" t="s">
        <v>690</v>
      </c>
      <c r="E199" s="196">
        <v>-106134.37</v>
      </c>
      <c r="F199" s="159">
        <v>1571015.98</v>
      </c>
      <c r="G199" s="158">
        <v>1523503.34</v>
      </c>
      <c r="H199" s="196">
        <v>9381664.0299999993</v>
      </c>
      <c r="I199" s="198">
        <v>9487798.4000000004</v>
      </c>
      <c r="J199" s="165">
        <f t="shared" si="8"/>
        <v>1677150.3500000015</v>
      </c>
      <c r="K199" s="170" t="str">
        <f t="shared" si="7"/>
        <v>315</v>
      </c>
    </row>
    <row r="200" spans="1:11" x14ac:dyDescent="0.3">
      <c r="A200" s="194">
        <v>315999</v>
      </c>
      <c r="B200" s="195" t="s">
        <v>876</v>
      </c>
      <c r="C200" s="195" t="s">
        <v>685</v>
      </c>
      <c r="D200" s="195" t="s">
        <v>690</v>
      </c>
      <c r="E200" s="196">
        <v>-827669.72</v>
      </c>
      <c r="F200" s="159">
        <v>2221236.6</v>
      </c>
      <c r="G200" s="157">
        <v>2885170.62</v>
      </c>
      <c r="H200" s="196">
        <v>76662848.420000002</v>
      </c>
      <c r="I200" s="198">
        <v>77490518.140000001</v>
      </c>
      <c r="J200" s="165">
        <f t="shared" si="8"/>
        <v>3048906.3199999928</v>
      </c>
      <c r="K200" s="170" t="str">
        <f t="shared" si="7"/>
        <v>315</v>
      </c>
    </row>
    <row r="201" spans="1:11" x14ac:dyDescent="0.3">
      <c r="A201" s="194">
        <v>320000</v>
      </c>
      <c r="B201" s="195" t="s">
        <v>348</v>
      </c>
      <c r="C201" s="195" t="s">
        <v>685</v>
      </c>
      <c r="D201" s="195" t="s">
        <v>687</v>
      </c>
      <c r="E201" s="196">
        <v>0</v>
      </c>
      <c r="F201" s="159">
        <v>0</v>
      </c>
      <c r="G201" s="158">
        <v>0</v>
      </c>
      <c r="H201" s="196">
        <v>0</v>
      </c>
      <c r="I201" s="198">
        <v>0</v>
      </c>
      <c r="J201" s="165">
        <f t="shared" si="8"/>
        <v>0</v>
      </c>
      <c r="K201" s="170" t="str">
        <f t="shared" si="7"/>
        <v>320</v>
      </c>
    </row>
    <row r="202" spans="1:11" x14ac:dyDescent="0.3">
      <c r="A202" s="194">
        <v>321000</v>
      </c>
      <c r="B202" s="195" t="s">
        <v>877</v>
      </c>
      <c r="C202" s="195" t="s">
        <v>685</v>
      </c>
      <c r="D202" s="195" t="s">
        <v>687</v>
      </c>
      <c r="E202" s="196">
        <v>0</v>
      </c>
      <c r="F202" s="159">
        <v>0</v>
      </c>
      <c r="G202" s="157">
        <v>0</v>
      </c>
      <c r="H202" s="196">
        <v>0</v>
      </c>
      <c r="I202" s="198">
        <v>0</v>
      </c>
      <c r="J202" s="165">
        <f t="shared" si="8"/>
        <v>0</v>
      </c>
      <c r="K202" s="170" t="str">
        <f t="shared" si="7"/>
        <v>321</v>
      </c>
    </row>
    <row r="203" spans="1:11" x14ac:dyDescent="0.3">
      <c r="A203" s="194">
        <v>321110</v>
      </c>
      <c r="B203" s="195" t="s">
        <v>878</v>
      </c>
      <c r="C203" s="195" t="s">
        <v>685</v>
      </c>
      <c r="D203" s="195" t="s">
        <v>686</v>
      </c>
      <c r="E203" s="196">
        <v>14344.5</v>
      </c>
      <c r="F203" s="159">
        <v>-100143.58</v>
      </c>
      <c r="G203" s="158">
        <v>-37996.879999999997</v>
      </c>
      <c r="H203" s="196">
        <v>6140811.4699999997</v>
      </c>
      <c r="I203" s="198">
        <v>6126466.9699999997</v>
      </c>
      <c r="J203" s="165">
        <f t="shared" si="8"/>
        <v>-114488.08000000007</v>
      </c>
      <c r="K203" s="170" t="str">
        <f t="shared" si="7"/>
        <v>321</v>
      </c>
    </row>
    <row r="204" spans="1:11" x14ac:dyDescent="0.3">
      <c r="A204" s="194">
        <v>321111</v>
      </c>
      <c r="B204" s="195" t="s">
        <v>879</v>
      </c>
      <c r="C204" s="195" t="s">
        <v>685</v>
      </c>
      <c r="D204" s="195" t="s">
        <v>686</v>
      </c>
      <c r="E204" s="196">
        <v>3218439.24</v>
      </c>
      <c r="F204" s="159">
        <v>-1622910.01</v>
      </c>
      <c r="G204" s="157">
        <v>-4215072.03</v>
      </c>
      <c r="H204" s="196">
        <v>42234786.530000001</v>
      </c>
      <c r="I204" s="198">
        <v>39016347.289999999</v>
      </c>
      <c r="J204" s="165">
        <f t="shared" si="8"/>
        <v>-4841349.25</v>
      </c>
      <c r="K204" s="170" t="str">
        <f t="shared" si="7"/>
        <v>321</v>
      </c>
    </row>
    <row r="205" spans="1:11" x14ac:dyDescent="0.3">
      <c r="A205" s="194">
        <v>321112</v>
      </c>
      <c r="B205" s="195" t="s">
        <v>880</v>
      </c>
      <c r="C205" s="195" t="s">
        <v>685</v>
      </c>
      <c r="D205" s="195" t="s">
        <v>686</v>
      </c>
      <c r="E205" s="196">
        <v>327417.62</v>
      </c>
      <c r="F205" s="159">
        <v>-546211.29</v>
      </c>
      <c r="G205" s="158">
        <v>-163031.23000000001</v>
      </c>
      <c r="H205" s="196">
        <v>6788020.4500000002</v>
      </c>
      <c r="I205" s="198">
        <v>6460602.8300000001</v>
      </c>
      <c r="J205" s="165">
        <f t="shared" si="8"/>
        <v>-873628.91000000015</v>
      </c>
      <c r="K205" s="170" t="str">
        <f t="shared" si="7"/>
        <v>321</v>
      </c>
    </row>
    <row r="206" spans="1:11" x14ac:dyDescent="0.3">
      <c r="A206" s="194">
        <v>321130</v>
      </c>
      <c r="B206" s="195" t="s">
        <v>881</v>
      </c>
      <c r="C206" s="195" t="s">
        <v>685</v>
      </c>
      <c r="D206" s="195" t="s">
        <v>686</v>
      </c>
      <c r="E206" s="196">
        <v>-26166.74</v>
      </c>
      <c r="F206" s="159">
        <v>-61506.37</v>
      </c>
      <c r="G206" s="157">
        <v>-21941.57</v>
      </c>
      <c r="H206" s="196">
        <v>1405556.33</v>
      </c>
      <c r="I206" s="198">
        <v>1431723.07</v>
      </c>
      <c r="J206" s="165">
        <f t="shared" si="8"/>
        <v>-35339.630000000121</v>
      </c>
      <c r="K206" s="170" t="str">
        <f t="shared" si="7"/>
        <v>321</v>
      </c>
    </row>
    <row r="207" spans="1:11" x14ac:dyDescent="0.3">
      <c r="A207" s="194">
        <v>321211</v>
      </c>
      <c r="B207" s="195" t="s">
        <v>882</v>
      </c>
      <c r="C207" s="195" t="s">
        <v>685</v>
      </c>
      <c r="D207" s="195" t="s">
        <v>686</v>
      </c>
      <c r="E207" s="196">
        <v>0</v>
      </c>
      <c r="F207" s="159">
        <v>0</v>
      </c>
      <c r="G207" s="158">
        <v>0</v>
      </c>
      <c r="H207" s="196">
        <v>0</v>
      </c>
      <c r="I207" s="198">
        <v>0</v>
      </c>
      <c r="J207" s="165">
        <f t="shared" si="8"/>
        <v>0</v>
      </c>
      <c r="K207" s="170" t="str">
        <f t="shared" si="7"/>
        <v>321</v>
      </c>
    </row>
    <row r="208" spans="1:11" x14ac:dyDescent="0.3">
      <c r="A208" s="194">
        <v>321212</v>
      </c>
      <c r="B208" s="195" t="s">
        <v>883</v>
      </c>
      <c r="C208" s="195" t="s">
        <v>685</v>
      </c>
      <c r="D208" s="195" t="s">
        <v>686</v>
      </c>
      <c r="E208" s="196">
        <v>0</v>
      </c>
      <c r="F208" s="159">
        <v>0</v>
      </c>
      <c r="G208" s="157">
        <v>0</v>
      </c>
      <c r="H208" s="196">
        <v>24.39</v>
      </c>
      <c r="I208" s="198">
        <v>24.39</v>
      </c>
      <c r="J208" s="165">
        <f t="shared" si="8"/>
        <v>0</v>
      </c>
      <c r="K208" s="170" t="str">
        <f t="shared" si="7"/>
        <v>321</v>
      </c>
    </row>
    <row r="209" spans="1:11" x14ac:dyDescent="0.3">
      <c r="A209" s="194">
        <v>321219</v>
      </c>
      <c r="B209" s="195" t="s">
        <v>884</v>
      </c>
      <c r="C209" s="195" t="s">
        <v>685</v>
      </c>
      <c r="D209" s="195" t="s">
        <v>686</v>
      </c>
      <c r="E209" s="196">
        <v>-40869.65</v>
      </c>
      <c r="F209" s="159">
        <v>-7862.99</v>
      </c>
      <c r="G209" s="158">
        <v>552643.48</v>
      </c>
      <c r="H209" s="196">
        <v>7234231.6200000001</v>
      </c>
      <c r="I209" s="198">
        <v>7275101.2699999996</v>
      </c>
      <c r="J209" s="165">
        <f t="shared" si="8"/>
        <v>33006.659999999218</v>
      </c>
      <c r="K209" s="170" t="str">
        <f t="shared" si="7"/>
        <v>321</v>
      </c>
    </row>
    <row r="210" spans="1:11" x14ac:dyDescent="0.3">
      <c r="A210" s="194">
        <v>321230</v>
      </c>
      <c r="B210" s="195" t="s">
        <v>885</v>
      </c>
      <c r="C210" s="195" t="s">
        <v>685</v>
      </c>
      <c r="D210" s="195" t="s">
        <v>686</v>
      </c>
      <c r="E210" s="196">
        <v>40686.15</v>
      </c>
      <c r="F210" s="159">
        <v>-59224.54</v>
      </c>
      <c r="G210" s="157">
        <v>-23.08</v>
      </c>
      <c r="H210" s="196">
        <v>449076.01</v>
      </c>
      <c r="I210" s="198">
        <v>408389.86</v>
      </c>
      <c r="J210" s="165">
        <f t="shared" si="8"/>
        <v>-99910.69</v>
      </c>
      <c r="K210" s="170" t="str">
        <f t="shared" si="7"/>
        <v>321</v>
      </c>
    </row>
    <row r="211" spans="1:11" x14ac:dyDescent="0.3">
      <c r="A211" s="194">
        <v>321999</v>
      </c>
      <c r="B211" s="195" t="s">
        <v>886</v>
      </c>
      <c r="C211" s="195" t="s">
        <v>685</v>
      </c>
      <c r="D211" s="195" t="s">
        <v>690</v>
      </c>
      <c r="E211" s="196">
        <v>3533851.12</v>
      </c>
      <c r="F211" s="159">
        <v>-2397858.7799999998</v>
      </c>
      <c r="G211" s="158">
        <v>-3885421.31</v>
      </c>
      <c r="H211" s="196">
        <v>64252506.799999997</v>
      </c>
      <c r="I211" s="198">
        <v>60718655.68</v>
      </c>
      <c r="J211" s="165">
        <f t="shared" si="8"/>
        <v>-5931709.8999999985</v>
      </c>
      <c r="K211" s="170" t="str">
        <f t="shared" si="7"/>
        <v>321</v>
      </c>
    </row>
    <row r="212" spans="1:11" x14ac:dyDescent="0.3">
      <c r="A212" s="194">
        <v>322000</v>
      </c>
      <c r="B212" s="195" t="s">
        <v>887</v>
      </c>
      <c r="C212" s="195" t="s">
        <v>685</v>
      </c>
      <c r="D212" s="195" t="s">
        <v>687</v>
      </c>
      <c r="E212" s="196">
        <v>0</v>
      </c>
      <c r="F212" s="159">
        <v>0</v>
      </c>
      <c r="G212" s="157">
        <v>0</v>
      </c>
      <c r="H212" s="196">
        <v>0</v>
      </c>
      <c r="I212" s="198">
        <v>0</v>
      </c>
      <c r="J212" s="165">
        <f t="shared" si="8"/>
        <v>0</v>
      </c>
      <c r="K212" s="170" t="str">
        <f t="shared" si="7"/>
        <v>322</v>
      </c>
    </row>
    <row r="213" spans="1:11" x14ac:dyDescent="0.3">
      <c r="A213" s="194">
        <v>322999</v>
      </c>
      <c r="B213" s="195" t="s">
        <v>888</v>
      </c>
      <c r="C213" s="195" t="s">
        <v>685</v>
      </c>
      <c r="D213" s="195" t="s">
        <v>690</v>
      </c>
      <c r="E213" s="196">
        <v>0</v>
      </c>
      <c r="F213" s="159">
        <v>0</v>
      </c>
      <c r="G213" s="158">
        <v>0</v>
      </c>
      <c r="H213" s="196">
        <v>0</v>
      </c>
      <c r="I213" s="198">
        <v>0</v>
      </c>
      <c r="J213" s="165">
        <f t="shared" si="8"/>
        <v>0</v>
      </c>
      <c r="K213" s="170" t="str">
        <f t="shared" si="7"/>
        <v>322</v>
      </c>
    </row>
    <row r="214" spans="1:11" x14ac:dyDescent="0.3">
      <c r="A214" s="194">
        <v>323000</v>
      </c>
      <c r="B214" s="195" t="s">
        <v>889</v>
      </c>
      <c r="C214" s="195" t="s">
        <v>685</v>
      </c>
      <c r="D214" s="195" t="s">
        <v>687</v>
      </c>
      <c r="E214" s="196">
        <v>0</v>
      </c>
      <c r="F214" s="159">
        <v>0</v>
      </c>
      <c r="G214" s="157">
        <v>0</v>
      </c>
      <c r="H214" s="196">
        <v>0</v>
      </c>
      <c r="I214" s="198">
        <v>0</v>
      </c>
      <c r="J214" s="165">
        <f t="shared" si="8"/>
        <v>0</v>
      </c>
      <c r="K214" s="170" t="str">
        <f t="shared" si="7"/>
        <v>323</v>
      </c>
    </row>
    <row r="215" spans="1:11" x14ac:dyDescent="0.3">
      <c r="A215" s="194">
        <v>323100</v>
      </c>
      <c r="B215" s="195" t="s">
        <v>889</v>
      </c>
      <c r="C215" s="195" t="s">
        <v>685</v>
      </c>
      <c r="D215" s="195" t="s">
        <v>686</v>
      </c>
      <c r="E215" s="196">
        <v>-2519.21</v>
      </c>
      <c r="F215" s="159">
        <v>-62101.57</v>
      </c>
      <c r="G215" s="158">
        <v>-126031.75</v>
      </c>
      <c r="H215" s="196">
        <v>1133097.0900000001</v>
      </c>
      <c r="I215" s="198">
        <v>1135616.3</v>
      </c>
      <c r="J215" s="165">
        <f t="shared" si="8"/>
        <v>-59582.360000000102</v>
      </c>
      <c r="K215" s="170" t="str">
        <f t="shared" si="7"/>
        <v>323</v>
      </c>
    </row>
    <row r="216" spans="1:11" x14ac:dyDescent="0.3">
      <c r="A216" s="194">
        <v>323200</v>
      </c>
      <c r="B216" s="195" t="s">
        <v>890</v>
      </c>
      <c r="C216" s="195" t="s">
        <v>685</v>
      </c>
      <c r="D216" s="195" t="s">
        <v>686</v>
      </c>
      <c r="E216" s="196">
        <v>0</v>
      </c>
      <c r="F216" s="159">
        <v>0</v>
      </c>
      <c r="G216" s="157">
        <v>-25851</v>
      </c>
      <c r="H216" s="196">
        <v>326388</v>
      </c>
      <c r="I216" s="198">
        <v>326388</v>
      </c>
      <c r="J216" s="165">
        <f t="shared" si="8"/>
        <v>0</v>
      </c>
      <c r="K216" s="170" t="str">
        <f t="shared" si="7"/>
        <v>323</v>
      </c>
    </row>
    <row r="217" spans="1:11" x14ac:dyDescent="0.3">
      <c r="A217" s="194">
        <v>323450</v>
      </c>
      <c r="B217" s="195" t="s">
        <v>891</v>
      </c>
      <c r="C217" s="195" t="s">
        <v>685</v>
      </c>
      <c r="D217" s="195" t="s">
        <v>686</v>
      </c>
      <c r="E217" s="196">
        <v>19440.669999999998</v>
      </c>
      <c r="F217" s="159">
        <v>-113112.54</v>
      </c>
      <c r="G217" s="158">
        <v>-103941.92</v>
      </c>
      <c r="H217" s="196">
        <v>111914.58</v>
      </c>
      <c r="I217" s="198">
        <v>92473.91</v>
      </c>
      <c r="J217" s="165">
        <f t="shared" si="8"/>
        <v>-132553.21</v>
      </c>
      <c r="K217" s="170" t="str">
        <f t="shared" si="7"/>
        <v>323</v>
      </c>
    </row>
    <row r="218" spans="1:11" x14ac:dyDescent="0.3">
      <c r="A218" s="194">
        <v>323500</v>
      </c>
      <c r="B218" s="195" t="s">
        <v>200</v>
      </c>
      <c r="C218" s="195" t="s">
        <v>685</v>
      </c>
      <c r="D218" s="195" t="s">
        <v>686</v>
      </c>
      <c r="E218" s="196">
        <v>-8015</v>
      </c>
      <c r="F218" s="159">
        <v>-158854</v>
      </c>
      <c r="G218" s="157">
        <v>-29954</v>
      </c>
      <c r="H218" s="196">
        <v>286001.55</v>
      </c>
      <c r="I218" s="198">
        <v>294016.55</v>
      </c>
      <c r="J218" s="165">
        <f t="shared" si="8"/>
        <v>-150839</v>
      </c>
      <c r="K218" s="170" t="str">
        <f t="shared" si="7"/>
        <v>323</v>
      </c>
    </row>
    <row r="219" spans="1:11" x14ac:dyDescent="0.3">
      <c r="A219" s="194">
        <v>323510</v>
      </c>
      <c r="B219" s="195" t="s">
        <v>892</v>
      </c>
      <c r="C219" s="195" t="s">
        <v>685</v>
      </c>
      <c r="D219" s="195" t="s">
        <v>686</v>
      </c>
      <c r="E219" s="196">
        <v>0</v>
      </c>
      <c r="F219" s="159">
        <v>0</v>
      </c>
      <c r="G219" s="158">
        <v>0</v>
      </c>
      <c r="H219" s="196">
        <v>0</v>
      </c>
      <c r="I219" s="198">
        <v>0</v>
      </c>
      <c r="J219" s="165">
        <f t="shared" si="8"/>
        <v>0</v>
      </c>
      <c r="K219" s="170" t="str">
        <f t="shared" si="7"/>
        <v>323</v>
      </c>
    </row>
    <row r="220" spans="1:11" x14ac:dyDescent="0.3">
      <c r="A220" s="194">
        <v>323600</v>
      </c>
      <c r="B220" s="195" t="s">
        <v>893</v>
      </c>
      <c r="C220" s="195" t="s">
        <v>685</v>
      </c>
      <c r="D220" s="195" t="s">
        <v>686</v>
      </c>
      <c r="E220" s="196">
        <v>-20991.62</v>
      </c>
      <c r="F220" s="159">
        <v>-57187</v>
      </c>
      <c r="G220" s="157">
        <v>-16792</v>
      </c>
      <c r="H220" s="196">
        <v>76758.13</v>
      </c>
      <c r="I220" s="198">
        <v>97749.75</v>
      </c>
      <c r="J220" s="165">
        <f t="shared" si="8"/>
        <v>-36195.380000000005</v>
      </c>
      <c r="K220" s="170" t="str">
        <f t="shared" si="7"/>
        <v>323</v>
      </c>
    </row>
    <row r="221" spans="1:11" x14ac:dyDescent="0.3">
      <c r="A221" s="194">
        <v>323999</v>
      </c>
      <c r="B221" s="195" t="s">
        <v>894</v>
      </c>
      <c r="C221" s="195" t="s">
        <v>685</v>
      </c>
      <c r="D221" s="195" t="s">
        <v>690</v>
      </c>
      <c r="E221" s="196">
        <v>-12085.16</v>
      </c>
      <c r="F221" s="159">
        <v>-391255.11</v>
      </c>
      <c r="G221" s="158">
        <v>-302570.67</v>
      </c>
      <c r="H221" s="196">
        <v>1934159.35</v>
      </c>
      <c r="I221" s="198">
        <v>1946244.51</v>
      </c>
      <c r="J221" s="165">
        <f t="shared" si="8"/>
        <v>-379169.94999999995</v>
      </c>
      <c r="K221" s="170" t="str">
        <f t="shared" si="7"/>
        <v>323</v>
      </c>
    </row>
    <row r="222" spans="1:11" x14ac:dyDescent="0.3">
      <c r="A222" s="194">
        <v>324000</v>
      </c>
      <c r="B222" s="195" t="s">
        <v>895</v>
      </c>
      <c r="C222" s="195" t="s">
        <v>685</v>
      </c>
      <c r="D222" s="195" t="s">
        <v>687</v>
      </c>
      <c r="E222" s="196">
        <v>0</v>
      </c>
      <c r="F222" s="159">
        <v>0</v>
      </c>
      <c r="G222" s="157">
        <v>0</v>
      </c>
      <c r="H222" s="196">
        <v>0</v>
      </c>
      <c r="I222" s="198">
        <v>0</v>
      </c>
      <c r="J222" s="165">
        <f t="shared" si="8"/>
        <v>0</v>
      </c>
      <c r="K222" s="170" t="str">
        <f t="shared" si="7"/>
        <v>324</v>
      </c>
    </row>
    <row r="223" spans="1:11" x14ac:dyDescent="0.3">
      <c r="A223" s="194">
        <v>324100</v>
      </c>
      <c r="B223" s="195" t="s">
        <v>895</v>
      </c>
      <c r="C223" s="195" t="s">
        <v>685</v>
      </c>
      <c r="D223" s="195" t="s">
        <v>686</v>
      </c>
      <c r="E223" s="196">
        <v>25939.17</v>
      </c>
      <c r="F223" s="159">
        <v>-581052.30000000005</v>
      </c>
      <c r="G223" s="158">
        <v>-587547.57999999996</v>
      </c>
      <c r="H223" s="196">
        <v>21824658.629999999</v>
      </c>
      <c r="I223" s="198">
        <v>21798719.460000001</v>
      </c>
      <c r="J223" s="165">
        <f t="shared" si="8"/>
        <v>-606991.46999999881</v>
      </c>
      <c r="K223" s="170" t="str">
        <f t="shared" si="7"/>
        <v>324</v>
      </c>
    </row>
    <row r="224" spans="1:11" x14ac:dyDescent="0.3">
      <c r="A224" s="194">
        <v>324999</v>
      </c>
      <c r="B224" s="195" t="s">
        <v>896</v>
      </c>
      <c r="C224" s="195" t="s">
        <v>685</v>
      </c>
      <c r="D224" s="195" t="s">
        <v>690</v>
      </c>
      <c r="E224" s="196">
        <v>25939.17</v>
      </c>
      <c r="F224" s="159">
        <v>-581052.30000000005</v>
      </c>
      <c r="G224" s="157">
        <v>-587547.57999999996</v>
      </c>
      <c r="H224" s="196">
        <v>21824658.629999999</v>
      </c>
      <c r="I224" s="198">
        <v>21798719.460000001</v>
      </c>
      <c r="J224" s="165">
        <f t="shared" si="8"/>
        <v>-606991.46999999881</v>
      </c>
      <c r="K224" s="170" t="str">
        <f t="shared" si="7"/>
        <v>324</v>
      </c>
    </row>
    <row r="225" spans="1:11" x14ac:dyDescent="0.3">
      <c r="A225" s="194">
        <v>325000</v>
      </c>
      <c r="B225" s="195" t="s">
        <v>897</v>
      </c>
      <c r="C225" s="195" t="s">
        <v>685</v>
      </c>
      <c r="D225" s="195" t="s">
        <v>687</v>
      </c>
      <c r="E225" s="196">
        <v>0</v>
      </c>
      <c r="F225" s="159">
        <v>0</v>
      </c>
      <c r="G225" s="158">
        <v>0</v>
      </c>
      <c r="H225" s="196">
        <v>0</v>
      </c>
      <c r="I225" s="198">
        <v>0</v>
      </c>
      <c r="J225" s="165">
        <f t="shared" si="8"/>
        <v>0</v>
      </c>
      <c r="K225" s="170" t="str">
        <f t="shared" si="7"/>
        <v>325</v>
      </c>
    </row>
    <row r="226" spans="1:11" x14ac:dyDescent="0.3">
      <c r="A226" s="194">
        <v>325100</v>
      </c>
      <c r="B226" s="195" t="s">
        <v>897</v>
      </c>
      <c r="C226" s="195" t="s">
        <v>685</v>
      </c>
      <c r="D226" s="195" t="s">
        <v>686</v>
      </c>
      <c r="E226" s="196">
        <v>49325.83</v>
      </c>
      <c r="F226" s="159">
        <v>0</v>
      </c>
      <c r="G226" s="157">
        <v>-6519.87</v>
      </c>
      <c r="H226" s="196">
        <v>67168.19</v>
      </c>
      <c r="I226" s="198">
        <v>17842.36</v>
      </c>
      <c r="J226" s="165">
        <f t="shared" si="8"/>
        <v>-49325.83</v>
      </c>
      <c r="K226" s="170" t="str">
        <f t="shared" si="7"/>
        <v>325</v>
      </c>
    </row>
    <row r="227" spans="1:11" x14ac:dyDescent="0.3">
      <c r="A227" s="194">
        <v>325200</v>
      </c>
      <c r="B227" s="195" t="s">
        <v>898</v>
      </c>
      <c r="C227" s="195" t="s">
        <v>685</v>
      </c>
      <c r="D227" s="195" t="s">
        <v>686</v>
      </c>
      <c r="E227" s="196">
        <v>-12756.71</v>
      </c>
      <c r="F227" s="159">
        <v>-83207.789999999994</v>
      </c>
      <c r="G227" s="158">
        <v>-83207.789999999994</v>
      </c>
      <c r="H227" s="196">
        <v>20451.080000000002</v>
      </c>
      <c r="I227" s="198">
        <v>33207.79</v>
      </c>
      <c r="J227" s="165">
        <f t="shared" si="8"/>
        <v>-70451.079999999987</v>
      </c>
      <c r="K227" s="170" t="str">
        <f t="shared" si="7"/>
        <v>325</v>
      </c>
    </row>
    <row r="228" spans="1:11" x14ac:dyDescent="0.3">
      <c r="A228" s="194">
        <v>325300</v>
      </c>
      <c r="B228" s="195" t="s">
        <v>899</v>
      </c>
      <c r="C228" s="195" t="s">
        <v>685</v>
      </c>
      <c r="D228" s="195" t="s">
        <v>686</v>
      </c>
      <c r="E228" s="196">
        <v>-36098.660000000003</v>
      </c>
      <c r="F228" s="159">
        <v>-423606.41</v>
      </c>
      <c r="G228" s="157">
        <v>-543413.68999999994</v>
      </c>
      <c r="H228" s="196">
        <v>1568376.17</v>
      </c>
      <c r="I228" s="198">
        <v>1604474.83</v>
      </c>
      <c r="J228" s="165">
        <f t="shared" si="8"/>
        <v>-387507.74999999977</v>
      </c>
      <c r="K228" s="170" t="str">
        <f t="shared" si="7"/>
        <v>325</v>
      </c>
    </row>
    <row r="229" spans="1:11" x14ac:dyDescent="0.3">
      <c r="A229" s="194">
        <v>325400</v>
      </c>
      <c r="B229" s="195" t="s">
        <v>900</v>
      </c>
      <c r="C229" s="195" t="s">
        <v>685</v>
      </c>
      <c r="D229" s="195" t="s">
        <v>686</v>
      </c>
      <c r="E229" s="196">
        <v>18811.61</v>
      </c>
      <c r="F229" s="159">
        <v>-55535.69</v>
      </c>
      <c r="G229" s="158">
        <v>-58949.69</v>
      </c>
      <c r="H229" s="196">
        <v>42313.55</v>
      </c>
      <c r="I229" s="198">
        <v>23501.94</v>
      </c>
      <c r="J229" s="165">
        <f t="shared" si="8"/>
        <v>-74347.3</v>
      </c>
      <c r="K229" s="170" t="str">
        <f t="shared" si="7"/>
        <v>325</v>
      </c>
    </row>
    <row r="230" spans="1:11" x14ac:dyDescent="0.3">
      <c r="A230" s="194">
        <v>325500</v>
      </c>
      <c r="B230" s="195" t="s">
        <v>901</v>
      </c>
      <c r="C230" s="195" t="s">
        <v>685</v>
      </c>
      <c r="D230" s="195" t="s">
        <v>686</v>
      </c>
      <c r="E230" s="196">
        <v>683.62</v>
      </c>
      <c r="F230" s="159">
        <v>-313608.14</v>
      </c>
      <c r="G230" s="157">
        <v>-404238.01</v>
      </c>
      <c r="H230" s="196">
        <v>1448220.04</v>
      </c>
      <c r="I230" s="198">
        <v>1447536.42</v>
      </c>
      <c r="J230" s="165">
        <f t="shared" si="8"/>
        <v>-314291.76000000024</v>
      </c>
      <c r="K230" s="170" t="str">
        <f t="shared" si="7"/>
        <v>325</v>
      </c>
    </row>
    <row r="231" spans="1:11" x14ac:dyDescent="0.3">
      <c r="A231" s="194">
        <v>325999</v>
      </c>
      <c r="B231" s="195" t="s">
        <v>902</v>
      </c>
      <c r="C231" s="195" t="s">
        <v>685</v>
      </c>
      <c r="D231" s="195" t="s">
        <v>690</v>
      </c>
      <c r="E231" s="196">
        <v>19965.689999999999</v>
      </c>
      <c r="F231" s="159">
        <v>-875958.03</v>
      </c>
      <c r="G231" s="158">
        <v>-1096329.05</v>
      </c>
      <c r="H231" s="196">
        <v>3146529.03</v>
      </c>
      <c r="I231" s="198">
        <v>3126563.34</v>
      </c>
      <c r="J231" s="165">
        <f t="shared" si="8"/>
        <v>-895923.71999999974</v>
      </c>
      <c r="K231" s="170" t="str">
        <f t="shared" si="7"/>
        <v>325</v>
      </c>
    </row>
    <row r="232" spans="1:11" x14ac:dyDescent="0.3">
      <c r="A232" s="194">
        <v>326000</v>
      </c>
      <c r="B232" s="195" t="s">
        <v>198</v>
      </c>
      <c r="C232" s="195" t="s">
        <v>685</v>
      </c>
      <c r="D232" s="195" t="s">
        <v>687</v>
      </c>
      <c r="E232" s="196">
        <v>0</v>
      </c>
      <c r="F232" s="159">
        <v>0</v>
      </c>
      <c r="G232" s="157">
        <v>0</v>
      </c>
      <c r="H232" s="196">
        <v>0</v>
      </c>
      <c r="I232" s="198">
        <v>0</v>
      </c>
      <c r="J232" s="165">
        <f t="shared" si="8"/>
        <v>0</v>
      </c>
      <c r="K232" s="170" t="str">
        <f t="shared" si="7"/>
        <v>326</v>
      </c>
    </row>
    <row r="233" spans="1:11" x14ac:dyDescent="0.3">
      <c r="A233" s="194">
        <v>326100</v>
      </c>
      <c r="B233" s="195" t="s">
        <v>198</v>
      </c>
      <c r="C233" s="195" t="s">
        <v>685</v>
      </c>
      <c r="D233" s="195" t="s">
        <v>686</v>
      </c>
      <c r="E233" s="196">
        <v>1231.19</v>
      </c>
      <c r="F233" s="159">
        <v>-36310.550000000003</v>
      </c>
      <c r="G233" s="158">
        <v>0</v>
      </c>
      <c r="H233" s="196">
        <v>64758.13</v>
      </c>
      <c r="I233" s="198">
        <v>63526.94</v>
      </c>
      <c r="J233" s="165">
        <f t="shared" si="8"/>
        <v>-37541.739999999991</v>
      </c>
      <c r="K233" s="170" t="str">
        <f t="shared" si="7"/>
        <v>326</v>
      </c>
    </row>
    <row r="234" spans="1:11" x14ac:dyDescent="0.3">
      <c r="A234" s="194">
        <v>326999</v>
      </c>
      <c r="B234" s="195" t="s">
        <v>903</v>
      </c>
      <c r="C234" s="195" t="s">
        <v>685</v>
      </c>
      <c r="D234" s="195" t="s">
        <v>690</v>
      </c>
      <c r="E234" s="196">
        <v>1231.19</v>
      </c>
      <c r="F234" s="159">
        <v>-36310.550000000003</v>
      </c>
      <c r="G234" s="157">
        <v>0</v>
      </c>
      <c r="H234" s="196">
        <v>64758.13</v>
      </c>
      <c r="I234" s="198">
        <v>63526.94</v>
      </c>
      <c r="J234" s="165">
        <f t="shared" si="8"/>
        <v>-37541.739999999991</v>
      </c>
      <c r="K234" s="170" t="str">
        <f t="shared" si="7"/>
        <v>326</v>
      </c>
    </row>
    <row r="235" spans="1:11" x14ac:dyDescent="0.3">
      <c r="A235" s="194">
        <v>329999</v>
      </c>
      <c r="B235" s="195" t="s">
        <v>904</v>
      </c>
      <c r="C235" s="195" t="s">
        <v>685</v>
      </c>
      <c r="D235" s="195" t="s">
        <v>690</v>
      </c>
      <c r="E235" s="196">
        <v>3568902.01</v>
      </c>
      <c r="F235" s="159">
        <v>-4282434.7699999996</v>
      </c>
      <c r="G235" s="158">
        <v>-5871868.6100000003</v>
      </c>
      <c r="H235" s="196">
        <v>91222611.939999998</v>
      </c>
      <c r="I235" s="198">
        <v>87653709.930000007</v>
      </c>
      <c r="J235" s="165">
        <f t="shared" si="8"/>
        <v>-7851336.7799999863</v>
      </c>
      <c r="K235" s="170" t="str">
        <f t="shared" si="7"/>
        <v>329</v>
      </c>
    </row>
    <row r="236" spans="1:11" x14ac:dyDescent="0.3">
      <c r="A236" s="194">
        <v>330000</v>
      </c>
      <c r="B236" s="195" t="s">
        <v>905</v>
      </c>
      <c r="C236" s="195" t="s">
        <v>685</v>
      </c>
      <c r="D236" s="195" t="s">
        <v>687</v>
      </c>
      <c r="E236" s="196">
        <v>0</v>
      </c>
      <c r="F236" s="159">
        <v>0</v>
      </c>
      <c r="G236" s="157">
        <v>0</v>
      </c>
      <c r="H236" s="196">
        <v>0</v>
      </c>
      <c r="I236" s="198">
        <v>0</v>
      </c>
      <c r="J236" s="165">
        <f t="shared" si="8"/>
        <v>0</v>
      </c>
      <c r="K236" s="170" t="str">
        <f t="shared" si="7"/>
        <v>330</v>
      </c>
    </row>
    <row r="237" spans="1:11" x14ac:dyDescent="0.3">
      <c r="A237" s="194">
        <v>331000</v>
      </c>
      <c r="B237" s="195" t="s">
        <v>906</v>
      </c>
      <c r="C237" s="195" t="s">
        <v>685</v>
      </c>
      <c r="D237" s="195" t="s">
        <v>687</v>
      </c>
      <c r="E237" s="196">
        <v>0</v>
      </c>
      <c r="F237" s="159">
        <v>0</v>
      </c>
      <c r="G237" s="158">
        <v>0</v>
      </c>
      <c r="H237" s="196">
        <v>0</v>
      </c>
      <c r="I237" s="198">
        <v>0</v>
      </c>
      <c r="J237" s="165">
        <f t="shared" si="8"/>
        <v>0</v>
      </c>
      <c r="K237" s="170" t="str">
        <f t="shared" si="7"/>
        <v>331</v>
      </c>
    </row>
    <row r="238" spans="1:11" x14ac:dyDescent="0.3">
      <c r="A238" s="194">
        <v>331100</v>
      </c>
      <c r="B238" s="195" t="s">
        <v>906</v>
      </c>
      <c r="C238" s="195" t="s">
        <v>685</v>
      </c>
      <c r="D238" s="195" t="s">
        <v>686</v>
      </c>
      <c r="E238" s="196">
        <v>2213.9499999999998</v>
      </c>
      <c r="F238" s="159">
        <v>-142079.17000000001</v>
      </c>
      <c r="G238" s="157">
        <v>0</v>
      </c>
      <c r="H238" s="196">
        <v>2401333.61</v>
      </c>
      <c r="I238" s="198">
        <v>2399119.66</v>
      </c>
      <c r="J238" s="165">
        <f t="shared" si="8"/>
        <v>-144293.11999999965</v>
      </c>
      <c r="K238" s="170" t="str">
        <f t="shared" si="7"/>
        <v>331</v>
      </c>
    </row>
    <row r="239" spans="1:11" x14ac:dyDescent="0.3">
      <c r="A239" s="194">
        <v>331999</v>
      </c>
      <c r="B239" s="195" t="s">
        <v>907</v>
      </c>
      <c r="C239" s="195" t="s">
        <v>685</v>
      </c>
      <c r="D239" s="195" t="s">
        <v>690</v>
      </c>
      <c r="E239" s="196">
        <v>2213.9499999999998</v>
      </c>
      <c r="F239" s="159">
        <v>-142079.17000000001</v>
      </c>
      <c r="G239" s="158">
        <v>0</v>
      </c>
      <c r="H239" s="196">
        <v>2401333.61</v>
      </c>
      <c r="I239" s="198">
        <v>2399119.66</v>
      </c>
      <c r="J239" s="165">
        <f t="shared" si="8"/>
        <v>-144293.11999999965</v>
      </c>
      <c r="K239" s="170" t="str">
        <f t="shared" si="7"/>
        <v>331</v>
      </c>
    </row>
    <row r="240" spans="1:11" x14ac:dyDescent="0.3">
      <c r="A240" s="194">
        <v>333000</v>
      </c>
      <c r="B240" s="195" t="s">
        <v>908</v>
      </c>
      <c r="C240" s="195" t="s">
        <v>685</v>
      </c>
      <c r="D240" s="195" t="s">
        <v>687</v>
      </c>
      <c r="E240" s="196">
        <v>0</v>
      </c>
      <c r="F240" s="159">
        <v>0</v>
      </c>
      <c r="G240" s="157">
        <v>0</v>
      </c>
      <c r="H240" s="196">
        <v>0</v>
      </c>
      <c r="I240" s="198">
        <v>0</v>
      </c>
      <c r="J240" s="165">
        <f t="shared" si="8"/>
        <v>0</v>
      </c>
      <c r="K240" s="170" t="str">
        <f t="shared" si="7"/>
        <v>333</v>
      </c>
    </row>
    <row r="241" spans="1:11" x14ac:dyDescent="0.3">
      <c r="A241" s="194">
        <v>333100</v>
      </c>
      <c r="B241" s="195" t="s">
        <v>908</v>
      </c>
      <c r="C241" s="195" t="s">
        <v>685</v>
      </c>
      <c r="D241" s="195" t="s">
        <v>686</v>
      </c>
      <c r="E241" s="196">
        <v>3575</v>
      </c>
      <c r="F241" s="159">
        <v>0</v>
      </c>
      <c r="G241" s="158">
        <v>0</v>
      </c>
      <c r="H241" s="196">
        <v>21540.38</v>
      </c>
      <c r="I241" s="198">
        <v>17965.38</v>
      </c>
      <c r="J241" s="165">
        <f t="shared" si="8"/>
        <v>-3575</v>
      </c>
      <c r="K241" s="170" t="str">
        <f t="shared" si="7"/>
        <v>333</v>
      </c>
    </row>
    <row r="242" spans="1:11" x14ac:dyDescent="0.3">
      <c r="A242" s="194">
        <v>333200</v>
      </c>
      <c r="B242" s="195" t="s">
        <v>909</v>
      </c>
      <c r="C242" s="195" t="s">
        <v>685</v>
      </c>
      <c r="D242" s="195" t="s">
        <v>686</v>
      </c>
      <c r="E242" s="196">
        <v>0</v>
      </c>
      <c r="F242" s="159">
        <v>0</v>
      </c>
      <c r="G242" s="157">
        <v>0</v>
      </c>
      <c r="H242" s="196">
        <v>0</v>
      </c>
      <c r="I242" s="198">
        <v>0</v>
      </c>
      <c r="J242" s="165">
        <f t="shared" si="8"/>
        <v>0</v>
      </c>
      <c r="K242" s="170" t="str">
        <f t="shared" si="7"/>
        <v>333</v>
      </c>
    </row>
    <row r="243" spans="1:11" x14ac:dyDescent="0.3">
      <c r="A243" s="194">
        <v>333300</v>
      </c>
      <c r="B243" s="195" t="s">
        <v>910</v>
      </c>
      <c r="C243" s="195" t="s">
        <v>685</v>
      </c>
      <c r="D243" s="195" t="s">
        <v>686</v>
      </c>
      <c r="E243" s="196">
        <v>0</v>
      </c>
      <c r="F243" s="159">
        <v>0</v>
      </c>
      <c r="G243" s="158">
        <v>0</v>
      </c>
      <c r="H243" s="196">
        <v>71.819999999999993</v>
      </c>
      <c r="I243" s="198">
        <v>71.819999999999993</v>
      </c>
      <c r="J243" s="165">
        <f t="shared" si="8"/>
        <v>0</v>
      </c>
      <c r="K243" s="170" t="str">
        <f t="shared" si="7"/>
        <v>333</v>
      </c>
    </row>
    <row r="244" spans="1:11" x14ac:dyDescent="0.3">
      <c r="A244" s="194">
        <v>333999</v>
      </c>
      <c r="B244" s="195" t="s">
        <v>911</v>
      </c>
      <c r="C244" s="195" t="s">
        <v>685</v>
      </c>
      <c r="D244" s="195" t="s">
        <v>690</v>
      </c>
      <c r="E244" s="196">
        <v>3575</v>
      </c>
      <c r="F244" s="159">
        <v>0</v>
      </c>
      <c r="G244" s="157">
        <v>0</v>
      </c>
      <c r="H244" s="196">
        <v>21612.2</v>
      </c>
      <c r="I244" s="198">
        <v>18037.2</v>
      </c>
      <c r="J244" s="165">
        <f t="shared" si="8"/>
        <v>-3575</v>
      </c>
      <c r="K244" s="170" t="str">
        <f t="shared" si="7"/>
        <v>333</v>
      </c>
    </row>
    <row r="245" spans="1:11" x14ac:dyDescent="0.3">
      <c r="A245" s="194">
        <v>335000</v>
      </c>
      <c r="B245" s="195" t="s">
        <v>912</v>
      </c>
      <c r="C245" s="195" t="s">
        <v>685</v>
      </c>
      <c r="D245" s="195" t="s">
        <v>687</v>
      </c>
      <c r="E245" s="196">
        <v>0</v>
      </c>
      <c r="F245" s="159">
        <v>0</v>
      </c>
      <c r="G245" s="158">
        <v>0</v>
      </c>
      <c r="H245" s="196">
        <v>0</v>
      </c>
      <c r="I245" s="198">
        <v>0</v>
      </c>
      <c r="J245" s="165">
        <f t="shared" si="8"/>
        <v>0</v>
      </c>
      <c r="K245" s="170" t="str">
        <f t="shared" si="7"/>
        <v>335</v>
      </c>
    </row>
    <row r="246" spans="1:11" x14ac:dyDescent="0.3">
      <c r="A246" s="194">
        <v>335100</v>
      </c>
      <c r="B246" s="195" t="s">
        <v>912</v>
      </c>
      <c r="C246" s="195" t="s">
        <v>685</v>
      </c>
      <c r="D246" s="195" t="s">
        <v>686</v>
      </c>
      <c r="E246" s="196">
        <v>0</v>
      </c>
      <c r="F246" s="159">
        <v>2700</v>
      </c>
      <c r="G246" s="157">
        <v>2700</v>
      </c>
      <c r="H246" s="196">
        <v>888</v>
      </c>
      <c r="I246" s="198">
        <v>888</v>
      </c>
      <c r="J246" s="165">
        <f t="shared" si="8"/>
        <v>2700</v>
      </c>
      <c r="K246" s="170" t="str">
        <f t="shared" si="7"/>
        <v>335</v>
      </c>
    </row>
    <row r="247" spans="1:11" x14ac:dyDescent="0.3">
      <c r="A247" s="194">
        <v>335200</v>
      </c>
      <c r="B247" s="195" t="s">
        <v>913</v>
      </c>
      <c r="C247" s="195" t="s">
        <v>685</v>
      </c>
      <c r="D247" s="195" t="s">
        <v>686</v>
      </c>
      <c r="E247" s="196">
        <v>0</v>
      </c>
      <c r="F247" s="159">
        <v>0</v>
      </c>
      <c r="G247" s="158">
        <v>0</v>
      </c>
      <c r="H247" s="196">
        <v>0</v>
      </c>
      <c r="I247" s="198">
        <v>0</v>
      </c>
      <c r="J247" s="165">
        <f t="shared" si="8"/>
        <v>0</v>
      </c>
      <c r="K247" s="170" t="str">
        <f t="shared" si="7"/>
        <v>335</v>
      </c>
    </row>
    <row r="248" spans="1:11" x14ac:dyDescent="0.3">
      <c r="A248" s="194">
        <v>335300</v>
      </c>
      <c r="B248" s="195" t="s">
        <v>914</v>
      </c>
      <c r="C248" s="195" t="s">
        <v>685</v>
      </c>
      <c r="D248" s="195" t="s">
        <v>686</v>
      </c>
      <c r="E248" s="196">
        <v>0</v>
      </c>
      <c r="F248" s="159">
        <v>0</v>
      </c>
      <c r="G248" s="157">
        <v>0</v>
      </c>
      <c r="H248" s="196">
        <v>0</v>
      </c>
      <c r="I248" s="198">
        <v>0</v>
      </c>
      <c r="J248" s="165">
        <f t="shared" si="8"/>
        <v>0</v>
      </c>
      <c r="K248" s="170" t="str">
        <f t="shared" si="7"/>
        <v>335</v>
      </c>
    </row>
    <row r="249" spans="1:11" x14ac:dyDescent="0.3">
      <c r="A249" s="194">
        <v>335999</v>
      </c>
      <c r="B249" s="195" t="s">
        <v>915</v>
      </c>
      <c r="C249" s="195" t="s">
        <v>685</v>
      </c>
      <c r="D249" s="195" t="s">
        <v>690</v>
      </c>
      <c r="E249" s="196">
        <v>0</v>
      </c>
      <c r="F249" s="159">
        <v>2700</v>
      </c>
      <c r="G249" s="158">
        <v>2700</v>
      </c>
      <c r="H249" s="196">
        <v>888</v>
      </c>
      <c r="I249" s="198">
        <v>888</v>
      </c>
      <c r="J249" s="165">
        <f t="shared" si="8"/>
        <v>2700</v>
      </c>
      <c r="K249" s="170" t="str">
        <f t="shared" si="7"/>
        <v>335</v>
      </c>
    </row>
    <row r="250" spans="1:11" x14ac:dyDescent="0.3">
      <c r="A250" s="194">
        <v>336000</v>
      </c>
      <c r="B250" s="195" t="s">
        <v>916</v>
      </c>
      <c r="C250" s="195" t="s">
        <v>685</v>
      </c>
      <c r="D250" s="195" t="s">
        <v>687</v>
      </c>
      <c r="E250" s="196">
        <v>0</v>
      </c>
      <c r="F250" s="159">
        <v>0</v>
      </c>
      <c r="G250" s="157">
        <v>0</v>
      </c>
      <c r="H250" s="196">
        <v>0</v>
      </c>
      <c r="I250" s="198">
        <v>0</v>
      </c>
      <c r="J250" s="165">
        <f t="shared" si="8"/>
        <v>0</v>
      </c>
      <c r="K250" s="170" t="str">
        <f t="shared" si="7"/>
        <v>336</v>
      </c>
    </row>
    <row r="251" spans="1:11" x14ac:dyDescent="0.3">
      <c r="A251" s="194">
        <v>336100</v>
      </c>
      <c r="B251" s="195" t="s">
        <v>917</v>
      </c>
      <c r="C251" s="195" t="s">
        <v>685</v>
      </c>
      <c r="D251" s="195" t="s">
        <v>686</v>
      </c>
      <c r="E251" s="196">
        <v>166.57</v>
      </c>
      <c r="F251" s="159">
        <v>-29443.77</v>
      </c>
      <c r="G251" s="158">
        <v>0</v>
      </c>
      <c r="H251" s="196">
        <v>343870.24</v>
      </c>
      <c r="I251" s="198">
        <v>343703.67</v>
      </c>
      <c r="J251" s="165">
        <f t="shared" si="8"/>
        <v>-29610.340000000026</v>
      </c>
      <c r="K251" s="170" t="str">
        <f t="shared" si="7"/>
        <v>336</v>
      </c>
    </row>
    <row r="252" spans="1:11" x14ac:dyDescent="0.3">
      <c r="A252" s="194">
        <v>336200</v>
      </c>
      <c r="B252" s="195" t="s">
        <v>918</v>
      </c>
      <c r="C252" s="195" t="s">
        <v>685</v>
      </c>
      <c r="D252" s="195" t="s">
        <v>686</v>
      </c>
      <c r="E252" s="196">
        <v>1112.51</v>
      </c>
      <c r="F252" s="159">
        <v>-70444.179999999993</v>
      </c>
      <c r="G252" s="157">
        <v>0</v>
      </c>
      <c r="H252" s="196">
        <v>820764.77</v>
      </c>
      <c r="I252" s="198">
        <v>819652.26</v>
      </c>
      <c r="J252" s="165">
        <f t="shared" si="8"/>
        <v>-71556.689999999944</v>
      </c>
      <c r="K252" s="170" t="str">
        <f t="shared" si="7"/>
        <v>336</v>
      </c>
    </row>
    <row r="253" spans="1:11" x14ac:dyDescent="0.3">
      <c r="A253" s="194">
        <v>336998</v>
      </c>
      <c r="B253" s="195" t="s">
        <v>919</v>
      </c>
      <c r="C253" s="195" t="s">
        <v>685</v>
      </c>
      <c r="D253" s="195" t="s">
        <v>690</v>
      </c>
      <c r="E253" s="196">
        <v>1279.08</v>
      </c>
      <c r="F253" s="159">
        <v>-99887.95</v>
      </c>
      <c r="G253" s="158">
        <v>0</v>
      </c>
      <c r="H253" s="196">
        <v>1164635.01</v>
      </c>
      <c r="I253" s="198">
        <v>1163355.93</v>
      </c>
      <c r="J253" s="165">
        <f t="shared" si="8"/>
        <v>-101167.03000000003</v>
      </c>
      <c r="K253" s="170" t="str">
        <f t="shared" si="7"/>
        <v>336</v>
      </c>
    </row>
    <row r="254" spans="1:11" x14ac:dyDescent="0.3">
      <c r="A254" s="194">
        <v>336999</v>
      </c>
      <c r="B254" s="195" t="s">
        <v>920</v>
      </c>
      <c r="C254" s="195" t="s">
        <v>685</v>
      </c>
      <c r="D254" s="195" t="s">
        <v>690</v>
      </c>
      <c r="E254" s="196">
        <v>7068.03</v>
      </c>
      <c r="F254" s="159">
        <v>-239267.12</v>
      </c>
      <c r="G254" s="157">
        <v>2700</v>
      </c>
      <c r="H254" s="196">
        <v>3588468.82</v>
      </c>
      <c r="I254" s="198">
        <v>3581400.79</v>
      </c>
      <c r="J254" s="165">
        <f t="shared" si="8"/>
        <v>-246335.14999999991</v>
      </c>
      <c r="K254" s="170" t="str">
        <f t="shared" si="7"/>
        <v>336</v>
      </c>
    </row>
    <row r="255" spans="1:11" x14ac:dyDescent="0.3">
      <c r="A255" s="194">
        <v>340000</v>
      </c>
      <c r="B255" s="195" t="s">
        <v>921</v>
      </c>
      <c r="C255" s="195" t="s">
        <v>685</v>
      </c>
      <c r="D255" s="195" t="s">
        <v>687</v>
      </c>
      <c r="E255" s="196">
        <v>0</v>
      </c>
      <c r="F255" s="159">
        <v>0</v>
      </c>
      <c r="G255" s="158">
        <v>0</v>
      </c>
      <c r="H255" s="196">
        <v>0</v>
      </c>
      <c r="I255" s="198">
        <v>0</v>
      </c>
      <c r="J255" s="165">
        <f t="shared" si="8"/>
        <v>0</v>
      </c>
      <c r="K255" s="170" t="str">
        <f t="shared" si="7"/>
        <v>340</v>
      </c>
    </row>
    <row r="256" spans="1:11" x14ac:dyDescent="0.3">
      <c r="A256" s="194">
        <v>341000</v>
      </c>
      <c r="B256" s="195" t="s">
        <v>922</v>
      </c>
      <c r="C256" s="195" t="s">
        <v>685</v>
      </c>
      <c r="D256" s="195" t="s">
        <v>687</v>
      </c>
      <c r="E256" s="196">
        <v>0</v>
      </c>
      <c r="F256" s="159">
        <v>0</v>
      </c>
      <c r="G256" s="157">
        <v>0</v>
      </c>
      <c r="H256" s="196">
        <v>0</v>
      </c>
      <c r="I256" s="198">
        <v>0</v>
      </c>
      <c r="J256" s="165">
        <f t="shared" si="8"/>
        <v>0</v>
      </c>
      <c r="K256" s="170" t="str">
        <f t="shared" si="7"/>
        <v>341</v>
      </c>
    </row>
    <row r="257" spans="1:11" x14ac:dyDescent="0.3">
      <c r="A257" s="194">
        <v>341100</v>
      </c>
      <c r="B257" s="195" t="s">
        <v>923</v>
      </c>
      <c r="C257" s="195" t="s">
        <v>685</v>
      </c>
      <c r="D257" s="195" t="s">
        <v>686</v>
      </c>
      <c r="E257" s="196">
        <v>-49417.8</v>
      </c>
      <c r="F257" s="159">
        <v>174564.84</v>
      </c>
      <c r="G257" s="158">
        <v>193422.68</v>
      </c>
      <c r="H257" s="196">
        <v>174564.84</v>
      </c>
      <c r="I257" s="198">
        <v>223982.64</v>
      </c>
      <c r="J257" s="165">
        <f t="shared" si="8"/>
        <v>223982.64</v>
      </c>
      <c r="K257" s="170" t="str">
        <f t="shared" si="7"/>
        <v>341</v>
      </c>
    </row>
    <row r="258" spans="1:11" x14ac:dyDescent="0.3">
      <c r="A258" s="194">
        <v>341200</v>
      </c>
      <c r="B258" s="195" t="s">
        <v>924</v>
      </c>
      <c r="C258" s="195" t="s">
        <v>685</v>
      </c>
      <c r="D258" s="195" t="s">
        <v>686</v>
      </c>
      <c r="E258" s="196">
        <v>-2590.81</v>
      </c>
      <c r="F258" s="159">
        <v>-229015.19</v>
      </c>
      <c r="G258" s="157">
        <v>-229015.19</v>
      </c>
      <c r="H258" s="196">
        <v>388197.59</v>
      </c>
      <c r="I258" s="198">
        <v>390788.4</v>
      </c>
      <c r="J258" s="165">
        <f t="shared" si="8"/>
        <v>-226424.38</v>
      </c>
      <c r="K258" s="170" t="str">
        <f t="shared" si="7"/>
        <v>341</v>
      </c>
    </row>
    <row r="259" spans="1:11" x14ac:dyDescent="0.3">
      <c r="A259" s="194">
        <v>341300</v>
      </c>
      <c r="B259" s="195" t="s">
        <v>925</v>
      </c>
      <c r="C259" s="195" t="s">
        <v>685</v>
      </c>
      <c r="D259" s="195" t="s">
        <v>686</v>
      </c>
      <c r="E259" s="196">
        <v>0</v>
      </c>
      <c r="F259" s="159">
        <v>0</v>
      </c>
      <c r="G259" s="158">
        <v>0</v>
      </c>
      <c r="H259" s="196">
        <v>0</v>
      </c>
      <c r="I259" s="198">
        <v>0</v>
      </c>
      <c r="J259" s="165">
        <f t="shared" si="8"/>
        <v>0</v>
      </c>
      <c r="K259" s="170" t="str">
        <f t="shared" ref="K259:K322" si="9">IF(A259&lt;100000,CONCATENATE(0,LEFT(A259,2)),LEFT(A259,3))</f>
        <v>341</v>
      </c>
    </row>
    <row r="260" spans="1:11" x14ac:dyDescent="0.3">
      <c r="A260" s="194">
        <v>341999</v>
      </c>
      <c r="B260" s="195" t="s">
        <v>926</v>
      </c>
      <c r="C260" s="195" t="s">
        <v>685</v>
      </c>
      <c r="D260" s="195" t="s">
        <v>690</v>
      </c>
      <c r="E260" s="196">
        <v>-52008.61</v>
      </c>
      <c r="F260" s="159">
        <v>-54450.35</v>
      </c>
      <c r="G260" s="157">
        <v>-35592.51</v>
      </c>
      <c r="H260" s="196">
        <v>562762.43000000005</v>
      </c>
      <c r="I260" s="198">
        <v>614771.04</v>
      </c>
      <c r="J260" s="165">
        <f t="shared" ref="J260:J323" si="10">F260-H260+I260</f>
        <v>-2441.7399999999907</v>
      </c>
      <c r="K260" s="170" t="str">
        <f t="shared" si="9"/>
        <v>341</v>
      </c>
    </row>
    <row r="261" spans="1:11" x14ac:dyDescent="0.3">
      <c r="A261" s="194">
        <v>342000</v>
      </c>
      <c r="B261" s="195" t="s">
        <v>927</v>
      </c>
      <c r="C261" s="195" t="s">
        <v>685</v>
      </c>
      <c r="D261" s="195" t="s">
        <v>687</v>
      </c>
      <c r="E261" s="196">
        <v>0</v>
      </c>
      <c r="F261" s="159">
        <v>0</v>
      </c>
      <c r="G261" s="158">
        <v>0</v>
      </c>
      <c r="H261" s="196">
        <v>0</v>
      </c>
      <c r="I261" s="198">
        <v>0</v>
      </c>
      <c r="J261" s="165">
        <f t="shared" si="10"/>
        <v>0</v>
      </c>
      <c r="K261" s="170" t="str">
        <f t="shared" si="9"/>
        <v>342</v>
      </c>
    </row>
    <row r="262" spans="1:11" x14ac:dyDescent="0.3">
      <c r="A262" s="194">
        <v>342100</v>
      </c>
      <c r="B262" s="195" t="s">
        <v>928</v>
      </c>
      <c r="C262" s="195" t="s">
        <v>685</v>
      </c>
      <c r="D262" s="195" t="s">
        <v>686</v>
      </c>
      <c r="E262" s="196">
        <v>-62.65</v>
      </c>
      <c r="F262" s="159">
        <v>-32351.07</v>
      </c>
      <c r="G262" s="157">
        <v>0</v>
      </c>
      <c r="H262" s="196">
        <v>413595.22</v>
      </c>
      <c r="I262" s="198">
        <v>413657.87</v>
      </c>
      <c r="J262" s="165">
        <f t="shared" si="10"/>
        <v>-32288.419999999984</v>
      </c>
      <c r="K262" s="170" t="str">
        <f t="shared" si="9"/>
        <v>342</v>
      </c>
    </row>
    <row r="263" spans="1:11" x14ac:dyDescent="0.3">
      <c r="A263" s="194">
        <v>342999</v>
      </c>
      <c r="B263" s="195" t="s">
        <v>929</v>
      </c>
      <c r="C263" s="195" t="s">
        <v>685</v>
      </c>
      <c r="D263" s="195" t="s">
        <v>690</v>
      </c>
      <c r="E263" s="196">
        <v>-62.65</v>
      </c>
      <c r="F263" s="159">
        <v>-32351.07</v>
      </c>
      <c r="G263" s="158">
        <v>0</v>
      </c>
      <c r="H263" s="196">
        <v>413595.22</v>
      </c>
      <c r="I263" s="198">
        <v>413657.87</v>
      </c>
      <c r="J263" s="165">
        <f t="shared" si="10"/>
        <v>-32288.419999999984</v>
      </c>
      <c r="K263" s="170" t="str">
        <f t="shared" si="9"/>
        <v>342</v>
      </c>
    </row>
    <row r="264" spans="1:11" x14ac:dyDescent="0.3">
      <c r="A264" s="194">
        <v>343000</v>
      </c>
      <c r="B264" s="195" t="s">
        <v>930</v>
      </c>
      <c r="C264" s="195" t="s">
        <v>685</v>
      </c>
      <c r="D264" s="195" t="s">
        <v>687</v>
      </c>
      <c r="E264" s="196">
        <v>0</v>
      </c>
      <c r="F264" s="159">
        <v>0</v>
      </c>
      <c r="G264" s="157">
        <v>0</v>
      </c>
      <c r="H264" s="196">
        <v>0</v>
      </c>
      <c r="I264" s="198">
        <v>0</v>
      </c>
      <c r="J264" s="165">
        <f t="shared" si="10"/>
        <v>0</v>
      </c>
      <c r="K264" s="170" t="str">
        <f t="shared" si="9"/>
        <v>343</v>
      </c>
    </row>
    <row r="265" spans="1:11" x14ac:dyDescent="0.3">
      <c r="A265" s="194">
        <v>343001</v>
      </c>
      <c r="B265" s="195" t="s">
        <v>931</v>
      </c>
      <c r="C265" s="195" t="s">
        <v>685</v>
      </c>
      <c r="D265" s="195" t="s">
        <v>686</v>
      </c>
      <c r="E265" s="196">
        <v>0</v>
      </c>
      <c r="F265" s="159">
        <v>0</v>
      </c>
      <c r="G265" s="158">
        <v>0</v>
      </c>
      <c r="H265" s="196">
        <v>0</v>
      </c>
      <c r="I265" s="198">
        <v>0</v>
      </c>
      <c r="J265" s="165">
        <f t="shared" si="10"/>
        <v>0</v>
      </c>
      <c r="K265" s="170" t="str">
        <f t="shared" si="9"/>
        <v>343</v>
      </c>
    </row>
    <row r="266" spans="1:11" x14ac:dyDescent="0.3">
      <c r="A266" s="194">
        <v>343002</v>
      </c>
      <c r="B266" s="195" t="s">
        <v>932</v>
      </c>
      <c r="C266" s="195" t="s">
        <v>685</v>
      </c>
      <c r="D266" s="195" t="s">
        <v>686</v>
      </c>
      <c r="E266" s="196">
        <v>0</v>
      </c>
      <c r="F266" s="159">
        <v>0</v>
      </c>
      <c r="G266" s="157">
        <v>0</v>
      </c>
      <c r="H266" s="196">
        <v>0</v>
      </c>
      <c r="I266" s="198">
        <v>0</v>
      </c>
      <c r="J266" s="165">
        <f t="shared" si="10"/>
        <v>0</v>
      </c>
      <c r="K266" s="170" t="str">
        <f t="shared" si="9"/>
        <v>343</v>
      </c>
    </row>
    <row r="267" spans="1:11" x14ac:dyDescent="0.3">
      <c r="A267" s="194">
        <v>343003</v>
      </c>
      <c r="B267" s="195" t="s">
        <v>933</v>
      </c>
      <c r="C267" s="195" t="s">
        <v>685</v>
      </c>
      <c r="D267" s="195" t="s">
        <v>686</v>
      </c>
      <c r="E267" s="196">
        <v>0</v>
      </c>
      <c r="F267" s="159">
        <v>0</v>
      </c>
      <c r="G267" s="158">
        <v>0</v>
      </c>
      <c r="H267" s="196">
        <v>0</v>
      </c>
      <c r="I267" s="198">
        <v>0</v>
      </c>
      <c r="J267" s="165">
        <f t="shared" si="10"/>
        <v>0</v>
      </c>
      <c r="K267" s="170" t="str">
        <f t="shared" si="9"/>
        <v>343</v>
      </c>
    </row>
    <row r="268" spans="1:11" x14ac:dyDescent="0.3">
      <c r="A268" s="194">
        <v>343004</v>
      </c>
      <c r="B268" s="195" t="s">
        <v>934</v>
      </c>
      <c r="C268" s="195" t="s">
        <v>685</v>
      </c>
      <c r="D268" s="195" t="s">
        <v>686</v>
      </c>
      <c r="E268" s="196">
        <v>0</v>
      </c>
      <c r="F268" s="159">
        <v>0</v>
      </c>
      <c r="G268" s="157">
        <v>0</v>
      </c>
      <c r="H268" s="196">
        <v>0</v>
      </c>
      <c r="I268" s="198">
        <v>0</v>
      </c>
      <c r="J268" s="165">
        <f t="shared" si="10"/>
        <v>0</v>
      </c>
      <c r="K268" s="170" t="str">
        <f t="shared" si="9"/>
        <v>343</v>
      </c>
    </row>
    <row r="269" spans="1:11" x14ac:dyDescent="0.3">
      <c r="A269" s="194">
        <v>343005</v>
      </c>
      <c r="B269" s="195" t="s">
        <v>935</v>
      </c>
      <c r="C269" s="195" t="s">
        <v>685</v>
      </c>
      <c r="D269" s="195" t="s">
        <v>686</v>
      </c>
      <c r="E269" s="196">
        <v>0</v>
      </c>
      <c r="F269" s="159">
        <v>0</v>
      </c>
      <c r="G269" s="158">
        <v>0</v>
      </c>
      <c r="H269" s="196">
        <v>0</v>
      </c>
      <c r="I269" s="198">
        <v>0</v>
      </c>
      <c r="J269" s="165">
        <f t="shared" si="10"/>
        <v>0</v>
      </c>
      <c r="K269" s="170" t="str">
        <f t="shared" si="9"/>
        <v>343</v>
      </c>
    </row>
    <row r="270" spans="1:11" x14ac:dyDescent="0.3">
      <c r="A270" s="194">
        <v>343006</v>
      </c>
      <c r="B270" s="195" t="s">
        <v>936</v>
      </c>
      <c r="C270" s="195" t="s">
        <v>685</v>
      </c>
      <c r="D270" s="195" t="s">
        <v>686</v>
      </c>
      <c r="E270" s="196">
        <v>0</v>
      </c>
      <c r="F270" s="159">
        <v>0</v>
      </c>
      <c r="G270" s="157">
        <v>0</v>
      </c>
      <c r="H270" s="196">
        <v>0</v>
      </c>
      <c r="I270" s="198">
        <v>0</v>
      </c>
      <c r="J270" s="165">
        <f t="shared" si="10"/>
        <v>0</v>
      </c>
      <c r="K270" s="170" t="str">
        <f t="shared" si="9"/>
        <v>343</v>
      </c>
    </row>
    <row r="271" spans="1:11" x14ac:dyDescent="0.3">
      <c r="A271" s="194">
        <v>343007</v>
      </c>
      <c r="B271" s="195" t="s">
        <v>937</v>
      </c>
      <c r="C271" s="195" t="s">
        <v>685</v>
      </c>
      <c r="D271" s="195" t="s">
        <v>686</v>
      </c>
      <c r="E271" s="196">
        <v>0</v>
      </c>
      <c r="F271" s="159">
        <v>0</v>
      </c>
      <c r="G271" s="158">
        <v>0</v>
      </c>
      <c r="H271" s="196">
        <v>0</v>
      </c>
      <c r="I271" s="198">
        <v>0</v>
      </c>
      <c r="J271" s="165">
        <f t="shared" si="10"/>
        <v>0</v>
      </c>
      <c r="K271" s="170" t="str">
        <f t="shared" si="9"/>
        <v>343</v>
      </c>
    </row>
    <row r="272" spans="1:11" x14ac:dyDescent="0.3">
      <c r="A272" s="194">
        <v>343008</v>
      </c>
      <c r="B272" s="195" t="s">
        <v>938</v>
      </c>
      <c r="C272" s="195" t="s">
        <v>685</v>
      </c>
      <c r="D272" s="195" t="s">
        <v>686</v>
      </c>
      <c r="E272" s="196">
        <v>0</v>
      </c>
      <c r="F272" s="159">
        <v>0</v>
      </c>
      <c r="G272" s="157">
        <v>0</v>
      </c>
      <c r="H272" s="196">
        <v>0</v>
      </c>
      <c r="I272" s="198">
        <v>0</v>
      </c>
      <c r="J272" s="165">
        <f t="shared" si="10"/>
        <v>0</v>
      </c>
      <c r="K272" s="170" t="str">
        <f t="shared" si="9"/>
        <v>343</v>
      </c>
    </row>
    <row r="273" spans="1:11" x14ac:dyDescent="0.3">
      <c r="A273" s="194">
        <v>343009</v>
      </c>
      <c r="B273" s="195" t="s">
        <v>939</v>
      </c>
      <c r="C273" s="195" t="s">
        <v>685</v>
      </c>
      <c r="D273" s="195" t="s">
        <v>686</v>
      </c>
      <c r="E273" s="196">
        <v>0</v>
      </c>
      <c r="F273" s="159">
        <v>0</v>
      </c>
      <c r="G273" s="158">
        <v>0</v>
      </c>
      <c r="H273" s="196">
        <v>0</v>
      </c>
      <c r="I273" s="198">
        <v>0</v>
      </c>
      <c r="J273" s="165">
        <f t="shared" si="10"/>
        <v>0</v>
      </c>
      <c r="K273" s="170" t="str">
        <f t="shared" si="9"/>
        <v>343</v>
      </c>
    </row>
    <row r="274" spans="1:11" x14ac:dyDescent="0.3">
      <c r="A274" s="194">
        <v>343010</v>
      </c>
      <c r="B274" s="195" t="s">
        <v>940</v>
      </c>
      <c r="C274" s="195" t="s">
        <v>685</v>
      </c>
      <c r="D274" s="195" t="s">
        <v>686</v>
      </c>
      <c r="E274" s="196">
        <v>0</v>
      </c>
      <c r="F274" s="159">
        <v>0</v>
      </c>
      <c r="G274" s="157">
        <v>0</v>
      </c>
      <c r="H274" s="196">
        <v>0</v>
      </c>
      <c r="I274" s="198">
        <v>0</v>
      </c>
      <c r="J274" s="165">
        <f t="shared" si="10"/>
        <v>0</v>
      </c>
      <c r="K274" s="170" t="str">
        <f t="shared" si="9"/>
        <v>343</v>
      </c>
    </row>
    <row r="275" spans="1:11" x14ac:dyDescent="0.3">
      <c r="A275" s="194">
        <v>343011</v>
      </c>
      <c r="B275" s="195" t="s">
        <v>941</v>
      </c>
      <c r="C275" s="195" t="s">
        <v>685</v>
      </c>
      <c r="D275" s="195" t="s">
        <v>686</v>
      </c>
      <c r="E275" s="196">
        <v>0</v>
      </c>
      <c r="F275" s="159">
        <v>0</v>
      </c>
      <c r="G275" s="158">
        <v>0</v>
      </c>
      <c r="H275" s="196">
        <v>0</v>
      </c>
      <c r="I275" s="198">
        <v>0</v>
      </c>
      <c r="J275" s="165">
        <f t="shared" si="10"/>
        <v>0</v>
      </c>
      <c r="K275" s="170" t="str">
        <f t="shared" si="9"/>
        <v>343</v>
      </c>
    </row>
    <row r="276" spans="1:11" x14ac:dyDescent="0.3">
      <c r="A276" s="194">
        <v>343012</v>
      </c>
      <c r="B276" s="195" t="s">
        <v>942</v>
      </c>
      <c r="C276" s="195" t="s">
        <v>685</v>
      </c>
      <c r="D276" s="195" t="s">
        <v>686</v>
      </c>
      <c r="E276" s="196">
        <v>0</v>
      </c>
      <c r="F276" s="159">
        <v>0</v>
      </c>
      <c r="G276" s="157">
        <v>0</v>
      </c>
      <c r="H276" s="196">
        <v>0</v>
      </c>
      <c r="I276" s="198">
        <v>0</v>
      </c>
      <c r="J276" s="165">
        <f t="shared" si="10"/>
        <v>0</v>
      </c>
      <c r="K276" s="170" t="str">
        <f t="shared" si="9"/>
        <v>343</v>
      </c>
    </row>
    <row r="277" spans="1:11" x14ac:dyDescent="0.3">
      <c r="A277" s="194">
        <v>343119</v>
      </c>
      <c r="B277" s="195" t="s">
        <v>943</v>
      </c>
      <c r="C277" s="195" t="s">
        <v>685</v>
      </c>
      <c r="D277" s="195" t="s">
        <v>686</v>
      </c>
      <c r="E277" s="196">
        <v>0</v>
      </c>
      <c r="F277" s="159">
        <v>0</v>
      </c>
      <c r="G277" s="158">
        <v>-796264.66</v>
      </c>
      <c r="H277" s="196">
        <v>10356205.619999999</v>
      </c>
      <c r="I277" s="198">
        <v>10356205.619999999</v>
      </c>
      <c r="J277" s="165">
        <f t="shared" si="10"/>
        <v>0</v>
      </c>
      <c r="K277" s="170" t="str">
        <f t="shared" si="9"/>
        <v>343</v>
      </c>
    </row>
    <row r="278" spans="1:11" x14ac:dyDescent="0.3">
      <c r="A278" s="194">
        <v>343191</v>
      </c>
      <c r="B278" s="195" t="s">
        <v>944</v>
      </c>
      <c r="C278" s="195" t="s">
        <v>685</v>
      </c>
      <c r="D278" s="195" t="s">
        <v>686</v>
      </c>
      <c r="E278" s="196">
        <v>-210.68</v>
      </c>
      <c r="F278" s="159">
        <v>-260.58</v>
      </c>
      <c r="G278" s="157">
        <v>870461.04</v>
      </c>
      <c r="H278" s="196">
        <v>9267776.9100000001</v>
      </c>
      <c r="I278" s="198">
        <v>9267987.5899999999</v>
      </c>
      <c r="J278" s="165">
        <f t="shared" si="10"/>
        <v>-49.900000000372529</v>
      </c>
      <c r="K278" s="170" t="str">
        <f t="shared" si="9"/>
        <v>343</v>
      </c>
    </row>
    <row r="279" spans="1:11" x14ac:dyDescent="0.3">
      <c r="A279" s="194">
        <v>343295</v>
      </c>
      <c r="B279" s="195" t="s">
        <v>945</v>
      </c>
      <c r="C279" s="195" t="s">
        <v>685</v>
      </c>
      <c r="D279" s="195" t="s">
        <v>686</v>
      </c>
      <c r="E279" s="196">
        <v>-18.75</v>
      </c>
      <c r="F279" s="159">
        <v>0</v>
      </c>
      <c r="G279" s="158">
        <v>-10997.42</v>
      </c>
      <c r="H279" s="196">
        <v>1488336</v>
      </c>
      <c r="I279" s="198">
        <v>1488354.75</v>
      </c>
      <c r="J279" s="165">
        <f t="shared" si="10"/>
        <v>18.75</v>
      </c>
      <c r="K279" s="170" t="str">
        <f t="shared" si="9"/>
        <v>343</v>
      </c>
    </row>
    <row r="280" spans="1:11" x14ac:dyDescent="0.3">
      <c r="A280" s="194">
        <v>343351</v>
      </c>
      <c r="B280" s="195" t="s">
        <v>946</v>
      </c>
      <c r="C280" s="195" t="s">
        <v>685</v>
      </c>
      <c r="D280" s="195" t="s">
        <v>686</v>
      </c>
      <c r="E280" s="196">
        <v>0</v>
      </c>
      <c r="F280" s="159">
        <v>0</v>
      </c>
      <c r="G280" s="157">
        <v>0</v>
      </c>
      <c r="H280" s="196">
        <v>0</v>
      </c>
      <c r="I280" s="198">
        <v>0</v>
      </c>
      <c r="J280" s="165">
        <f t="shared" si="10"/>
        <v>0</v>
      </c>
      <c r="K280" s="170" t="str">
        <f t="shared" si="9"/>
        <v>343</v>
      </c>
    </row>
    <row r="281" spans="1:11" x14ac:dyDescent="0.3">
      <c r="A281" s="194">
        <v>343900</v>
      </c>
      <c r="B281" s="195" t="s">
        <v>947</v>
      </c>
      <c r="C281" s="195" t="s">
        <v>685</v>
      </c>
      <c r="D281" s="195" t="s">
        <v>686</v>
      </c>
      <c r="E281" s="196">
        <v>-291526.06</v>
      </c>
      <c r="F281" s="159">
        <v>-206870</v>
      </c>
      <c r="G281" s="158">
        <v>11.67</v>
      </c>
      <c r="H281" s="196">
        <v>1856667.01</v>
      </c>
      <c r="I281" s="198">
        <v>2148193.0699999998</v>
      </c>
      <c r="J281" s="165">
        <f t="shared" si="10"/>
        <v>84656.059999999823</v>
      </c>
      <c r="K281" s="170" t="str">
        <f t="shared" si="9"/>
        <v>343</v>
      </c>
    </row>
    <row r="282" spans="1:11" x14ac:dyDescent="0.3">
      <c r="A282" s="194">
        <v>343999</v>
      </c>
      <c r="B282" s="195" t="s">
        <v>948</v>
      </c>
      <c r="C282" s="195" t="s">
        <v>685</v>
      </c>
      <c r="D282" s="195" t="s">
        <v>690</v>
      </c>
      <c r="E282" s="196">
        <v>-291755.49</v>
      </c>
      <c r="F282" s="159">
        <v>-207130.58</v>
      </c>
      <c r="G282" s="157">
        <v>63210.63</v>
      </c>
      <c r="H282" s="196">
        <v>22968985.539999999</v>
      </c>
      <c r="I282" s="198">
        <v>23260741.030000001</v>
      </c>
      <c r="J282" s="165">
        <f t="shared" si="10"/>
        <v>84624.910000003874</v>
      </c>
      <c r="K282" s="170" t="str">
        <f t="shared" si="9"/>
        <v>343</v>
      </c>
    </row>
    <row r="283" spans="1:11" x14ac:dyDescent="0.3">
      <c r="A283" s="194">
        <v>345000</v>
      </c>
      <c r="B283" s="195" t="s">
        <v>949</v>
      </c>
      <c r="C283" s="195" t="s">
        <v>685</v>
      </c>
      <c r="D283" s="195" t="s">
        <v>687</v>
      </c>
      <c r="E283" s="196">
        <v>0</v>
      </c>
      <c r="F283" s="159">
        <v>0</v>
      </c>
      <c r="G283" s="158">
        <v>0</v>
      </c>
      <c r="H283" s="196">
        <v>0</v>
      </c>
      <c r="I283" s="198">
        <v>0</v>
      </c>
      <c r="J283" s="165">
        <f t="shared" si="10"/>
        <v>0</v>
      </c>
      <c r="K283" s="170" t="str">
        <f t="shared" si="9"/>
        <v>345</v>
      </c>
    </row>
    <row r="284" spans="1:11" x14ac:dyDescent="0.3">
      <c r="A284" s="194">
        <v>345100</v>
      </c>
      <c r="B284" s="195" t="s">
        <v>950</v>
      </c>
      <c r="C284" s="195" t="s">
        <v>685</v>
      </c>
      <c r="D284" s="195" t="s">
        <v>686</v>
      </c>
      <c r="E284" s="196">
        <v>-766.49</v>
      </c>
      <c r="F284" s="159">
        <v>-2459.0700000000002</v>
      </c>
      <c r="G284" s="157">
        <v>-2063.37</v>
      </c>
      <c r="H284" s="196">
        <v>8688.76</v>
      </c>
      <c r="I284" s="198">
        <v>9455.25</v>
      </c>
      <c r="J284" s="165">
        <f t="shared" si="10"/>
        <v>-1692.58</v>
      </c>
      <c r="K284" s="170" t="str">
        <f t="shared" si="9"/>
        <v>345</v>
      </c>
    </row>
    <row r="285" spans="1:11" x14ac:dyDescent="0.3">
      <c r="A285" s="194">
        <v>345200</v>
      </c>
      <c r="B285" s="195" t="s">
        <v>949</v>
      </c>
      <c r="C285" s="195" t="s">
        <v>685</v>
      </c>
      <c r="D285" s="195" t="s">
        <v>686</v>
      </c>
      <c r="E285" s="196">
        <v>0</v>
      </c>
      <c r="F285" s="159">
        <v>0</v>
      </c>
      <c r="G285" s="158">
        <v>0</v>
      </c>
      <c r="H285" s="196">
        <v>2258.89</v>
      </c>
      <c r="I285" s="198">
        <v>2258.89</v>
      </c>
      <c r="J285" s="165">
        <f t="shared" si="10"/>
        <v>0</v>
      </c>
      <c r="K285" s="170" t="str">
        <f t="shared" si="9"/>
        <v>345</v>
      </c>
    </row>
    <row r="286" spans="1:11" x14ac:dyDescent="0.3">
      <c r="A286" s="194">
        <v>345999</v>
      </c>
      <c r="B286" s="195" t="s">
        <v>951</v>
      </c>
      <c r="C286" s="195" t="s">
        <v>685</v>
      </c>
      <c r="D286" s="195" t="s">
        <v>690</v>
      </c>
      <c r="E286" s="196">
        <v>-766.49</v>
      </c>
      <c r="F286" s="159">
        <v>-2459.0700000000002</v>
      </c>
      <c r="G286" s="157">
        <v>-2063.37</v>
      </c>
      <c r="H286" s="196">
        <v>10947.65</v>
      </c>
      <c r="I286" s="198">
        <v>11714.14</v>
      </c>
      <c r="J286" s="165">
        <f t="shared" si="10"/>
        <v>-1692.58</v>
      </c>
      <c r="K286" s="170" t="str">
        <f t="shared" si="9"/>
        <v>345</v>
      </c>
    </row>
    <row r="287" spans="1:11" x14ac:dyDescent="0.3">
      <c r="A287" s="194">
        <v>346000</v>
      </c>
      <c r="B287" s="195" t="s">
        <v>952</v>
      </c>
      <c r="C287" s="195" t="s">
        <v>685</v>
      </c>
      <c r="D287" s="195" t="s">
        <v>687</v>
      </c>
      <c r="E287" s="196">
        <v>0</v>
      </c>
      <c r="F287" s="159">
        <v>0</v>
      </c>
      <c r="G287" s="158">
        <v>0</v>
      </c>
      <c r="H287" s="196">
        <v>0</v>
      </c>
      <c r="I287" s="198">
        <v>0</v>
      </c>
      <c r="J287" s="165">
        <f t="shared" si="10"/>
        <v>0</v>
      </c>
      <c r="K287" s="170" t="str">
        <f t="shared" si="9"/>
        <v>346</v>
      </c>
    </row>
    <row r="288" spans="1:11" x14ac:dyDescent="0.3">
      <c r="A288" s="194">
        <v>346100</v>
      </c>
      <c r="B288" s="195" t="s">
        <v>952</v>
      </c>
      <c r="C288" s="195" t="s">
        <v>685</v>
      </c>
      <c r="D288" s="195" t="s">
        <v>686</v>
      </c>
      <c r="E288" s="196">
        <v>-1000</v>
      </c>
      <c r="F288" s="159">
        <v>0</v>
      </c>
      <c r="G288" s="157">
        <v>0</v>
      </c>
      <c r="H288" s="196">
        <v>34050</v>
      </c>
      <c r="I288" s="198">
        <v>35050</v>
      </c>
      <c r="J288" s="165">
        <f t="shared" si="10"/>
        <v>1000</v>
      </c>
      <c r="K288" s="170" t="str">
        <f t="shared" si="9"/>
        <v>346</v>
      </c>
    </row>
    <row r="289" spans="1:11" x14ac:dyDescent="0.3">
      <c r="A289" s="194">
        <v>346999</v>
      </c>
      <c r="B289" s="195" t="s">
        <v>953</v>
      </c>
      <c r="C289" s="195" t="s">
        <v>685</v>
      </c>
      <c r="D289" s="195" t="s">
        <v>690</v>
      </c>
      <c r="E289" s="196">
        <v>-1000</v>
      </c>
      <c r="F289" s="159">
        <v>0</v>
      </c>
      <c r="G289" s="158">
        <v>0</v>
      </c>
      <c r="H289" s="196">
        <v>34050</v>
      </c>
      <c r="I289" s="198">
        <v>35050</v>
      </c>
      <c r="J289" s="165">
        <f t="shared" si="10"/>
        <v>1000</v>
      </c>
      <c r="K289" s="170" t="str">
        <f t="shared" si="9"/>
        <v>346</v>
      </c>
    </row>
    <row r="290" spans="1:11" x14ac:dyDescent="0.3">
      <c r="A290" s="194">
        <v>347000</v>
      </c>
      <c r="B290" s="195" t="s">
        <v>954</v>
      </c>
      <c r="C290" s="195" t="s">
        <v>685</v>
      </c>
      <c r="D290" s="195" t="s">
        <v>687</v>
      </c>
      <c r="E290" s="196">
        <v>0</v>
      </c>
      <c r="F290" s="159">
        <v>0</v>
      </c>
      <c r="G290" s="157">
        <v>0</v>
      </c>
      <c r="H290" s="196">
        <v>0</v>
      </c>
      <c r="I290" s="198">
        <v>0</v>
      </c>
      <c r="J290" s="165">
        <f t="shared" si="10"/>
        <v>0</v>
      </c>
      <c r="K290" s="170" t="str">
        <f t="shared" si="9"/>
        <v>347</v>
      </c>
    </row>
    <row r="291" spans="1:11" x14ac:dyDescent="0.3">
      <c r="A291" s="194">
        <v>347999</v>
      </c>
      <c r="B291" s="195" t="s">
        <v>955</v>
      </c>
      <c r="C291" s="195" t="s">
        <v>685</v>
      </c>
      <c r="D291" s="195" t="s">
        <v>690</v>
      </c>
      <c r="E291" s="196">
        <v>0</v>
      </c>
      <c r="F291" s="159">
        <v>0</v>
      </c>
      <c r="G291" s="158">
        <v>0</v>
      </c>
      <c r="H291" s="196">
        <v>0</v>
      </c>
      <c r="I291" s="198">
        <v>0</v>
      </c>
      <c r="J291" s="165">
        <f t="shared" si="10"/>
        <v>0</v>
      </c>
      <c r="K291" s="170" t="str">
        <f t="shared" si="9"/>
        <v>347</v>
      </c>
    </row>
    <row r="292" spans="1:11" x14ac:dyDescent="0.3">
      <c r="A292" s="194">
        <v>349999</v>
      </c>
      <c r="B292" s="195" t="s">
        <v>956</v>
      </c>
      <c r="C292" s="195" t="s">
        <v>685</v>
      </c>
      <c r="D292" s="195" t="s">
        <v>690</v>
      </c>
      <c r="E292" s="196">
        <v>-345593.24</v>
      </c>
      <c r="F292" s="159">
        <v>-296391.07</v>
      </c>
      <c r="G292" s="157">
        <v>25554.75</v>
      </c>
      <c r="H292" s="196">
        <v>23990340.84</v>
      </c>
      <c r="I292" s="198">
        <v>24335934.079999998</v>
      </c>
      <c r="J292" s="165">
        <f t="shared" si="10"/>
        <v>49202.169999998063</v>
      </c>
      <c r="K292" s="170" t="str">
        <f t="shared" si="9"/>
        <v>349</v>
      </c>
    </row>
    <row r="293" spans="1:11" x14ac:dyDescent="0.3">
      <c r="A293" s="194">
        <v>350000</v>
      </c>
      <c r="B293" s="195" t="s">
        <v>957</v>
      </c>
      <c r="C293" s="195" t="s">
        <v>685</v>
      </c>
      <c r="D293" s="195" t="s">
        <v>687</v>
      </c>
      <c r="E293" s="196">
        <v>0</v>
      </c>
      <c r="F293" s="159">
        <v>0</v>
      </c>
      <c r="G293" s="158">
        <v>0</v>
      </c>
      <c r="H293" s="196">
        <v>0</v>
      </c>
      <c r="I293" s="198">
        <v>0</v>
      </c>
      <c r="J293" s="165">
        <f t="shared" si="10"/>
        <v>0</v>
      </c>
      <c r="K293" s="170" t="str">
        <f t="shared" si="9"/>
        <v>350</v>
      </c>
    </row>
    <row r="294" spans="1:11" x14ac:dyDescent="0.3">
      <c r="A294" s="194">
        <v>351000</v>
      </c>
      <c r="B294" s="195" t="s">
        <v>958</v>
      </c>
      <c r="C294" s="195" t="s">
        <v>685</v>
      </c>
      <c r="D294" s="195" t="s">
        <v>687</v>
      </c>
      <c r="E294" s="196">
        <v>0</v>
      </c>
      <c r="F294" s="159">
        <v>0</v>
      </c>
      <c r="G294" s="157">
        <v>0</v>
      </c>
      <c r="H294" s="196">
        <v>0</v>
      </c>
      <c r="I294" s="198">
        <v>0</v>
      </c>
      <c r="J294" s="165">
        <f t="shared" si="10"/>
        <v>0</v>
      </c>
      <c r="K294" s="170" t="str">
        <f t="shared" si="9"/>
        <v>351</v>
      </c>
    </row>
    <row r="295" spans="1:11" x14ac:dyDescent="0.3">
      <c r="A295" s="194">
        <v>351100</v>
      </c>
      <c r="B295" s="195" t="s">
        <v>958</v>
      </c>
      <c r="C295" s="195" t="s">
        <v>685</v>
      </c>
      <c r="D295" s="195" t="s">
        <v>686</v>
      </c>
      <c r="E295" s="196">
        <v>0</v>
      </c>
      <c r="F295" s="159">
        <v>0</v>
      </c>
      <c r="G295" s="158">
        <v>0</v>
      </c>
      <c r="H295" s="196">
        <v>3000000</v>
      </c>
      <c r="I295" s="198">
        <v>3000000</v>
      </c>
      <c r="J295" s="165">
        <f t="shared" si="10"/>
        <v>0</v>
      </c>
      <c r="K295" s="170" t="str">
        <f t="shared" si="9"/>
        <v>351</v>
      </c>
    </row>
    <row r="296" spans="1:11" x14ac:dyDescent="0.3">
      <c r="A296" s="194">
        <v>351999</v>
      </c>
      <c r="B296" s="195" t="s">
        <v>959</v>
      </c>
      <c r="C296" s="195" t="s">
        <v>685</v>
      </c>
      <c r="D296" s="195" t="s">
        <v>690</v>
      </c>
      <c r="E296" s="196">
        <v>0</v>
      </c>
      <c r="F296" s="159">
        <v>0</v>
      </c>
      <c r="G296" s="157">
        <v>0</v>
      </c>
      <c r="H296" s="196">
        <v>3000000</v>
      </c>
      <c r="I296" s="198">
        <v>3000000</v>
      </c>
      <c r="J296" s="165">
        <f t="shared" si="10"/>
        <v>0</v>
      </c>
      <c r="K296" s="170" t="str">
        <f t="shared" si="9"/>
        <v>351</v>
      </c>
    </row>
    <row r="297" spans="1:11" x14ac:dyDescent="0.3">
      <c r="A297" s="194">
        <v>353000</v>
      </c>
      <c r="B297" s="195" t="s">
        <v>960</v>
      </c>
      <c r="C297" s="195" t="s">
        <v>685</v>
      </c>
      <c r="D297" s="195" t="s">
        <v>687</v>
      </c>
      <c r="E297" s="196">
        <v>0</v>
      </c>
      <c r="F297" s="159">
        <v>0</v>
      </c>
      <c r="G297" s="158">
        <v>0</v>
      </c>
      <c r="H297" s="196">
        <v>0</v>
      </c>
      <c r="I297" s="198">
        <v>0</v>
      </c>
      <c r="J297" s="165">
        <f t="shared" si="10"/>
        <v>0</v>
      </c>
      <c r="K297" s="170" t="str">
        <f t="shared" si="9"/>
        <v>353</v>
      </c>
    </row>
    <row r="298" spans="1:11" x14ac:dyDescent="0.3">
      <c r="A298" s="194">
        <v>353999</v>
      </c>
      <c r="B298" s="195" t="s">
        <v>961</v>
      </c>
      <c r="C298" s="195" t="s">
        <v>685</v>
      </c>
      <c r="D298" s="195" t="s">
        <v>690</v>
      </c>
      <c r="E298" s="196">
        <v>0</v>
      </c>
      <c r="F298" s="159">
        <v>0</v>
      </c>
      <c r="G298" s="157">
        <v>0</v>
      </c>
      <c r="H298" s="196">
        <v>0</v>
      </c>
      <c r="I298" s="198">
        <v>0</v>
      </c>
      <c r="J298" s="165">
        <f t="shared" si="10"/>
        <v>0</v>
      </c>
      <c r="K298" s="170" t="str">
        <f t="shared" si="9"/>
        <v>353</v>
      </c>
    </row>
    <row r="299" spans="1:11" x14ac:dyDescent="0.3">
      <c r="A299" s="194">
        <v>354000</v>
      </c>
      <c r="B299" s="195" t="s">
        <v>962</v>
      </c>
      <c r="C299" s="195" t="s">
        <v>685</v>
      </c>
      <c r="D299" s="195" t="s">
        <v>687</v>
      </c>
      <c r="E299" s="196">
        <v>0</v>
      </c>
      <c r="F299" s="159">
        <v>0</v>
      </c>
      <c r="G299" s="158">
        <v>0</v>
      </c>
      <c r="H299" s="196">
        <v>0</v>
      </c>
      <c r="I299" s="198">
        <v>0</v>
      </c>
      <c r="J299" s="165">
        <f t="shared" si="10"/>
        <v>0</v>
      </c>
      <c r="K299" s="170" t="str">
        <f t="shared" si="9"/>
        <v>354</v>
      </c>
    </row>
    <row r="300" spans="1:11" x14ac:dyDescent="0.3">
      <c r="A300" s="194">
        <v>354999</v>
      </c>
      <c r="B300" s="195" t="s">
        <v>963</v>
      </c>
      <c r="C300" s="195" t="s">
        <v>685</v>
      </c>
      <c r="D300" s="195" t="s">
        <v>690</v>
      </c>
      <c r="E300" s="196">
        <v>0</v>
      </c>
      <c r="F300" s="159">
        <v>0</v>
      </c>
      <c r="G300" s="157">
        <v>0</v>
      </c>
      <c r="H300" s="196">
        <v>0</v>
      </c>
      <c r="I300" s="198">
        <v>0</v>
      </c>
      <c r="J300" s="165">
        <f t="shared" si="10"/>
        <v>0</v>
      </c>
      <c r="K300" s="170" t="str">
        <f t="shared" si="9"/>
        <v>354</v>
      </c>
    </row>
    <row r="301" spans="1:11" x14ac:dyDescent="0.3">
      <c r="A301" s="194">
        <v>355000</v>
      </c>
      <c r="B301" s="195" t="s">
        <v>964</v>
      </c>
      <c r="C301" s="195" t="s">
        <v>685</v>
      </c>
      <c r="D301" s="195" t="s">
        <v>687</v>
      </c>
      <c r="E301" s="196">
        <v>0</v>
      </c>
      <c r="F301" s="159">
        <v>0</v>
      </c>
      <c r="G301" s="158">
        <v>0</v>
      </c>
      <c r="H301" s="196">
        <v>0</v>
      </c>
      <c r="I301" s="198">
        <v>0</v>
      </c>
      <c r="J301" s="165">
        <f t="shared" si="10"/>
        <v>0</v>
      </c>
      <c r="K301" s="170" t="str">
        <f t="shared" si="9"/>
        <v>355</v>
      </c>
    </row>
    <row r="302" spans="1:11" x14ac:dyDescent="0.3">
      <c r="A302" s="194">
        <v>355999</v>
      </c>
      <c r="B302" s="195" t="s">
        <v>965</v>
      </c>
      <c r="C302" s="195" t="s">
        <v>685</v>
      </c>
      <c r="D302" s="195" t="s">
        <v>690</v>
      </c>
      <c r="E302" s="196">
        <v>0</v>
      </c>
      <c r="F302" s="159">
        <v>0</v>
      </c>
      <c r="G302" s="157">
        <v>0</v>
      </c>
      <c r="H302" s="196">
        <v>0</v>
      </c>
      <c r="I302" s="198">
        <v>0</v>
      </c>
      <c r="J302" s="165">
        <f t="shared" si="10"/>
        <v>0</v>
      </c>
      <c r="K302" s="170" t="str">
        <f t="shared" si="9"/>
        <v>355</v>
      </c>
    </row>
    <row r="303" spans="1:11" x14ac:dyDescent="0.3">
      <c r="A303" s="194">
        <v>358000</v>
      </c>
      <c r="B303" s="195" t="s">
        <v>966</v>
      </c>
      <c r="C303" s="195" t="s">
        <v>685</v>
      </c>
      <c r="D303" s="195" t="s">
        <v>687</v>
      </c>
      <c r="E303" s="196">
        <v>0</v>
      </c>
      <c r="F303" s="159">
        <v>0</v>
      </c>
      <c r="G303" s="158">
        <v>0</v>
      </c>
      <c r="H303" s="196">
        <v>0</v>
      </c>
      <c r="I303" s="198">
        <v>0</v>
      </c>
      <c r="J303" s="165">
        <f t="shared" si="10"/>
        <v>0</v>
      </c>
      <c r="K303" s="170" t="str">
        <f t="shared" si="9"/>
        <v>358</v>
      </c>
    </row>
    <row r="304" spans="1:11" x14ac:dyDescent="0.3">
      <c r="A304" s="194">
        <v>358100</v>
      </c>
      <c r="B304" s="195" t="s">
        <v>966</v>
      </c>
      <c r="C304" s="195" t="s">
        <v>685</v>
      </c>
      <c r="D304" s="195" t="s">
        <v>686</v>
      </c>
      <c r="E304" s="196">
        <v>0</v>
      </c>
      <c r="F304" s="159">
        <v>0</v>
      </c>
      <c r="G304" s="157">
        <v>0</v>
      </c>
      <c r="H304" s="196">
        <v>0</v>
      </c>
      <c r="I304" s="198">
        <v>0</v>
      </c>
      <c r="J304" s="165">
        <f t="shared" si="10"/>
        <v>0</v>
      </c>
      <c r="K304" s="170" t="str">
        <f t="shared" si="9"/>
        <v>358</v>
      </c>
    </row>
    <row r="305" spans="1:11" x14ac:dyDescent="0.3">
      <c r="A305" s="194">
        <v>358998</v>
      </c>
      <c r="B305" s="195" t="s">
        <v>967</v>
      </c>
      <c r="C305" s="195" t="s">
        <v>685</v>
      </c>
      <c r="D305" s="195" t="s">
        <v>690</v>
      </c>
      <c r="E305" s="196">
        <v>0</v>
      </c>
      <c r="F305" s="159">
        <v>0</v>
      </c>
      <c r="G305" s="158">
        <v>0</v>
      </c>
      <c r="H305" s="196">
        <v>0</v>
      </c>
      <c r="I305" s="198">
        <v>0</v>
      </c>
      <c r="J305" s="165">
        <f t="shared" si="10"/>
        <v>0</v>
      </c>
      <c r="K305" s="170" t="str">
        <f t="shared" si="9"/>
        <v>358</v>
      </c>
    </row>
    <row r="306" spans="1:11" x14ac:dyDescent="0.3">
      <c r="A306" s="194">
        <v>358999</v>
      </c>
      <c r="B306" s="195" t="s">
        <v>968</v>
      </c>
      <c r="C306" s="195" t="s">
        <v>685</v>
      </c>
      <c r="D306" s="195" t="s">
        <v>690</v>
      </c>
      <c r="E306" s="196">
        <v>0</v>
      </c>
      <c r="F306" s="159">
        <v>0</v>
      </c>
      <c r="G306" s="157">
        <v>0</v>
      </c>
      <c r="H306" s="196">
        <v>3000000</v>
      </c>
      <c r="I306" s="198">
        <v>3000000</v>
      </c>
      <c r="J306" s="165">
        <f t="shared" si="10"/>
        <v>0</v>
      </c>
      <c r="K306" s="170" t="str">
        <f t="shared" si="9"/>
        <v>358</v>
      </c>
    </row>
    <row r="307" spans="1:11" x14ac:dyDescent="0.3">
      <c r="A307" s="194">
        <v>360000</v>
      </c>
      <c r="B307" s="195" t="s">
        <v>969</v>
      </c>
      <c r="C307" s="195" t="s">
        <v>685</v>
      </c>
      <c r="D307" s="195" t="s">
        <v>687</v>
      </c>
      <c r="E307" s="196">
        <v>0</v>
      </c>
      <c r="F307" s="159">
        <v>0</v>
      </c>
      <c r="G307" s="158">
        <v>0</v>
      </c>
      <c r="H307" s="196">
        <v>0</v>
      </c>
      <c r="I307" s="198">
        <v>0</v>
      </c>
      <c r="J307" s="165">
        <f t="shared" si="10"/>
        <v>0</v>
      </c>
      <c r="K307" s="170" t="str">
        <f t="shared" si="9"/>
        <v>360</v>
      </c>
    </row>
    <row r="308" spans="1:11" x14ac:dyDescent="0.3">
      <c r="A308" s="194">
        <v>361000</v>
      </c>
      <c r="B308" s="195" t="s">
        <v>970</v>
      </c>
      <c r="C308" s="195" t="s">
        <v>685</v>
      </c>
      <c r="D308" s="195" t="s">
        <v>687</v>
      </c>
      <c r="E308" s="196">
        <v>0</v>
      </c>
      <c r="F308" s="159">
        <v>0</v>
      </c>
      <c r="G308" s="157">
        <v>0</v>
      </c>
      <c r="H308" s="196">
        <v>0</v>
      </c>
      <c r="I308" s="198">
        <v>0</v>
      </c>
      <c r="J308" s="165">
        <f t="shared" si="10"/>
        <v>0</v>
      </c>
      <c r="K308" s="170" t="str">
        <f t="shared" si="9"/>
        <v>361</v>
      </c>
    </row>
    <row r="309" spans="1:11" x14ac:dyDescent="0.3">
      <c r="A309" s="194">
        <v>361100</v>
      </c>
      <c r="B309" s="195" t="s">
        <v>970</v>
      </c>
      <c r="C309" s="195" t="s">
        <v>685</v>
      </c>
      <c r="D309" s="195" t="s">
        <v>686</v>
      </c>
      <c r="E309" s="196">
        <v>0</v>
      </c>
      <c r="F309" s="159">
        <v>0</v>
      </c>
      <c r="G309" s="158">
        <v>0</v>
      </c>
      <c r="H309" s="196">
        <v>0</v>
      </c>
      <c r="I309" s="198">
        <v>0</v>
      </c>
      <c r="J309" s="165">
        <f t="shared" si="10"/>
        <v>0</v>
      </c>
      <c r="K309" s="170" t="str">
        <f t="shared" si="9"/>
        <v>361</v>
      </c>
    </row>
    <row r="310" spans="1:11" x14ac:dyDescent="0.3">
      <c r="A310" s="194">
        <v>361999</v>
      </c>
      <c r="B310" s="195" t="s">
        <v>971</v>
      </c>
      <c r="C310" s="195" t="s">
        <v>685</v>
      </c>
      <c r="D310" s="195" t="s">
        <v>690</v>
      </c>
      <c r="E310" s="196">
        <v>0</v>
      </c>
      <c r="F310" s="159">
        <v>0</v>
      </c>
      <c r="G310" s="157">
        <v>0</v>
      </c>
      <c r="H310" s="196">
        <v>0</v>
      </c>
      <c r="I310" s="198">
        <v>0</v>
      </c>
      <c r="J310" s="165">
        <f t="shared" si="10"/>
        <v>0</v>
      </c>
      <c r="K310" s="170" t="str">
        <f t="shared" si="9"/>
        <v>361</v>
      </c>
    </row>
    <row r="311" spans="1:11" x14ac:dyDescent="0.3">
      <c r="A311" s="194">
        <v>364000</v>
      </c>
      <c r="B311" s="195" t="s">
        <v>972</v>
      </c>
      <c r="C311" s="195" t="s">
        <v>685</v>
      </c>
      <c r="D311" s="195" t="s">
        <v>687</v>
      </c>
      <c r="E311" s="196">
        <v>0</v>
      </c>
      <c r="F311" s="159">
        <v>0</v>
      </c>
      <c r="G311" s="158">
        <v>0</v>
      </c>
      <c r="H311" s="196">
        <v>0</v>
      </c>
      <c r="I311" s="198">
        <v>0</v>
      </c>
      <c r="J311" s="165">
        <f t="shared" si="10"/>
        <v>0</v>
      </c>
      <c r="K311" s="170" t="str">
        <f t="shared" si="9"/>
        <v>364</v>
      </c>
    </row>
    <row r="312" spans="1:11" x14ac:dyDescent="0.3">
      <c r="A312" s="194">
        <v>364999</v>
      </c>
      <c r="B312" s="195" t="s">
        <v>973</v>
      </c>
      <c r="C312" s="195" t="s">
        <v>685</v>
      </c>
      <c r="D312" s="195" t="s">
        <v>690</v>
      </c>
      <c r="E312" s="196">
        <v>0</v>
      </c>
      <c r="F312" s="159">
        <v>0</v>
      </c>
      <c r="G312" s="157">
        <v>0</v>
      </c>
      <c r="H312" s="196">
        <v>0</v>
      </c>
      <c r="I312" s="198">
        <v>0</v>
      </c>
      <c r="J312" s="165">
        <f t="shared" si="10"/>
        <v>0</v>
      </c>
      <c r="K312" s="170" t="str">
        <f t="shared" si="9"/>
        <v>364</v>
      </c>
    </row>
    <row r="313" spans="1:11" x14ac:dyDescent="0.3">
      <c r="A313" s="194">
        <v>365000</v>
      </c>
      <c r="B313" s="195" t="s">
        <v>974</v>
      </c>
      <c r="C313" s="195" t="s">
        <v>685</v>
      </c>
      <c r="D313" s="195" t="s">
        <v>687</v>
      </c>
      <c r="E313" s="196">
        <v>0</v>
      </c>
      <c r="F313" s="159">
        <v>0</v>
      </c>
      <c r="G313" s="158">
        <v>0</v>
      </c>
      <c r="H313" s="196">
        <v>0</v>
      </c>
      <c r="I313" s="198">
        <v>0</v>
      </c>
      <c r="J313" s="165">
        <f t="shared" si="10"/>
        <v>0</v>
      </c>
      <c r="K313" s="170" t="str">
        <f t="shared" si="9"/>
        <v>365</v>
      </c>
    </row>
    <row r="314" spans="1:11" x14ac:dyDescent="0.3">
      <c r="A314" s="194">
        <v>365999</v>
      </c>
      <c r="B314" s="195" t="s">
        <v>975</v>
      </c>
      <c r="C314" s="195" t="s">
        <v>685</v>
      </c>
      <c r="D314" s="195" t="s">
        <v>690</v>
      </c>
      <c r="E314" s="196">
        <v>0</v>
      </c>
      <c r="F314" s="159">
        <v>0</v>
      </c>
      <c r="G314" s="157">
        <v>0</v>
      </c>
      <c r="H314" s="196">
        <v>0</v>
      </c>
      <c r="I314" s="198">
        <v>0</v>
      </c>
      <c r="J314" s="165">
        <f t="shared" si="10"/>
        <v>0</v>
      </c>
      <c r="K314" s="170" t="str">
        <f t="shared" si="9"/>
        <v>365</v>
      </c>
    </row>
    <row r="315" spans="1:11" x14ac:dyDescent="0.3">
      <c r="A315" s="194">
        <v>366000</v>
      </c>
      <c r="B315" s="195" t="s">
        <v>976</v>
      </c>
      <c r="C315" s="195" t="s">
        <v>685</v>
      </c>
      <c r="D315" s="195" t="s">
        <v>687</v>
      </c>
      <c r="E315" s="196">
        <v>0</v>
      </c>
      <c r="F315" s="159">
        <v>0</v>
      </c>
      <c r="G315" s="158">
        <v>0</v>
      </c>
      <c r="H315" s="196">
        <v>0</v>
      </c>
      <c r="I315" s="198">
        <v>0</v>
      </c>
      <c r="J315" s="165">
        <f t="shared" si="10"/>
        <v>0</v>
      </c>
      <c r="K315" s="170" t="str">
        <f t="shared" si="9"/>
        <v>366</v>
      </c>
    </row>
    <row r="316" spans="1:11" x14ac:dyDescent="0.3">
      <c r="A316" s="194">
        <v>366100</v>
      </c>
      <c r="B316" s="195" t="s">
        <v>976</v>
      </c>
      <c r="C316" s="195" t="s">
        <v>685</v>
      </c>
      <c r="D316" s="195" t="s">
        <v>686</v>
      </c>
      <c r="E316" s="196">
        <v>0</v>
      </c>
      <c r="F316" s="159">
        <v>0</v>
      </c>
      <c r="G316" s="157">
        <v>0</v>
      </c>
      <c r="H316" s="196">
        <v>0</v>
      </c>
      <c r="I316" s="198">
        <v>0</v>
      </c>
      <c r="J316" s="165">
        <f t="shared" si="10"/>
        <v>0</v>
      </c>
      <c r="K316" s="170" t="str">
        <f t="shared" si="9"/>
        <v>366</v>
      </c>
    </row>
    <row r="317" spans="1:11" x14ac:dyDescent="0.3">
      <c r="A317" s="194">
        <v>366999</v>
      </c>
      <c r="B317" s="195" t="s">
        <v>977</v>
      </c>
      <c r="C317" s="195" t="s">
        <v>685</v>
      </c>
      <c r="D317" s="195" t="s">
        <v>690</v>
      </c>
      <c r="E317" s="196">
        <v>0</v>
      </c>
      <c r="F317" s="159">
        <v>0</v>
      </c>
      <c r="G317" s="158">
        <v>0</v>
      </c>
      <c r="H317" s="196">
        <v>0</v>
      </c>
      <c r="I317" s="198">
        <v>0</v>
      </c>
      <c r="J317" s="165">
        <f t="shared" si="10"/>
        <v>0</v>
      </c>
      <c r="K317" s="170" t="str">
        <f t="shared" si="9"/>
        <v>366</v>
      </c>
    </row>
    <row r="318" spans="1:11" x14ac:dyDescent="0.3">
      <c r="A318" s="194">
        <v>367000</v>
      </c>
      <c r="B318" s="195" t="s">
        <v>978</v>
      </c>
      <c r="C318" s="195" t="s">
        <v>685</v>
      </c>
      <c r="D318" s="195" t="s">
        <v>687</v>
      </c>
      <c r="E318" s="196">
        <v>0</v>
      </c>
      <c r="F318" s="159">
        <v>0</v>
      </c>
      <c r="G318" s="157">
        <v>0</v>
      </c>
      <c r="H318" s="196">
        <v>0</v>
      </c>
      <c r="I318" s="198">
        <v>0</v>
      </c>
      <c r="J318" s="165">
        <f t="shared" si="10"/>
        <v>0</v>
      </c>
      <c r="K318" s="170" t="str">
        <f t="shared" si="9"/>
        <v>367</v>
      </c>
    </row>
    <row r="319" spans="1:11" x14ac:dyDescent="0.3">
      <c r="A319" s="194">
        <v>367999</v>
      </c>
      <c r="B319" s="195" t="s">
        <v>979</v>
      </c>
      <c r="C319" s="195" t="s">
        <v>685</v>
      </c>
      <c r="D319" s="195" t="s">
        <v>690</v>
      </c>
      <c r="E319" s="196">
        <v>0</v>
      </c>
      <c r="F319" s="159">
        <v>0</v>
      </c>
      <c r="G319" s="158">
        <v>0</v>
      </c>
      <c r="H319" s="196">
        <v>0</v>
      </c>
      <c r="I319" s="198">
        <v>0</v>
      </c>
      <c r="J319" s="165">
        <f t="shared" si="10"/>
        <v>0</v>
      </c>
      <c r="K319" s="170" t="str">
        <f t="shared" si="9"/>
        <v>367</v>
      </c>
    </row>
    <row r="320" spans="1:11" x14ac:dyDescent="0.3">
      <c r="A320" s="194">
        <v>368000</v>
      </c>
      <c r="B320" s="195" t="s">
        <v>980</v>
      </c>
      <c r="C320" s="195" t="s">
        <v>685</v>
      </c>
      <c r="D320" s="195" t="s">
        <v>687</v>
      </c>
      <c r="E320" s="196">
        <v>0</v>
      </c>
      <c r="F320" s="159">
        <v>0</v>
      </c>
      <c r="G320" s="157">
        <v>0</v>
      </c>
      <c r="H320" s="196">
        <v>0</v>
      </c>
      <c r="I320" s="198">
        <v>0</v>
      </c>
      <c r="J320" s="165">
        <f t="shared" si="10"/>
        <v>0</v>
      </c>
      <c r="K320" s="170" t="str">
        <f t="shared" si="9"/>
        <v>368</v>
      </c>
    </row>
    <row r="321" spans="1:11" x14ac:dyDescent="0.3">
      <c r="A321" s="194">
        <v>368998</v>
      </c>
      <c r="B321" s="195" t="s">
        <v>981</v>
      </c>
      <c r="C321" s="195" t="s">
        <v>685</v>
      </c>
      <c r="D321" s="195" t="s">
        <v>690</v>
      </c>
      <c r="E321" s="196">
        <v>0</v>
      </c>
      <c r="F321" s="159">
        <v>0</v>
      </c>
      <c r="G321" s="158">
        <v>0</v>
      </c>
      <c r="H321" s="196">
        <v>0</v>
      </c>
      <c r="I321" s="198">
        <v>0</v>
      </c>
      <c r="J321" s="165">
        <f t="shared" si="10"/>
        <v>0</v>
      </c>
      <c r="K321" s="170" t="str">
        <f t="shared" si="9"/>
        <v>368</v>
      </c>
    </row>
    <row r="322" spans="1:11" x14ac:dyDescent="0.3">
      <c r="A322" s="194">
        <v>368999</v>
      </c>
      <c r="B322" s="195" t="s">
        <v>982</v>
      </c>
      <c r="C322" s="195" t="s">
        <v>685</v>
      </c>
      <c r="D322" s="195" t="s">
        <v>690</v>
      </c>
      <c r="E322" s="196">
        <v>0</v>
      </c>
      <c r="F322" s="159">
        <v>0</v>
      </c>
      <c r="G322" s="157">
        <v>0</v>
      </c>
      <c r="H322" s="196">
        <v>0</v>
      </c>
      <c r="I322" s="198">
        <v>0</v>
      </c>
      <c r="J322" s="165">
        <f t="shared" si="10"/>
        <v>0</v>
      </c>
      <c r="K322" s="170" t="str">
        <f t="shared" si="9"/>
        <v>368</v>
      </c>
    </row>
    <row r="323" spans="1:11" x14ac:dyDescent="0.3">
      <c r="A323" s="194">
        <v>370000</v>
      </c>
      <c r="B323" s="195" t="s">
        <v>983</v>
      </c>
      <c r="C323" s="195" t="s">
        <v>685</v>
      </c>
      <c r="D323" s="195" t="s">
        <v>687</v>
      </c>
      <c r="E323" s="196">
        <v>0</v>
      </c>
      <c r="F323" s="159">
        <v>0</v>
      </c>
      <c r="G323" s="158">
        <v>0</v>
      </c>
      <c r="H323" s="196">
        <v>0</v>
      </c>
      <c r="I323" s="198">
        <v>0</v>
      </c>
      <c r="J323" s="165">
        <f t="shared" si="10"/>
        <v>0</v>
      </c>
      <c r="K323" s="170" t="str">
        <f t="shared" ref="K323:K386" si="11">IF(A323&lt;100000,CONCATENATE(0,LEFT(A323,2)),LEFT(A323,3))</f>
        <v>370</v>
      </c>
    </row>
    <row r="324" spans="1:11" x14ac:dyDescent="0.3">
      <c r="A324" s="194">
        <v>371000</v>
      </c>
      <c r="B324" s="195" t="s">
        <v>984</v>
      </c>
      <c r="C324" s="195" t="s">
        <v>685</v>
      </c>
      <c r="D324" s="195" t="s">
        <v>687</v>
      </c>
      <c r="E324" s="196">
        <v>0</v>
      </c>
      <c r="F324" s="159">
        <v>0</v>
      </c>
      <c r="G324" s="157">
        <v>0</v>
      </c>
      <c r="H324" s="196">
        <v>0</v>
      </c>
      <c r="I324" s="198">
        <v>0</v>
      </c>
      <c r="J324" s="165">
        <f t="shared" ref="J324:J387" si="12">F324-H324+I324</f>
        <v>0</v>
      </c>
      <c r="K324" s="170" t="str">
        <f t="shared" si="11"/>
        <v>371</v>
      </c>
    </row>
    <row r="325" spans="1:11" x14ac:dyDescent="0.3">
      <c r="A325" s="194">
        <v>371100</v>
      </c>
      <c r="B325" s="195" t="s">
        <v>984</v>
      </c>
      <c r="C325" s="195" t="s">
        <v>685</v>
      </c>
      <c r="D325" s="195" t="s">
        <v>686</v>
      </c>
      <c r="E325" s="196">
        <v>0</v>
      </c>
      <c r="F325" s="159">
        <v>0</v>
      </c>
      <c r="G325" s="158">
        <v>0</v>
      </c>
      <c r="H325" s="196">
        <v>0</v>
      </c>
      <c r="I325" s="198">
        <v>0</v>
      </c>
      <c r="J325" s="165">
        <f t="shared" si="12"/>
        <v>0</v>
      </c>
      <c r="K325" s="170" t="str">
        <f t="shared" si="11"/>
        <v>371</v>
      </c>
    </row>
    <row r="326" spans="1:11" x14ac:dyDescent="0.3">
      <c r="A326" s="194">
        <v>371999</v>
      </c>
      <c r="B326" s="195" t="s">
        <v>985</v>
      </c>
      <c r="C326" s="195" t="s">
        <v>685</v>
      </c>
      <c r="D326" s="195" t="s">
        <v>690</v>
      </c>
      <c r="E326" s="196">
        <v>0</v>
      </c>
      <c r="F326" s="159">
        <v>0</v>
      </c>
      <c r="G326" s="157">
        <v>0</v>
      </c>
      <c r="H326" s="196">
        <v>0</v>
      </c>
      <c r="I326" s="198">
        <v>0</v>
      </c>
      <c r="J326" s="165">
        <f t="shared" si="12"/>
        <v>0</v>
      </c>
      <c r="K326" s="170" t="str">
        <f t="shared" si="11"/>
        <v>371</v>
      </c>
    </row>
    <row r="327" spans="1:11" x14ac:dyDescent="0.3">
      <c r="A327" s="194">
        <v>372000</v>
      </c>
      <c r="B327" s="195" t="s">
        <v>986</v>
      </c>
      <c r="C327" s="195" t="s">
        <v>685</v>
      </c>
      <c r="D327" s="195" t="s">
        <v>687</v>
      </c>
      <c r="E327" s="196">
        <v>0</v>
      </c>
      <c r="F327" s="159">
        <v>0</v>
      </c>
      <c r="G327" s="158">
        <v>0</v>
      </c>
      <c r="H327" s="196">
        <v>0</v>
      </c>
      <c r="I327" s="198">
        <v>0</v>
      </c>
      <c r="J327" s="165">
        <f t="shared" si="12"/>
        <v>0</v>
      </c>
      <c r="K327" s="170" t="str">
        <f t="shared" si="11"/>
        <v>372</v>
      </c>
    </row>
    <row r="328" spans="1:11" x14ac:dyDescent="0.3">
      <c r="A328" s="194">
        <v>372999</v>
      </c>
      <c r="B328" s="195" t="s">
        <v>987</v>
      </c>
      <c r="C328" s="195" t="s">
        <v>685</v>
      </c>
      <c r="D328" s="195" t="s">
        <v>690</v>
      </c>
      <c r="E328" s="196">
        <v>0</v>
      </c>
      <c r="F328" s="159">
        <v>0</v>
      </c>
      <c r="G328" s="157">
        <v>0</v>
      </c>
      <c r="H328" s="196">
        <v>0</v>
      </c>
      <c r="I328" s="198">
        <v>0</v>
      </c>
      <c r="J328" s="165">
        <f t="shared" si="12"/>
        <v>0</v>
      </c>
      <c r="K328" s="170" t="str">
        <f t="shared" si="11"/>
        <v>372</v>
      </c>
    </row>
    <row r="329" spans="1:11" x14ac:dyDescent="0.3">
      <c r="A329" s="194">
        <v>373000</v>
      </c>
      <c r="B329" s="195" t="s">
        <v>988</v>
      </c>
      <c r="C329" s="195" t="s">
        <v>685</v>
      </c>
      <c r="D329" s="195" t="s">
        <v>687</v>
      </c>
      <c r="E329" s="196">
        <v>0</v>
      </c>
      <c r="F329" s="159">
        <v>0</v>
      </c>
      <c r="G329" s="158">
        <v>0</v>
      </c>
      <c r="H329" s="196">
        <v>0</v>
      </c>
      <c r="I329" s="198">
        <v>0</v>
      </c>
      <c r="J329" s="165">
        <f t="shared" si="12"/>
        <v>0</v>
      </c>
      <c r="K329" s="170" t="str">
        <f t="shared" si="11"/>
        <v>373</v>
      </c>
    </row>
    <row r="330" spans="1:11" x14ac:dyDescent="0.3">
      <c r="A330" s="194">
        <v>373999</v>
      </c>
      <c r="B330" s="195" t="s">
        <v>989</v>
      </c>
      <c r="C330" s="195" t="s">
        <v>685</v>
      </c>
      <c r="D330" s="195" t="s">
        <v>690</v>
      </c>
      <c r="E330" s="196">
        <v>0</v>
      </c>
      <c r="F330" s="159">
        <v>0</v>
      </c>
      <c r="G330" s="157">
        <v>0</v>
      </c>
      <c r="H330" s="196">
        <v>0</v>
      </c>
      <c r="I330" s="198">
        <v>0</v>
      </c>
      <c r="J330" s="165">
        <f t="shared" si="12"/>
        <v>0</v>
      </c>
      <c r="K330" s="170" t="str">
        <f t="shared" si="11"/>
        <v>373</v>
      </c>
    </row>
    <row r="331" spans="1:11" x14ac:dyDescent="0.3">
      <c r="A331" s="194">
        <v>374000</v>
      </c>
      <c r="B331" s="195" t="s">
        <v>990</v>
      </c>
      <c r="C331" s="195" t="s">
        <v>685</v>
      </c>
      <c r="D331" s="195" t="s">
        <v>687</v>
      </c>
      <c r="E331" s="196">
        <v>0</v>
      </c>
      <c r="F331" s="159">
        <v>0</v>
      </c>
      <c r="G331" s="158">
        <v>0</v>
      </c>
      <c r="H331" s="196">
        <v>0</v>
      </c>
      <c r="I331" s="198">
        <v>0</v>
      </c>
      <c r="J331" s="165">
        <f t="shared" si="12"/>
        <v>0</v>
      </c>
      <c r="K331" s="170" t="str">
        <f t="shared" si="11"/>
        <v>374</v>
      </c>
    </row>
    <row r="332" spans="1:11" x14ac:dyDescent="0.3">
      <c r="A332" s="194">
        <v>374999</v>
      </c>
      <c r="B332" s="195" t="s">
        <v>991</v>
      </c>
      <c r="C332" s="195" t="s">
        <v>685</v>
      </c>
      <c r="D332" s="195" t="s">
        <v>690</v>
      </c>
      <c r="E332" s="196">
        <v>0</v>
      </c>
      <c r="F332" s="159">
        <v>0</v>
      </c>
      <c r="G332" s="157">
        <v>0</v>
      </c>
      <c r="H332" s="196">
        <v>0</v>
      </c>
      <c r="I332" s="198">
        <v>0</v>
      </c>
      <c r="J332" s="165">
        <f t="shared" si="12"/>
        <v>0</v>
      </c>
      <c r="K332" s="170" t="str">
        <f t="shared" si="11"/>
        <v>374</v>
      </c>
    </row>
    <row r="333" spans="1:11" x14ac:dyDescent="0.3">
      <c r="A333" s="194">
        <v>375000</v>
      </c>
      <c r="B333" s="195" t="s">
        <v>992</v>
      </c>
      <c r="C333" s="195" t="s">
        <v>685</v>
      </c>
      <c r="D333" s="195" t="s">
        <v>687</v>
      </c>
      <c r="E333" s="196">
        <v>0</v>
      </c>
      <c r="F333" s="159">
        <v>0</v>
      </c>
      <c r="G333" s="158">
        <v>0</v>
      </c>
      <c r="H333" s="196">
        <v>0</v>
      </c>
      <c r="I333" s="198">
        <v>0</v>
      </c>
      <c r="J333" s="165">
        <f t="shared" si="12"/>
        <v>0</v>
      </c>
      <c r="K333" s="170" t="str">
        <f t="shared" si="11"/>
        <v>375</v>
      </c>
    </row>
    <row r="334" spans="1:11" x14ac:dyDescent="0.3">
      <c r="A334" s="194">
        <v>375999</v>
      </c>
      <c r="B334" s="195" t="s">
        <v>993</v>
      </c>
      <c r="C334" s="195" t="s">
        <v>685</v>
      </c>
      <c r="D334" s="195" t="s">
        <v>690</v>
      </c>
      <c r="E334" s="196">
        <v>0</v>
      </c>
      <c r="F334" s="159">
        <v>0</v>
      </c>
      <c r="G334" s="157">
        <v>0</v>
      </c>
      <c r="H334" s="196">
        <v>0</v>
      </c>
      <c r="I334" s="198">
        <v>0</v>
      </c>
      <c r="J334" s="165">
        <f t="shared" si="12"/>
        <v>0</v>
      </c>
      <c r="K334" s="170" t="str">
        <f t="shared" si="11"/>
        <v>375</v>
      </c>
    </row>
    <row r="335" spans="1:11" x14ac:dyDescent="0.3">
      <c r="A335" s="194">
        <v>376000</v>
      </c>
      <c r="B335" s="195" t="s">
        <v>994</v>
      </c>
      <c r="C335" s="195" t="s">
        <v>685</v>
      </c>
      <c r="D335" s="195" t="s">
        <v>687</v>
      </c>
      <c r="E335" s="196">
        <v>0</v>
      </c>
      <c r="F335" s="159">
        <v>0</v>
      </c>
      <c r="G335" s="158">
        <v>0</v>
      </c>
      <c r="H335" s="196">
        <v>0</v>
      </c>
      <c r="I335" s="198">
        <v>0</v>
      </c>
      <c r="J335" s="165">
        <f t="shared" si="12"/>
        <v>0</v>
      </c>
      <c r="K335" s="170" t="str">
        <f t="shared" si="11"/>
        <v>376</v>
      </c>
    </row>
    <row r="336" spans="1:11" x14ac:dyDescent="0.3">
      <c r="A336" s="194">
        <v>376999</v>
      </c>
      <c r="B336" s="195" t="s">
        <v>995</v>
      </c>
      <c r="C336" s="195" t="s">
        <v>685</v>
      </c>
      <c r="D336" s="195" t="s">
        <v>690</v>
      </c>
      <c r="E336" s="196">
        <v>0</v>
      </c>
      <c r="F336" s="159">
        <v>0</v>
      </c>
      <c r="G336" s="157">
        <v>0</v>
      </c>
      <c r="H336" s="196">
        <v>0</v>
      </c>
      <c r="I336" s="198">
        <v>0</v>
      </c>
      <c r="J336" s="165">
        <f t="shared" si="12"/>
        <v>0</v>
      </c>
      <c r="K336" s="170" t="str">
        <f t="shared" si="11"/>
        <v>376</v>
      </c>
    </row>
    <row r="337" spans="1:11" x14ac:dyDescent="0.3">
      <c r="A337" s="194">
        <v>377000</v>
      </c>
      <c r="B337" s="195" t="s">
        <v>996</v>
      </c>
      <c r="C337" s="195" t="s">
        <v>685</v>
      </c>
      <c r="D337" s="195" t="s">
        <v>687</v>
      </c>
      <c r="E337" s="196">
        <v>0</v>
      </c>
      <c r="F337" s="159">
        <v>0</v>
      </c>
      <c r="G337" s="158">
        <v>0</v>
      </c>
      <c r="H337" s="196">
        <v>0</v>
      </c>
      <c r="I337" s="198">
        <v>0</v>
      </c>
      <c r="J337" s="165">
        <f t="shared" si="12"/>
        <v>0</v>
      </c>
      <c r="K337" s="170" t="str">
        <f t="shared" si="11"/>
        <v>377</v>
      </c>
    </row>
    <row r="338" spans="1:11" x14ac:dyDescent="0.3">
      <c r="A338" s="194">
        <v>377999</v>
      </c>
      <c r="B338" s="195" t="s">
        <v>997</v>
      </c>
      <c r="C338" s="195" t="s">
        <v>685</v>
      </c>
      <c r="D338" s="195" t="s">
        <v>690</v>
      </c>
      <c r="E338" s="196">
        <v>0</v>
      </c>
      <c r="F338" s="159">
        <v>0</v>
      </c>
      <c r="G338" s="157">
        <v>0</v>
      </c>
      <c r="H338" s="196">
        <v>0</v>
      </c>
      <c r="I338" s="198">
        <v>0</v>
      </c>
      <c r="J338" s="165">
        <f t="shared" si="12"/>
        <v>0</v>
      </c>
      <c r="K338" s="170" t="str">
        <f t="shared" si="11"/>
        <v>377</v>
      </c>
    </row>
    <row r="339" spans="1:11" x14ac:dyDescent="0.3">
      <c r="A339" s="194">
        <v>378000</v>
      </c>
      <c r="B339" s="195" t="s">
        <v>134</v>
      </c>
      <c r="C339" s="195" t="s">
        <v>685</v>
      </c>
      <c r="D339" s="195" t="s">
        <v>687</v>
      </c>
      <c r="E339" s="196">
        <v>0</v>
      </c>
      <c r="F339" s="159">
        <v>0</v>
      </c>
      <c r="G339" s="158">
        <v>0</v>
      </c>
      <c r="H339" s="196">
        <v>0</v>
      </c>
      <c r="I339" s="198">
        <v>0</v>
      </c>
      <c r="J339" s="165">
        <f t="shared" si="12"/>
        <v>0</v>
      </c>
      <c r="K339" s="170" t="str">
        <f t="shared" si="11"/>
        <v>378</v>
      </c>
    </row>
    <row r="340" spans="1:11" x14ac:dyDescent="0.3">
      <c r="A340" s="194">
        <v>378001</v>
      </c>
      <c r="B340" s="195" t="s">
        <v>864</v>
      </c>
      <c r="C340" s="195" t="s">
        <v>685</v>
      </c>
      <c r="D340" s="195" t="s">
        <v>686</v>
      </c>
      <c r="E340" s="196">
        <v>-1386.47</v>
      </c>
      <c r="F340" s="159">
        <v>4760.0200000000004</v>
      </c>
      <c r="G340" s="157">
        <v>4760.0200000000004</v>
      </c>
      <c r="H340" s="196">
        <v>8738.33</v>
      </c>
      <c r="I340" s="198">
        <v>10124.799999999999</v>
      </c>
      <c r="J340" s="165">
        <f t="shared" si="12"/>
        <v>6146.49</v>
      </c>
      <c r="K340" s="170" t="str">
        <f t="shared" si="11"/>
        <v>378</v>
      </c>
    </row>
    <row r="341" spans="1:11" x14ac:dyDescent="0.3">
      <c r="A341" s="194">
        <v>378100</v>
      </c>
      <c r="B341" s="195" t="s">
        <v>998</v>
      </c>
      <c r="C341" s="195" t="s">
        <v>685</v>
      </c>
      <c r="D341" s="195" t="s">
        <v>686</v>
      </c>
      <c r="E341" s="196">
        <v>8000</v>
      </c>
      <c r="F341" s="159">
        <v>8000</v>
      </c>
      <c r="G341" s="158">
        <v>0</v>
      </c>
      <c r="H341" s="196">
        <v>8000</v>
      </c>
      <c r="I341" s="198">
        <v>0</v>
      </c>
      <c r="J341" s="165">
        <f t="shared" si="12"/>
        <v>0</v>
      </c>
      <c r="K341" s="170" t="str">
        <f t="shared" si="11"/>
        <v>378</v>
      </c>
    </row>
    <row r="342" spans="1:11" x14ac:dyDescent="0.3">
      <c r="A342" s="194">
        <v>378201</v>
      </c>
      <c r="B342" s="195" t="s">
        <v>999</v>
      </c>
      <c r="C342" s="195" t="s">
        <v>685</v>
      </c>
      <c r="D342" s="195" t="s">
        <v>686</v>
      </c>
      <c r="E342" s="196">
        <v>3172.49</v>
      </c>
      <c r="F342" s="159">
        <v>4954.3999999999996</v>
      </c>
      <c r="G342" s="157">
        <v>4994.1899999999996</v>
      </c>
      <c r="H342" s="196">
        <v>3172.49</v>
      </c>
      <c r="I342" s="198">
        <v>0</v>
      </c>
      <c r="J342" s="165">
        <f t="shared" si="12"/>
        <v>1781.9099999999999</v>
      </c>
      <c r="K342" s="170" t="str">
        <f t="shared" si="11"/>
        <v>378</v>
      </c>
    </row>
    <row r="343" spans="1:11" x14ac:dyDescent="0.3">
      <c r="A343" s="194">
        <v>378202</v>
      </c>
      <c r="B343" s="195" t="s">
        <v>1000</v>
      </c>
      <c r="C343" s="195" t="s">
        <v>685</v>
      </c>
      <c r="D343" s="195" t="s">
        <v>686</v>
      </c>
      <c r="E343" s="196">
        <v>-138.88999999999999</v>
      </c>
      <c r="F343" s="159">
        <v>0</v>
      </c>
      <c r="G343" s="158">
        <v>0</v>
      </c>
      <c r="H343" s="196">
        <v>0</v>
      </c>
      <c r="I343" s="198">
        <v>138.88999999999999</v>
      </c>
      <c r="J343" s="165">
        <f t="shared" si="12"/>
        <v>138.88999999999999</v>
      </c>
      <c r="K343" s="170" t="str">
        <f t="shared" si="11"/>
        <v>378</v>
      </c>
    </row>
    <row r="344" spans="1:11" x14ac:dyDescent="0.3">
      <c r="A344" s="194">
        <v>378203</v>
      </c>
      <c r="B344" s="195" t="s">
        <v>1001</v>
      </c>
      <c r="C344" s="195" t="s">
        <v>685</v>
      </c>
      <c r="D344" s="195" t="s">
        <v>686</v>
      </c>
      <c r="E344" s="196">
        <v>-152.62</v>
      </c>
      <c r="F344" s="159">
        <v>0</v>
      </c>
      <c r="G344" s="157">
        <v>0</v>
      </c>
      <c r="H344" s="196">
        <v>0</v>
      </c>
      <c r="I344" s="198">
        <v>152.62</v>
      </c>
      <c r="J344" s="165">
        <f t="shared" si="12"/>
        <v>152.62</v>
      </c>
      <c r="K344" s="170" t="str">
        <f t="shared" si="11"/>
        <v>378</v>
      </c>
    </row>
    <row r="345" spans="1:11" x14ac:dyDescent="0.3">
      <c r="A345" s="194">
        <v>378204</v>
      </c>
      <c r="B345" s="195" t="s">
        <v>1002</v>
      </c>
      <c r="C345" s="195" t="s">
        <v>685</v>
      </c>
      <c r="D345" s="195" t="s">
        <v>686</v>
      </c>
      <c r="E345" s="196">
        <v>0</v>
      </c>
      <c r="F345" s="159">
        <v>0</v>
      </c>
      <c r="G345" s="158">
        <v>0</v>
      </c>
      <c r="H345" s="196">
        <v>0</v>
      </c>
      <c r="I345" s="198">
        <v>0</v>
      </c>
      <c r="J345" s="165">
        <f t="shared" si="12"/>
        <v>0</v>
      </c>
      <c r="K345" s="170" t="str">
        <f t="shared" si="11"/>
        <v>378</v>
      </c>
    </row>
    <row r="346" spans="1:11" x14ac:dyDescent="0.3">
      <c r="A346" s="194">
        <v>378205</v>
      </c>
      <c r="B346" s="195" t="s">
        <v>1003</v>
      </c>
      <c r="C346" s="195" t="s">
        <v>685</v>
      </c>
      <c r="D346" s="195" t="s">
        <v>686</v>
      </c>
      <c r="E346" s="196">
        <v>-116.84</v>
      </c>
      <c r="F346" s="159">
        <v>0</v>
      </c>
      <c r="G346" s="157">
        <v>0</v>
      </c>
      <c r="H346" s="196">
        <v>0</v>
      </c>
      <c r="I346" s="198">
        <v>116.84</v>
      </c>
      <c r="J346" s="165">
        <f t="shared" si="12"/>
        <v>116.84</v>
      </c>
      <c r="K346" s="170" t="str">
        <f t="shared" si="11"/>
        <v>378</v>
      </c>
    </row>
    <row r="347" spans="1:11" x14ac:dyDescent="0.3">
      <c r="A347" s="194">
        <v>378206</v>
      </c>
      <c r="B347" s="195" t="s">
        <v>1004</v>
      </c>
      <c r="C347" s="195" t="s">
        <v>685</v>
      </c>
      <c r="D347" s="195" t="s">
        <v>686</v>
      </c>
      <c r="E347" s="196">
        <v>-67.010000000000005</v>
      </c>
      <c r="F347" s="159">
        <v>0</v>
      </c>
      <c r="G347" s="158">
        <v>0</v>
      </c>
      <c r="H347" s="196">
        <v>0</v>
      </c>
      <c r="I347" s="198">
        <v>67.010000000000005</v>
      </c>
      <c r="J347" s="165">
        <f t="shared" si="12"/>
        <v>67.010000000000005</v>
      </c>
      <c r="K347" s="170" t="str">
        <f t="shared" si="11"/>
        <v>378</v>
      </c>
    </row>
    <row r="348" spans="1:11" x14ac:dyDescent="0.3">
      <c r="A348" s="194">
        <v>378207</v>
      </c>
      <c r="B348" s="195" t="s">
        <v>1005</v>
      </c>
      <c r="C348" s="195" t="s">
        <v>685</v>
      </c>
      <c r="D348" s="195" t="s">
        <v>686</v>
      </c>
      <c r="E348" s="196">
        <v>0</v>
      </c>
      <c r="F348" s="159">
        <v>0</v>
      </c>
      <c r="G348" s="157">
        <v>0</v>
      </c>
      <c r="H348" s="196">
        <v>0</v>
      </c>
      <c r="I348" s="198">
        <v>0</v>
      </c>
      <c r="J348" s="165">
        <f t="shared" si="12"/>
        <v>0</v>
      </c>
      <c r="K348" s="170" t="str">
        <f t="shared" si="11"/>
        <v>378</v>
      </c>
    </row>
    <row r="349" spans="1:11" x14ac:dyDescent="0.3">
      <c r="A349" s="194">
        <v>378208</v>
      </c>
      <c r="B349" s="195" t="s">
        <v>1006</v>
      </c>
      <c r="C349" s="195" t="s">
        <v>685</v>
      </c>
      <c r="D349" s="195" t="s">
        <v>686</v>
      </c>
      <c r="E349" s="196">
        <v>0</v>
      </c>
      <c r="F349" s="159">
        <v>0</v>
      </c>
      <c r="G349" s="158">
        <v>0</v>
      </c>
      <c r="H349" s="196">
        <v>0</v>
      </c>
      <c r="I349" s="198">
        <v>0</v>
      </c>
      <c r="J349" s="165">
        <f t="shared" si="12"/>
        <v>0</v>
      </c>
      <c r="K349" s="170" t="str">
        <f t="shared" si="11"/>
        <v>378</v>
      </c>
    </row>
    <row r="350" spans="1:11" x14ac:dyDescent="0.3">
      <c r="A350" s="194">
        <v>378209</v>
      </c>
      <c r="B350" s="195" t="s">
        <v>1007</v>
      </c>
      <c r="C350" s="195" t="s">
        <v>685</v>
      </c>
      <c r="D350" s="195" t="s">
        <v>686</v>
      </c>
      <c r="E350" s="196">
        <v>131.97</v>
      </c>
      <c r="F350" s="159">
        <v>131.97</v>
      </c>
      <c r="G350" s="157">
        <v>131.97</v>
      </c>
      <c r="H350" s="196">
        <v>131.97</v>
      </c>
      <c r="I350" s="198">
        <v>0</v>
      </c>
      <c r="J350" s="165">
        <f t="shared" si="12"/>
        <v>0</v>
      </c>
      <c r="K350" s="170" t="str">
        <f t="shared" si="11"/>
        <v>378</v>
      </c>
    </row>
    <row r="351" spans="1:11" x14ac:dyDescent="0.3">
      <c r="A351" s="194">
        <v>378210</v>
      </c>
      <c r="B351" s="195" t="s">
        <v>1008</v>
      </c>
      <c r="C351" s="195" t="s">
        <v>685</v>
      </c>
      <c r="D351" s="195" t="s">
        <v>686</v>
      </c>
      <c r="E351" s="196">
        <v>-81.819999999999993</v>
      </c>
      <c r="F351" s="159">
        <v>0</v>
      </c>
      <c r="G351" s="158">
        <v>0</v>
      </c>
      <c r="H351" s="196">
        <v>0</v>
      </c>
      <c r="I351" s="198">
        <v>81.819999999999993</v>
      </c>
      <c r="J351" s="165">
        <f t="shared" si="12"/>
        <v>81.819999999999993</v>
      </c>
      <c r="K351" s="170" t="str">
        <f t="shared" si="11"/>
        <v>378</v>
      </c>
    </row>
    <row r="352" spans="1:11" x14ac:dyDescent="0.3">
      <c r="A352" s="194">
        <v>378999</v>
      </c>
      <c r="B352" s="195" t="s">
        <v>1009</v>
      </c>
      <c r="C352" s="195" t="s">
        <v>685</v>
      </c>
      <c r="D352" s="195" t="s">
        <v>690</v>
      </c>
      <c r="E352" s="196">
        <v>9360.81</v>
      </c>
      <c r="F352" s="159">
        <v>17846.39</v>
      </c>
      <c r="G352" s="157">
        <v>9886.18</v>
      </c>
      <c r="H352" s="196">
        <v>20042.79</v>
      </c>
      <c r="I352" s="198">
        <v>10681.98</v>
      </c>
      <c r="J352" s="165">
        <f t="shared" si="12"/>
        <v>8485.5799999999981</v>
      </c>
      <c r="K352" s="170" t="str">
        <f t="shared" si="11"/>
        <v>378</v>
      </c>
    </row>
    <row r="353" spans="1:11" x14ac:dyDescent="0.3">
      <c r="A353" s="194">
        <v>379000</v>
      </c>
      <c r="B353" s="195" t="s">
        <v>1010</v>
      </c>
      <c r="C353" s="195" t="s">
        <v>685</v>
      </c>
      <c r="D353" s="195" t="s">
        <v>687</v>
      </c>
      <c r="E353" s="196">
        <v>0</v>
      </c>
      <c r="F353" s="159">
        <v>0</v>
      </c>
      <c r="G353" s="158">
        <v>0</v>
      </c>
      <c r="H353" s="196">
        <v>0</v>
      </c>
      <c r="I353" s="198">
        <v>0</v>
      </c>
      <c r="J353" s="165">
        <f t="shared" si="12"/>
        <v>0</v>
      </c>
      <c r="K353" s="170" t="str">
        <f t="shared" si="11"/>
        <v>379</v>
      </c>
    </row>
    <row r="354" spans="1:11" x14ac:dyDescent="0.3">
      <c r="A354" s="194">
        <v>379100</v>
      </c>
      <c r="B354" s="195" t="s">
        <v>1010</v>
      </c>
      <c r="C354" s="195" t="s">
        <v>685</v>
      </c>
      <c r="D354" s="195" t="s">
        <v>686</v>
      </c>
      <c r="E354" s="196">
        <v>-29</v>
      </c>
      <c r="F354" s="159">
        <v>0</v>
      </c>
      <c r="G354" s="157">
        <v>-100.62</v>
      </c>
      <c r="H354" s="196">
        <v>21850.77</v>
      </c>
      <c r="I354" s="198">
        <v>21879.77</v>
      </c>
      <c r="J354" s="165">
        <f t="shared" si="12"/>
        <v>29</v>
      </c>
      <c r="K354" s="170" t="str">
        <f t="shared" si="11"/>
        <v>379</v>
      </c>
    </row>
    <row r="355" spans="1:11" x14ac:dyDescent="0.3">
      <c r="A355" s="194">
        <v>379200</v>
      </c>
      <c r="B355" s="195" t="s">
        <v>1011</v>
      </c>
      <c r="C355" s="195" t="s">
        <v>685</v>
      </c>
      <c r="D355" s="195" t="s">
        <v>686</v>
      </c>
      <c r="E355" s="196">
        <v>0</v>
      </c>
      <c r="F355" s="159">
        <v>-245.37</v>
      </c>
      <c r="G355" s="158">
        <v>0</v>
      </c>
      <c r="H355" s="196">
        <v>0</v>
      </c>
      <c r="I355" s="198">
        <v>0</v>
      </c>
      <c r="J355" s="165">
        <f t="shared" si="12"/>
        <v>-245.37</v>
      </c>
      <c r="K355" s="170" t="str">
        <f t="shared" si="11"/>
        <v>379</v>
      </c>
    </row>
    <row r="356" spans="1:11" x14ac:dyDescent="0.3">
      <c r="A356" s="194">
        <v>379300</v>
      </c>
      <c r="B356" s="195" t="s">
        <v>1012</v>
      </c>
      <c r="C356" s="195" t="s">
        <v>685</v>
      </c>
      <c r="D356" s="195" t="s">
        <v>686</v>
      </c>
      <c r="E356" s="196">
        <v>0</v>
      </c>
      <c r="F356" s="159">
        <v>0</v>
      </c>
      <c r="G356" s="157">
        <v>0</v>
      </c>
      <c r="H356" s="196">
        <v>0</v>
      </c>
      <c r="I356" s="198">
        <v>0</v>
      </c>
      <c r="J356" s="165">
        <f t="shared" si="12"/>
        <v>0</v>
      </c>
      <c r="K356" s="170" t="str">
        <f t="shared" si="11"/>
        <v>379</v>
      </c>
    </row>
    <row r="357" spans="1:11" x14ac:dyDescent="0.3">
      <c r="A357" s="194">
        <v>379301</v>
      </c>
      <c r="B357" s="195" t="s">
        <v>1013</v>
      </c>
      <c r="C357" s="195" t="s">
        <v>685</v>
      </c>
      <c r="D357" s="195" t="s">
        <v>686</v>
      </c>
      <c r="E357" s="196">
        <v>0</v>
      </c>
      <c r="F357" s="159">
        <v>0</v>
      </c>
      <c r="G357" s="158">
        <v>0</v>
      </c>
      <c r="H357" s="196">
        <v>0</v>
      </c>
      <c r="I357" s="198">
        <v>0</v>
      </c>
      <c r="J357" s="165">
        <f t="shared" si="12"/>
        <v>0</v>
      </c>
      <c r="K357" s="170" t="str">
        <f t="shared" si="11"/>
        <v>379</v>
      </c>
    </row>
    <row r="358" spans="1:11" x14ac:dyDescent="0.3">
      <c r="A358" s="194">
        <v>379302</v>
      </c>
      <c r="B358" s="195" t="s">
        <v>1014</v>
      </c>
      <c r="C358" s="195" t="s">
        <v>685</v>
      </c>
      <c r="D358" s="195" t="s">
        <v>686</v>
      </c>
      <c r="E358" s="196">
        <v>0</v>
      </c>
      <c r="F358" s="159">
        <v>0</v>
      </c>
      <c r="G358" s="157">
        <v>0</v>
      </c>
      <c r="H358" s="196">
        <v>0</v>
      </c>
      <c r="I358" s="198">
        <v>0</v>
      </c>
      <c r="J358" s="165">
        <f t="shared" si="12"/>
        <v>0</v>
      </c>
      <c r="K358" s="170" t="str">
        <f t="shared" si="11"/>
        <v>379</v>
      </c>
    </row>
    <row r="359" spans="1:11" x14ac:dyDescent="0.3">
      <c r="A359" s="194">
        <v>379303</v>
      </c>
      <c r="B359" s="195" t="s">
        <v>1015</v>
      </c>
      <c r="C359" s="195" t="s">
        <v>685</v>
      </c>
      <c r="D359" s="195" t="s">
        <v>686</v>
      </c>
      <c r="E359" s="196">
        <v>-3889.12</v>
      </c>
      <c r="F359" s="159">
        <v>-6792.04</v>
      </c>
      <c r="G359" s="158">
        <v>-1747.17</v>
      </c>
      <c r="H359" s="196">
        <v>95720.88</v>
      </c>
      <c r="I359" s="198">
        <v>99610</v>
      </c>
      <c r="J359" s="165">
        <f t="shared" si="12"/>
        <v>-2902.9199999999983</v>
      </c>
      <c r="K359" s="170" t="str">
        <f t="shared" si="11"/>
        <v>379</v>
      </c>
    </row>
    <row r="360" spans="1:11" x14ac:dyDescent="0.3">
      <c r="A360" s="194">
        <v>379400</v>
      </c>
      <c r="B360" s="195" t="s">
        <v>840</v>
      </c>
      <c r="C360" s="195" t="s">
        <v>685</v>
      </c>
      <c r="D360" s="195" t="s">
        <v>686</v>
      </c>
      <c r="E360" s="196">
        <v>0</v>
      </c>
      <c r="F360" s="159">
        <v>0</v>
      </c>
      <c r="G360" s="157">
        <v>0</v>
      </c>
      <c r="H360" s="196">
        <v>117582.65</v>
      </c>
      <c r="I360" s="198">
        <v>117582.65</v>
      </c>
      <c r="J360" s="165">
        <f t="shared" si="12"/>
        <v>0</v>
      </c>
      <c r="K360" s="170" t="str">
        <f t="shared" si="11"/>
        <v>379</v>
      </c>
    </row>
    <row r="361" spans="1:11" x14ac:dyDescent="0.3">
      <c r="A361" s="194">
        <v>379500</v>
      </c>
      <c r="B361" s="195" t="s">
        <v>1016</v>
      </c>
      <c r="C361" s="195" t="s">
        <v>685</v>
      </c>
      <c r="D361" s="195" t="s">
        <v>686</v>
      </c>
      <c r="E361" s="196">
        <v>0</v>
      </c>
      <c r="F361" s="159">
        <v>0</v>
      </c>
      <c r="G361" s="158">
        <v>0</v>
      </c>
      <c r="H361" s="196">
        <v>0</v>
      </c>
      <c r="I361" s="198">
        <v>0</v>
      </c>
      <c r="J361" s="165">
        <f t="shared" si="12"/>
        <v>0</v>
      </c>
      <c r="K361" s="170" t="str">
        <f t="shared" si="11"/>
        <v>379</v>
      </c>
    </row>
    <row r="362" spans="1:11" x14ac:dyDescent="0.3">
      <c r="A362" s="194">
        <v>379998</v>
      </c>
      <c r="B362" s="195" t="s">
        <v>1010</v>
      </c>
      <c r="C362" s="195" t="s">
        <v>685</v>
      </c>
      <c r="D362" s="195" t="s">
        <v>690</v>
      </c>
      <c r="E362" s="196">
        <v>-3918.12</v>
      </c>
      <c r="F362" s="159">
        <v>-7037.41</v>
      </c>
      <c r="G362" s="157">
        <v>-1847.79</v>
      </c>
      <c r="H362" s="196">
        <v>235154.3</v>
      </c>
      <c r="I362" s="198">
        <v>239072.42</v>
      </c>
      <c r="J362" s="165">
        <f t="shared" si="12"/>
        <v>-3119.289999999979</v>
      </c>
      <c r="K362" s="170" t="str">
        <f t="shared" si="11"/>
        <v>379</v>
      </c>
    </row>
    <row r="363" spans="1:11" x14ac:dyDescent="0.3">
      <c r="A363" s="194">
        <v>379999</v>
      </c>
      <c r="B363" s="195" t="s">
        <v>1017</v>
      </c>
      <c r="C363" s="195" t="s">
        <v>685</v>
      </c>
      <c r="D363" s="195" t="s">
        <v>690</v>
      </c>
      <c r="E363" s="196">
        <v>5442.69</v>
      </c>
      <c r="F363" s="159">
        <v>10808.98</v>
      </c>
      <c r="G363" s="158">
        <v>8038.39</v>
      </c>
      <c r="H363" s="196">
        <v>255197.09</v>
      </c>
      <c r="I363" s="198">
        <v>249754.4</v>
      </c>
      <c r="J363" s="165">
        <f t="shared" si="12"/>
        <v>5366.2900000000081</v>
      </c>
      <c r="K363" s="170" t="str">
        <f t="shared" si="11"/>
        <v>379</v>
      </c>
    </row>
    <row r="364" spans="1:11" x14ac:dyDescent="0.3">
      <c r="A364" s="194">
        <v>380000</v>
      </c>
      <c r="B364" s="195" t="s">
        <v>1018</v>
      </c>
      <c r="C364" s="195" t="s">
        <v>685</v>
      </c>
      <c r="D364" s="195" t="s">
        <v>687</v>
      </c>
      <c r="E364" s="196">
        <v>0</v>
      </c>
      <c r="F364" s="159">
        <v>0</v>
      </c>
      <c r="G364" s="157">
        <v>0</v>
      </c>
      <c r="H364" s="196">
        <v>0</v>
      </c>
      <c r="I364" s="198">
        <v>0</v>
      </c>
      <c r="J364" s="165">
        <f t="shared" si="12"/>
        <v>0</v>
      </c>
      <c r="K364" s="170" t="str">
        <f t="shared" si="11"/>
        <v>380</v>
      </c>
    </row>
    <row r="365" spans="1:11" x14ac:dyDescent="0.3">
      <c r="A365" s="194">
        <v>381000</v>
      </c>
      <c r="B365" s="195" t="s">
        <v>1019</v>
      </c>
      <c r="C365" s="195" t="s">
        <v>685</v>
      </c>
      <c r="D365" s="195" t="s">
        <v>687</v>
      </c>
      <c r="E365" s="196">
        <v>0</v>
      </c>
      <c r="F365" s="159">
        <v>0</v>
      </c>
      <c r="G365" s="158">
        <v>0</v>
      </c>
      <c r="H365" s="196">
        <v>0</v>
      </c>
      <c r="I365" s="198">
        <v>0</v>
      </c>
      <c r="J365" s="165">
        <f t="shared" si="12"/>
        <v>0</v>
      </c>
      <c r="K365" s="170" t="str">
        <f t="shared" si="11"/>
        <v>381</v>
      </c>
    </row>
    <row r="366" spans="1:11" x14ac:dyDescent="0.3">
      <c r="A366" s="194">
        <v>381100</v>
      </c>
      <c r="B366" s="195" t="s">
        <v>1019</v>
      </c>
      <c r="C366" s="195" t="s">
        <v>685</v>
      </c>
      <c r="D366" s="195" t="s">
        <v>686</v>
      </c>
      <c r="E366" s="196">
        <v>-2900.66</v>
      </c>
      <c r="F366" s="159">
        <v>17961.46</v>
      </c>
      <c r="G366" s="157">
        <v>42579.64</v>
      </c>
      <c r="H366" s="196">
        <v>144348.54999999999</v>
      </c>
      <c r="I366" s="198">
        <v>147249.21</v>
      </c>
      <c r="J366" s="165">
        <f t="shared" si="12"/>
        <v>20862.119999999995</v>
      </c>
      <c r="K366" s="170" t="str">
        <f t="shared" si="11"/>
        <v>381</v>
      </c>
    </row>
    <row r="367" spans="1:11" x14ac:dyDescent="0.3">
      <c r="A367" s="194">
        <v>381200</v>
      </c>
      <c r="B367" s="195" t="s">
        <v>1020</v>
      </c>
      <c r="C367" s="195" t="s">
        <v>685</v>
      </c>
      <c r="D367" s="195" t="s">
        <v>686</v>
      </c>
      <c r="E367" s="196">
        <v>0</v>
      </c>
      <c r="F367" s="159">
        <v>0</v>
      </c>
      <c r="G367" s="158">
        <v>0</v>
      </c>
      <c r="H367" s="196">
        <v>0</v>
      </c>
      <c r="I367" s="198">
        <v>0</v>
      </c>
      <c r="J367" s="165">
        <f t="shared" si="12"/>
        <v>0</v>
      </c>
      <c r="K367" s="170" t="str">
        <f t="shared" si="11"/>
        <v>381</v>
      </c>
    </row>
    <row r="368" spans="1:11" x14ac:dyDescent="0.3">
      <c r="A368" s="194">
        <v>381300</v>
      </c>
      <c r="B368" s="195" t="s">
        <v>1021</v>
      </c>
      <c r="C368" s="195" t="s">
        <v>685</v>
      </c>
      <c r="D368" s="195" t="s">
        <v>686</v>
      </c>
      <c r="E368" s="196">
        <v>0</v>
      </c>
      <c r="F368" s="159">
        <v>0</v>
      </c>
      <c r="G368" s="157">
        <v>0</v>
      </c>
      <c r="H368" s="196">
        <v>0</v>
      </c>
      <c r="I368" s="198">
        <v>0</v>
      </c>
      <c r="J368" s="165">
        <f t="shared" si="12"/>
        <v>0</v>
      </c>
      <c r="K368" s="170" t="str">
        <f t="shared" si="11"/>
        <v>381</v>
      </c>
    </row>
    <row r="369" spans="1:11" x14ac:dyDescent="0.3">
      <c r="A369" s="194">
        <v>381999</v>
      </c>
      <c r="B369" s="195" t="s">
        <v>1022</v>
      </c>
      <c r="C369" s="195" t="s">
        <v>685</v>
      </c>
      <c r="D369" s="195" t="s">
        <v>690</v>
      </c>
      <c r="E369" s="196">
        <v>-2900.66</v>
      </c>
      <c r="F369" s="159">
        <v>17961.46</v>
      </c>
      <c r="G369" s="158">
        <v>42579.64</v>
      </c>
      <c r="H369" s="196">
        <v>144348.54999999999</v>
      </c>
      <c r="I369" s="198">
        <v>147249.21</v>
      </c>
      <c r="J369" s="165">
        <f t="shared" si="12"/>
        <v>20862.119999999995</v>
      </c>
      <c r="K369" s="170" t="str">
        <f t="shared" si="11"/>
        <v>381</v>
      </c>
    </row>
    <row r="370" spans="1:11" x14ac:dyDescent="0.3">
      <c r="A370" s="194">
        <v>382000</v>
      </c>
      <c r="B370" s="195" t="s">
        <v>1023</v>
      </c>
      <c r="C370" s="195" t="s">
        <v>685</v>
      </c>
      <c r="D370" s="195" t="s">
        <v>687</v>
      </c>
      <c r="E370" s="196">
        <v>0</v>
      </c>
      <c r="F370" s="159">
        <v>0</v>
      </c>
      <c r="G370" s="157">
        <v>0</v>
      </c>
      <c r="H370" s="196">
        <v>0</v>
      </c>
      <c r="I370" s="198">
        <v>0</v>
      </c>
      <c r="J370" s="165">
        <f t="shared" si="12"/>
        <v>0</v>
      </c>
      <c r="K370" s="170" t="str">
        <f t="shared" si="11"/>
        <v>382</v>
      </c>
    </row>
    <row r="371" spans="1:11" x14ac:dyDescent="0.3">
      <c r="A371" s="194">
        <v>382100</v>
      </c>
      <c r="B371" s="195" t="s">
        <v>1023</v>
      </c>
      <c r="C371" s="195" t="s">
        <v>685</v>
      </c>
      <c r="D371" s="195" t="s">
        <v>686</v>
      </c>
      <c r="E371" s="196">
        <v>0</v>
      </c>
      <c r="F371" s="159">
        <v>0</v>
      </c>
      <c r="G371" s="158">
        <v>0</v>
      </c>
      <c r="H371" s="196">
        <v>0</v>
      </c>
      <c r="I371" s="198">
        <v>0</v>
      </c>
      <c r="J371" s="165">
        <f t="shared" si="12"/>
        <v>0</v>
      </c>
      <c r="K371" s="170" t="str">
        <f t="shared" si="11"/>
        <v>382</v>
      </c>
    </row>
    <row r="372" spans="1:11" x14ac:dyDescent="0.3">
      <c r="A372" s="194">
        <v>382999</v>
      </c>
      <c r="B372" s="195" t="s">
        <v>1024</v>
      </c>
      <c r="C372" s="195" t="s">
        <v>685</v>
      </c>
      <c r="D372" s="195" t="s">
        <v>690</v>
      </c>
      <c r="E372" s="196">
        <v>0</v>
      </c>
      <c r="F372" s="159">
        <v>0</v>
      </c>
      <c r="G372" s="157">
        <v>0</v>
      </c>
      <c r="H372" s="196">
        <v>0</v>
      </c>
      <c r="I372" s="198">
        <v>0</v>
      </c>
      <c r="J372" s="165">
        <f t="shared" si="12"/>
        <v>0</v>
      </c>
      <c r="K372" s="170" t="str">
        <f t="shared" si="11"/>
        <v>382</v>
      </c>
    </row>
    <row r="373" spans="1:11" x14ac:dyDescent="0.3">
      <c r="A373" s="194">
        <v>383000</v>
      </c>
      <c r="B373" s="195" t="s">
        <v>1025</v>
      </c>
      <c r="C373" s="195" t="s">
        <v>685</v>
      </c>
      <c r="D373" s="195" t="s">
        <v>687</v>
      </c>
      <c r="E373" s="196">
        <v>0</v>
      </c>
      <c r="F373" s="159">
        <v>0</v>
      </c>
      <c r="G373" s="158">
        <v>0</v>
      </c>
      <c r="H373" s="196">
        <v>0</v>
      </c>
      <c r="I373" s="198">
        <v>0</v>
      </c>
      <c r="J373" s="165">
        <f t="shared" si="12"/>
        <v>0</v>
      </c>
      <c r="K373" s="170" t="str">
        <f t="shared" si="11"/>
        <v>383</v>
      </c>
    </row>
    <row r="374" spans="1:11" x14ac:dyDescent="0.3">
      <c r="A374" s="194">
        <v>383100</v>
      </c>
      <c r="B374" s="195" t="s">
        <v>1025</v>
      </c>
      <c r="C374" s="195" t="s">
        <v>685</v>
      </c>
      <c r="D374" s="195" t="s">
        <v>686</v>
      </c>
      <c r="E374" s="196">
        <v>-144.26</v>
      </c>
      <c r="F374" s="159">
        <v>-197.82</v>
      </c>
      <c r="G374" s="157">
        <v>0</v>
      </c>
      <c r="H374" s="196">
        <v>1263.6600000000001</v>
      </c>
      <c r="I374" s="198">
        <v>1407.92</v>
      </c>
      <c r="J374" s="165">
        <f t="shared" si="12"/>
        <v>-53.559999999999945</v>
      </c>
      <c r="K374" s="170" t="str">
        <f t="shared" si="11"/>
        <v>383</v>
      </c>
    </row>
    <row r="375" spans="1:11" x14ac:dyDescent="0.3">
      <c r="A375" s="194">
        <v>383999</v>
      </c>
      <c r="B375" s="195" t="s">
        <v>1026</v>
      </c>
      <c r="C375" s="195" t="s">
        <v>685</v>
      </c>
      <c r="D375" s="195" t="s">
        <v>690</v>
      </c>
      <c r="E375" s="196">
        <v>-144.26</v>
      </c>
      <c r="F375" s="159">
        <v>-197.82</v>
      </c>
      <c r="G375" s="158">
        <v>0</v>
      </c>
      <c r="H375" s="196">
        <v>1263.6600000000001</v>
      </c>
      <c r="I375" s="198">
        <v>1407.92</v>
      </c>
      <c r="J375" s="165">
        <f t="shared" si="12"/>
        <v>-53.559999999999945</v>
      </c>
      <c r="K375" s="170" t="str">
        <f t="shared" si="11"/>
        <v>383</v>
      </c>
    </row>
    <row r="376" spans="1:11" x14ac:dyDescent="0.3">
      <c r="A376" s="194">
        <v>384000</v>
      </c>
      <c r="B376" s="195" t="s">
        <v>1027</v>
      </c>
      <c r="C376" s="195" t="s">
        <v>685</v>
      </c>
      <c r="D376" s="195" t="s">
        <v>687</v>
      </c>
      <c r="E376" s="196">
        <v>0</v>
      </c>
      <c r="F376" s="159">
        <v>0</v>
      </c>
      <c r="G376" s="157">
        <v>0</v>
      </c>
      <c r="H376" s="196">
        <v>0</v>
      </c>
      <c r="I376" s="198">
        <v>0</v>
      </c>
      <c r="J376" s="165">
        <f t="shared" si="12"/>
        <v>0</v>
      </c>
      <c r="K376" s="170" t="str">
        <f t="shared" si="11"/>
        <v>384</v>
      </c>
    </row>
    <row r="377" spans="1:11" x14ac:dyDescent="0.3">
      <c r="A377" s="194">
        <v>384100</v>
      </c>
      <c r="B377" s="195" t="s">
        <v>1027</v>
      </c>
      <c r="C377" s="195" t="s">
        <v>685</v>
      </c>
      <c r="D377" s="195" t="s">
        <v>686</v>
      </c>
      <c r="E377" s="196">
        <v>22408.959999999999</v>
      </c>
      <c r="F377" s="159">
        <v>-19079.03</v>
      </c>
      <c r="G377" s="158">
        <v>-16973.07</v>
      </c>
      <c r="H377" s="196">
        <v>101422.23</v>
      </c>
      <c r="I377" s="198">
        <v>79013.27</v>
      </c>
      <c r="J377" s="165">
        <f t="shared" si="12"/>
        <v>-41487.989999999991</v>
      </c>
      <c r="K377" s="170" t="str">
        <f t="shared" si="11"/>
        <v>384</v>
      </c>
    </row>
    <row r="378" spans="1:11" x14ac:dyDescent="0.3">
      <c r="A378" s="194">
        <v>384200</v>
      </c>
      <c r="B378" s="195" t="s">
        <v>1028</v>
      </c>
      <c r="C378" s="195" t="s">
        <v>685</v>
      </c>
      <c r="D378" s="195" t="s">
        <v>686</v>
      </c>
      <c r="E378" s="196">
        <v>0</v>
      </c>
      <c r="F378" s="159">
        <v>0</v>
      </c>
      <c r="G378" s="157">
        <v>0</v>
      </c>
      <c r="H378" s="196">
        <v>0</v>
      </c>
      <c r="I378" s="198">
        <v>0</v>
      </c>
      <c r="J378" s="165">
        <f t="shared" si="12"/>
        <v>0</v>
      </c>
      <c r="K378" s="170" t="str">
        <f t="shared" si="11"/>
        <v>384</v>
      </c>
    </row>
    <row r="379" spans="1:11" x14ac:dyDescent="0.3">
      <c r="A379" s="194">
        <v>384300</v>
      </c>
      <c r="B379" s="195" t="s">
        <v>1029</v>
      </c>
      <c r="C379" s="195" t="s">
        <v>685</v>
      </c>
      <c r="D379" s="195" t="s">
        <v>686</v>
      </c>
      <c r="E379" s="196">
        <v>0</v>
      </c>
      <c r="F379" s="159">
        <v>0</v>
      </c>
      <c r="G379" s="158">
        <v>0</v>
      </c>
      <c r="H379" s="196">
        <v>0</v>
      </c>
      <c r="I379" s="198">
        <v>0</v>
      </c>
      <c r="J379" s="165">
        <f t="shared" si="12"/>
        <v>0</v>
      </c>
      <c r="K379" s="170" t="str">
        <f t="shared" si="11"/>
        <v>384</v>
      </c>
    </row>
    <row r="380" spans="1:11" x14ac:dyDescent="0.3">
      <c r="A380" s="194">
        <v>384999</v>
      </c>
      <c r="B380" s="195" t="s">
        <v>1030</v>
      </c>
      <c r="C380" s="195" t="s">
        <v>685</v>
      </c>
      <c r="D380" s="195" t="s">
        <v>690</v>
      </c>
      <c r="E380" s="196">
        <v>22408.959999999999</v>
      </c>
      <c r="F380" s="159">
        <v>-19079.03</v>
      </c>
      <c r="G380" s="157">
        <v>-16973.07</v>
      </c>
      <c r="H380" s="196">
        <v>101422.23</v>
      </c>
      <c r="I380" s="198">
        <v>79013.27</v>
      </c>
      <c r="J380" s="165">
        <f t="shared" si="12"/>
        <v>-41487.989999999991</v>
      </c>
      <c r="K380" s="170" t="str">
        <f t="shared" si="11"/>
        <v>384</v>
      </c>
    </row>
    <row r="381" spans="1:11" x14ac:dyDescent="0.3">
      <c r="A381" s="194">
        <v>385000</v>
      </c>
      <c r="B381" s="195" t="s">
        <v>1031</v>
      </c>
      <c r="C381" s="195" t="s">
        <v>685</v>
      </c>
      <c r="D381" s="195" t="s">
        <v>687</v>
      </c>
      <c r="E381" s="196">
        <v>0</v>
      </c>
      <c r="F381" s="159">
        <v>0</v>
      </c>
      <c r="G381" s="158">
        <v>0</v>
      </c>
      <c r="H381" s="196">
        <v>0</v>
      </c>
      <c r="I381" s="198">
        <v>0</v>
      </c>
      <c r="J381" s="165">
        <f t="shared" si="12"/>
        <v>0</v>
      </c>
      <c r="K381" s="170" t="str">
        <f t="shared" si="11"/>
        <v>385</v>
      </c>
    </row>
    <row r="382" spans="1:11" x14ac:dyDescent="0.3">
      <c r="A382" s="194">
        <v>385100</v>
      </c>
      <c r="B382" s="195" t="s">
        <v>1032</v>
      </c>
      <c r="C382" s="195" t="s">
        <v>685</v>
      </c>
      <c r="D382" s="195" t="s">
        <v>686</v>
      </c>
      <c r="E382" s="196">
        <v>8644.26</v>
      </c>
      <c r="F382" s="159">
        <v>20622</v>
      </c>
      <c r="G382" s="157">
        <v>7716</v>
      </c>
      <c r="H382" s="196">
        <v>82942</v>
      </c>
      <c r="I382" s="198">
        <v>74297.740000000005</v>
      </c>
      <c r="J382" s="165">
        <f t="shared" si="12"/>
        <v>11977.740000000005</v>
      </c>
      <c r="K382" s="170" t="str">
        <f t="shared" si="11"/>
        <v>385</v>
      </c>
    </row>
    <row r="383" spans="1:11" x14ac:dyDescent="0.3">
      <c r="A383" s="194">
        <v>385200</v>
      </c>
      <c r="B383" s="195" t="s">
        <v>1033</v>
      </c>
      <c r="C383" s="195" t="s">
        <v>685</v>
      </c>
      <c r="D383" s="195" t="s">
        <v>686</v>
      </c>
      <c r="E383" s="196">
        <v>-8141</v>
      </c>
      <c r="F383" s="159">
        <v>0</v>
      </c>
      <c r="G383" s="158">
        <v>0</v>
      </c>
      <c r="H383" s="196">
        <v>4600</v>
      </c>
      <c r="I383" s="198">
        <v>12741</v>
      </c>
      <c r="J383" s="165">
        <f t="shared" si="12"/>
        <v>8141</v>
      </c>
      <c r="K383" s="170" t="str">
        <f t="shared" si="11"/>
        <v>385</v>
      </c>
    </row>
    <row r="384" spans="1:11" x14ac:dyDescent="0.3">
      <c r="A384" s="194">
        <v>385300</v>
      </c>
      <c r="B384" s="195" t="s">
        <v>1034</v>
      </c>
      <c r="C384" s="195" t="s">
        <v>685</v>
      </c>
      <c r="D384" s="195" t="s">
        <v>686</v>
      </c>
      <c r="E384" s="196">
        <v>1050</v>
      </c>
      <c r="F384" s="159">
        <v>1050</v>
      </c>
      <c r="G384" s="157">
        <v>0</v>
      </c>
      <c r="H384" s="196">
        <v>1050</v>
      </c>
      <c r="I384" s="198">
        <v>0</v>
      </c>
      <c r="J384" s="165">
        <f t="shared" si="12"/>
        <v>0</v>
      </c>
      <c r="K384" s="170" t="str">
        <f t="shared" si="11"/>
        <v>385</v>
      </c>
    </row>
    <row r="385" spans="1:11" x14ac:dyDescent="0.3">
      <c r="A385" s="194">
        <v>385400</v>
      </c>
      <c r="B385" s="195" t="s">
        <v>1035</v>
      </c>
      <c r="C385" s="195" t="s">
        <v>685</v>
      </c>
      <c r="D385" s="195" t="s">
        <v>686</v>
      </c>
      <c r="E385" s="196">
        <v>1457</v>
      </c>
      <c r="F385" s="159">
        <v>16457</v>
      </c>
      <c r="G385" s="158">
        <v>16000</v>
      </c>
      <c r="H385" s="196">
        <v>274626.58</v>
      </c>
      <c r="I385" s="198">
        <v>273169.58</v>
      </c>
      <c r="J385" s="165">
        <f t="shared" si="12"/>
        <v>15000</v>
      </c>
      <c r="K385" s="170" t="str">
        <f t="shared" si="11"/>
        <v>385</v>
      </c>
    </row>
    <row r="386" spans="1:11" x14ac:dyDescent="0.3">
      <c r="A386" s="194">
        <v>385500</v>
      </c>
      <c r="B386" s="195" t="s">
        <v>1036</v>
      </c>
      <c r="C386" s="195" t="s">
        <v>685</v>
      </c>
      <c r="D386" s="195" t="s">
        <v>686</v>
      </c>
      <c r="E386" s="196">
        <v>0</v>
      </c>
      <c r="F386" s="159">
        <v>0</v>
      </c>
      <c r="G386" s="157">
        <v>0</v>
      </c>
      <c r="H386" s="196">
        <v>0</v>
      </c>
      <c r="I386" s="198">
        <v>0</v>
      </c>
      <c r="J386" s="165">
        <f t="shared" si="12"/>
        <v>0</v>
      </c>
      <c r="K386" s="170" t="str">
        <f t="shared" si="11"/>
        <v>385</v>
      </c>
    </row>
    <row r="387" spans="1:11" x14ac:dyDescent="0.3">
      <c r="A387" s="194">
        <v>385998</v>
      </c>
      <c r="B387" s="195" t="s">
        <v>1037</v>
      </c>
      <c r="C387" s="195" t="s">
        <v>685</v>
      </c>
      <c r="D387" s="195" t="s">
        <v>690</v>
      </c>
      <c r="E387" s="196">
        <v>3010.26</v>
      </c>
      <c r="F387" s="159">
        <v>38129</v>
      </c>
      <c r="G387" s="158">
        <v>23716</v>
      </c>
      <c r="H387" s="196">
        <v>363218.58</v>
      </c>
      <c r="I387" s="198">
        <v>360208.32</v>
      </c>
      <c r="J387" s="165">
        <f t="shared" si="12"/>
        <v>35118.739999999991</v>
      </c>
      <c r="K387" s="170" t="str">
        <f t="shared" ref="K387:K450" si="13">IF(A387&lt;100000,CONCATENATE(0,LEFT(A387,2)),LEFT(A387,3))</f>
        <v>385</v>
      </c>
    </row>
    <row r="388" spans="1:11" x14ac:dyDescent="0.3">
      <c r="A388" s="194">
        <v>385999</v>
      </c>
      <c r="B388" s="195" t="s">
        <v>1038</v>
      </c>
      <c r="C388" s="195" t="s">
        <v>685</v>
      </c>
      <c r="D388" s="195" t="s">
        <v>690</v>
      </c>
      <c r="E388" s="196">
        <v>22374.3</v>
      </c>
      <c r="F388" s="159">
        <v>36813.61</v>
      </c>
      <c r="G388" s="157">
        <v>49322.57</v>
      </c>
      <c r="H388" s="196">
        <v>610253.02</v>
      </c>
      <c r="I388" s="198">
        <v>587878.72</v>
      </c>
      <c r="J388" s="165">
        <f t="shared" ref="J388:J451" si="14">F388-H388+I388</f>
        <v>14439.309999999939</v>
      </c>
      <c r="K388" s="170" t="str">
        <f t="shared" si="13"/>
        <v>385</v>
      </c>
    </row>
    <row r="389" spans="1:11" x14ac:dyDescent="0.3">
      <c r="A389" s="194">
        <v>390000</v>
      </c>
      <c r="B389" s="195" t="s">
        <v>1039</v>
      </c>
      <c r="C389" s="195" t="s">
        <v>685</v>
      </c>
      <c r="D389" s="195" t="s">
        <v>687</v>
      </c>
      <c r="E389" s="196">
        <v>0</v>
      </c>
      <c r="F389" s="159">
        <v>0</v>
      </c>
      <c r="G389" s="158">
        <v>0</v>
      </c>
      <c r="H389" s="196">
        <v>0</v>
      </c>
      <c r="I389" s="198">
        <v>0</v>
      </c>
      <c r="J389" s="165">
        <f t="shared" si="14"/>
        <v>0</v>
      </c>
      <c r="K389" s="170" t="str">
        <f t="shared" si="13"/>
        <v>390</v>
      </c>
    </row>
    <row r="390" spans="1:11" x14ac:dyDescent="0.3">
      <c r="A390" s="194">
        <v>391000</v>
      </c>
      <c r="B390" s="195" t="s">
        <v>1040</v>
      </c>
      <c r="C390" s="195" t="s">
        <v>685</v>
      </c>
      <c r="D390" s="195" t="s">
        <v>687</v>
      </c>
      <c r="E390" s="196">
        <v>0</v>
      </c>
      <c r="F390" s="159">
        <v>0</v>
      </c>
      <c r="G390" s="157">
        <v>0</v>
      </c>
      <c r="H390" s="196">
        <v>0</v>
      </c>
      <c r="I390" s="198">
        <v>0</v>
      </c>
      <c r="J390" s="165">
        <f t="shared" si="14"/>
        <v>0</v>
      </c>
      <c r="K390" s="170" t="str">
        <f t="shared" si="13"/>
        <v>391</v>
      </c>
    </row>
    <row r="391" spans="1:11" x14ac:dyDescent="0.3">
      <c r="A391" s="194">
        <v>391100</v>
      </c>
      <c r="B391" s="195" t="s">
        <v>1041</v>
      </c>
      <c r="C391" s="195" t="s">
        <v>685</v>
      </c>
      <c r="D391" s="195" t="s">
        <v>686</v>
      </c>
      <c r="E391" s="196">
        <v>0</v>
      </c>
      <c r="F391" s="159">
        <v>-60821.43</v>
      </c>
      <c r="G391" s="158">
        <v>-60821.43</v>
      </c>
      <c r="H391" s="196">
        <v>0</v>
      </c>
      <c r="I391" s="198">
        <v>0</v>
      </c>
      <c r="J391" s="165">
        <f t="shared" si="14"/>
        <v>-60821.43</v>
      </c>
      <c r="K391" s="170" t="str">
        <f t="shared" si="13"/>
        <v>391</v>
      </c>
    </row>
    <row r="392" spans="1:11" x14ac:dyDescent="0.3">
      <c r="A392" s="194">
        <v>391999</v>
      </c>
      <c r="B392" s="195" t="s">
        <v>1042</v>
      </c>
      <c r="C392" s="195" t="s">
        <v>685</v>
      </c>
      <c r="D392" s="195" t="s">
        <v>690</v>
      </c>
      <c r="E392" s="196">
        <v>0</v>
      </c>
      <c r="F392" s="159">
        <v>-60821.43</v>
      </c>
      <c r="G392" s="157">
        <v>-60821.43</v>
      </c>
      <c r="H392" s="196">
        <v>0</v>
      </c>
      <c r="I392" s="198">
        <v>0</v>
      </c>
      <c r="J392" s="165">
        <f t="shared" si="14"/>
        <v>-60821.43</v>
      </c>
      <c r="K392" s="170" t="str">
        <f t="shared" si="13"/>
        <v>391</v>
      </c>
    </row>
    <row r="393" spans="1:11" x14ac:dyDescent="0.3">
      <c r="A393" s="194">
        <v>395000</v>
      </c>
      <c r="B393" s="195" t="s">
        <v>1043</v>
      </c>
      <c r="C393" s="195" t="s">
        <v>685</v>
      </c>
      <c r="D393" s="195" t="s">
        <v>686</v>
      </c>
      <c r="E393" s="196">
        <v>0</v>
      </c>
      <c r="F393" s="159">
        <v>0</v>
      </c>
      <c r="G393" s="158">
        <v>0</v>
      </c>
      <c r="H393" s="196">
        <v>1205224.82</v>
      </c>
      <c r="I393" s="198">
        <v>1205224.82</v>
      </c>
      <c r="J393" s="165">
        <f t="shared" si="14"/>
        <v>0</v>
      </c>
      <c r="K393" s="170" t="str">
        <f t="shared" si="13"/>
        <v>395</v>
      </c>
    </row>
    <row r="394" spans="1:11" x14ac:dyDescent="0.3">
      <c r="A394" s="194">
        <v>395100</v>
      </c>
      <c r="B394" s="195" t="s">
        <v>1044</v>
      </c>
      <c r="C394" s="195" t="s">
        <v>685</v>
      </c>
      <c r="D394" s="195" t="s">
        <v>686</v>
      </c>
      <c r="E394" s="196">
        <v>0</v>
      </c>
      <c r="F394" s="159">
        <v>0</v>
      </c>
      <c r="G394" s="157">
        <v>0</v>
      </c>
      <c r="H394" s="196">
        <v>65053.440000000002</v>
      </c>
      <c r="I394" s="198">
        <v>65053.440000000002</v>
      </c>
      <c r="J394" s="165">
        <f t="shared" si="14"/>
        <v>0</v>
      </c>
      <c r="K394" s="170" t="str">
        <f t="shared" si="13"/>
        <v>395</v>
      </c>
    </row>
    <row r="395" spans="1:11" x14ac:dyDescent="0.3">
      <c r="A395" s="194">
        <v>395110</v>
      </c>
      <c r="B395" s="195" t="s">
        <v>1045</v>
      </c>
      <c r="C395" s="195" t="s">
        <v>685</v>
      </c>
      <c r="D395" s="195" t="s">
        <v>686</v>
      </c>
      <c r="E395" s="196">
        <v>0</v>
      </c>
      <c r="F395" s="159">
        <v>0</v>
      </c>
      <c r="G395" s="158">
        <v>0</v>
      </c>
      <c r="H395" s="196">
        <v>0</v>
      </c>
      <c r="I395" s="198">
        <v>0</v>
      </c>
      <c r="J395" s="165">
        <f t="shared" si="14"/>
        <v>0</v>
      </c>
      <c r="K395" s="170" t="str">
        <f t="shared" si="13"/>
        <v>395</v>
      </c>
    </row>
    <row r="396" spans="1:11" x14ac:dyDescent="0.3">
      <c r="A396" s="194">
        <v>395200</v>
      </c>
      <c r="B396" s="195" t="s">
        <v>1046</v>
      </c>
      <c r="C396" s="195" t="s">
        <v>685</v>
      </c>
      <c r="D396" s="195" t="s">
        <v>686</v>
      </c>
      <c r="E396" s="196">
        <v>0</v>
      </c>
      <c r="F396" s="159">
        <v>0</v>
      </c>
      <c r="G396" s="157">
        <v>0</v>
      </c>
      <c r="H396" s="196">
        <v>3056920.01</v>
      </c>
      <c r="I396" s="198">
        <v>3056920.01</v>
      </c>
      <c r="J396" s="165">
        <f t="shared" si="14"/>
        <v>0</v>
      </c>
      <c r="K396" s="170" t="str">
        <f t="shared" si="13"/>
        <v>395</v>
      </c>
    </row>
    <row r="397" spans="1:11" x14ac:dyDescent="0.3">
      <c r="A397" s="194">
        <v>395300</v>
      </c>
      <c r="B397" s="195" t="s">
        <v>1047</v>
      </c>
      <c r="C397" s="195" t="s">
        <v>685</v>
      </c>
      <c r="D397" s="195" t="s">
        <v>686</v>
      </c>
      <c r="E397" s="196">
        <v>0</v>
      </c>
      <c r="F397" s="159">
        <v>0</v>
      </c>
      <c r="G397" s="158">
        <v>0</v>
      </c>
      <c r="H397" s="196">
        <v>0</v>
      </c>
      <c r="I397" s="198">
        <v>0</v>
      </c>
      <c r="J397" s="165">
        <f t="shared" si="14"/>
        <v>0</v>
      </c>
      <c r="K397" s="170" t="str">
        <f t="shared" si="13"/>
        <v>395</v>
      </c>
    </row>
    <row r="398" spans="1:11" x14ac:dyDescent="0.3">
      <c r="A398" s="194">
        <v>395350</v>
      </c>
      <c r="B398" s="195" t="s">
        <v>1048</v>
      </c>
      <c r="C398" s="195" t="s">
        <v>685</v>
      </c>
      <c r="D398" s="195" t="s">
        <v>686</v>
      </c>
      <c r="E398" s="196">
        <v>0</v>
      </c>
      <c r="F398" s="159">
        <v>0</v>
      </c>
      <c r="G398" s="157">
        <v>0</v>
      </c>
      <c r="H398" s="196">
        <v>0</v>
      </c>
      <c r="I398" s="198">
        <v>0</v>
      </c>
      <c r="J398" s="165">
        <f t="shared" si="14"/>
        <v>0</v>
      </c>
      <c r="K398" s="170" t="str">
        <f t="shared" si="13"/>
        <v>395</v>
      </c>
    </row>
    <row r="399" spans="1:11" x14ac:dyDescent="0.3">
      <c r="A399" s="194">
        <v>395500</v>
      </c>
      <c r="B399" s="195" t="s">
        <v>1049</v>
      </c>
      <c r="C399" s="195" t="s">
        <v>685</v>
      </c>
      <c r="D399" s="195" t="s">
        <v>686</v>
      </c>
      <c r="E399" s="196">
        <v>0</v>
      </c>
      <c r="F399" s="159">
        <v>0</v>
      </c>
      <c r="G399" s="158">
        <v>0</v>
      </c>
      <c r="H399" s="196">
        <v>4066.34</v>
      </c>
      <c r="I399" s="198">
        <v>4066.34</v>
      </c>
      <c r="J399" s="165">
        <f t="shared" si="14"/>
        <v>0</v>
      </c>
      <c r="K399" s="170" t="str">
        <f t="shared" si="13"/>
        <v>395</v>
      </c>
    </row>
    <row r="400" spans="1:11" x14ac:dyDescent="0.3">
      <c r="A400" s="194">
        <v>395600</v>
      </c>
      <c r="B400" s="195" t="s">
        <v>1050</v>
      </c>
      <c r="C400" s="195" t="s">
        <v>685</v>
      </c>
      <c r="D400" s="195" t="s">
        <v>686</v>
      </c>
      <c r="E400" s="196">
        <v>0</v>
      </c>
      <c r="F400" s="159">
        <v>0</v>
      </c>
      <c r="G400" s="157">
        <v>0</v>
      </c>
      <c r="H400" s="196">
        <v>0</v>
      </c>
      <c r="I400" s="198">
        <v>0</v>
      </c>
      <c r="J400" s="165">
        <f t="shared" si="14"/>
        <v>0</v>
      </c>
      <c r="K400" s="170" t="str">
        <f t="shared" si="13"/>
        <v>395</v>
      </c>
    </row>
    <row r="401" spans="1:11" x14ac:dyDescent="0.3">
      <c r="A401" s="194">
        <v>395900</v>
      </c>
      <c r="B401" s="195" t="s">
        <v>1051</v>
      </c>
      <c r="C401" s="195" t="s">
        <v>685</v>
      </c>
      <c r="D401" s="195" t="s">
        <v>686</v>
      </c>
      <c r="E401" s="196">
        <v>0</v>
      </c>
      <c r="F401" s="159">
        <v>0</v>
      </c>
      <c r="G401" s="158">
        <v>0</v>
      </c>
      <c r="H401" s="196">
        <v>0</v>
      </c>
      <c r="I401" s="198">
        <v>0</v>
      </c>
      <c r="J401" s="165">
        <f t="shared" si="14"/>
        <v>0</v>
      </c>
      <c r="K401" s="170" t="str">
        <f t="shared" si="13"/>
        <v>395</v>
      </c>
    </row>
    <row r="402" spans="1:11" x14ac:dyDescent="0.3">
      <c r="A402" s="194">
        <v>395999</v>
      </c>
      <c r="B402" s="195" t="s">
        <v>1052</v>
      </c>
      <c r="C402" s="195" t="s">
        <v>685</v>
      </c>
      <c r="D402" s="195" t="s">
        <v>690</v>
      </c>
      <c r="E402" s="196">
        <v>0</v>
      </c>
      <c r="F402" s="159">
        <v>0</v>
      </c>
      <c r="G402" s="157">
        <v>0</v>
      </c>
      <c r="H402" s="196">
        <v>4331264.6100000003</v>
      </c>
      <c r="I402" s="198">
        <v>4331264.6100000003</v>
      </c>
      <c r="J402" s="165">
        <f t="shared" si="14"/>
        <v>0</v>
      </c>
      <c r="K402" s="170" t="str">
        <f t="shared" si="13"/>
        <v>395</v>
      </c>
    </row>
    <row r="403" spans="1:11" x14ac:dyDescent="0.3">
      <c r="A403" s="194">
        <v>398000</v>
      </c>
      <c r="B403" s="195" t="s">
        <v>1053</v>
      </c>
      <c r="C403" s="195" t="s">
        <v>685</v>
      </c>
      <c r="D403" s="195" t="s">
        <v>687</v>
      </c>
      <c r="E403" s="196">
        <v>0</v>
      </c>
      <c r="F403" s="159">
        <v>0</v>
      </c>
      <c r="G403" s="158">
        <v>0</v>
      </c>
      <c r="H403" s="196">
        <v>0</v>
      </c>
      <c r="I403" s="198">
        <v>0</v>
      </c>
      <c r="J403" s="165">
        <f t="shared" si="14"/>
        <v>0</v>
      </c>
      <c r="K403" s="170" t="str">
        <f t="shared" si="13"/>
        <v>398</v>
      </c>
    </row>
    <row r="404" spans="1:11" x14ac:dyDescent="0.3">
      <c r="A404" s="194">
        <v>398999</v>
      </c>
      <c r="B404" s="195" t="s">
        <v>1054</v>
      </c>
      <c r="C404" s="195" t="s">
        <v>685</v>
      </c>
      <c r="D404" s="195" t="s">
        <v>690</v>
      </c>
      <c r="E404" s="196">
        <v>0</v>
      </c>
      <c r="F404" s="159">
        <v>0</v>
      </c>
      <c r="G404" s="157">
        <v>0</v>
      </c>
      <c r="H404" s="196">
        <v>0</v>
      </c>
      <c r="I404" s="198">
        <v>0</v>
      </c>
      <c r="J404" s="165">
        <f t="shared" si="14"/>
        <v>0</v>
      </c>
      <c r="K404" s="170" t="str">
        <f t="shared" si="13"/>
        <v>398</v>
      </c>
    </row>
    <row r="405" spans="1:11" x14ac:dyDescent="0.3">
      <c r="A405" s="194">
        <v>399998</v>
      </c>
      <c r="B405" s="195" t="s">
        <v>1055</v>
      </c>
      <c r="C405" s="195" t="s">
        <v>685</v>
      </c>
      <c r="D405" s="195" t="s">
        <v>690</v>
      </c>
      <c r="E405" s="196">
        <v>0</v>
      </c>
      <c r="F405" s="159">
        <v>-60821.43</v>
      </c>
      <c r="G405" s="158">
        <v>-60821.43</v>
      </c>
      <c r="H405" s="196">
        <v>4331264.6100000003</v>
      </c>
      <c r="I405" s="198">
        <v>4331264.6100000003</v>
      </c>
      <c r="J405" s="165">
        <f t="shared" si="14"/>
        <v>-60821.429999999702</v>
      </c>
      <c r="K405" s="170" t="str">
        <f t="shared" si="13"/>
        <v>399</v>
      </c>
    </row>
    <row r="406" spans="1:11" x14ac:dyDescent="0.3">
      <c r="A406" s="194">
        <v>399999</v>
      </c>
      <c r="B406" s="195" t="s">
        <v>1056</v>
      </c>
      <c r="C406" s="195" t="s">
        <v>685</v>
      </c>
      <c r="D406" s="195" t="s">
        <v>690</v>
      </c>
      <c r="E406" s="196">
        <v>2430524.0699999998</v>
      </c>
      <c r="F406" s="159">
        <v>-2610055.2000000002</v>
      </c>
      <c r="G406" s="157">
        <v>-2961903.71</v>
      </c>
      <c r="H406" s="196">
        <v>203660984.74000001</v>
      </c>
      <c r="I406" s="198">
        <v>201230460.66999999</v>
      </c>
      <c r="J406" s="165">
        <f t="shared" si="14"/>
        <v>-5040579.2700000107</v>
      </c>
      <c r="K406" s="170" t="str">
        <f t="shared" si="13"/>
        <v>399</v>
      </c>
    </row>
    <row r="407" spans="1:11" x14ac:dyDescent="0.3">
      <c r="A407" s="194">
        <v>400000</v>
      </c>
      <c r="B407" s="195" t="s">
        <v>1057</v>
      </c>
      <c r="C407" s="195" t="s">
        <v>685</v>
      </c>
      <c r="D407" s="195" t="s">
        <v>687</v>
      </c>
      <c r="E407" s="196">
        <v>0</v>
      </c>
      <c r="F407" s="159">
        <v>0</v>
      </c>
      <c r="G407" s="158">
        <v>0</v>
      </c>
      <c r="H407" s="196">
        <v>0</v>
      </c>
      <c r="I407" s="198">
        <v>0</v>
      </c>
      <c r="J407" s="165">
        <f t="shared" si="14"/>
        <v>0</v>
      </c>
      <c r="K407" s="170" t="str">
        <f t="shared" si="13"/>
        <v>400</v>
      </c>
    </row>
    <row r="408" spans="1:11" x14ac:dyDescent="0.3">
      <c r="A408" s="194">
        <v>410000</v>
      </c>
      <c r="B408" s="195" t="s">
        <v>1058</v>
      </c>
      <c r="C408" s="195" t="s">
        <v>685</v>
      </c>
      <c r="D408" s="195" t="s">
        <v>687</v>
      </c>
      <c r="E408" s="196">
        <v>0</v>
      </c>
      <c r="F408" s="159">
        <v>0</v>
      </c>
      <c r="G408" s="157">
        <v>0</v>
      </c>
      <c r="H408" s="196">
        <v>0</v>
      </c>
      <c r="I408" s="198">
        <v>0</v>
      </c>
      <c r="J408" s="165">
        <f t="shared" si="14"/>
        <v>0</v>
      </c>
      <c r="K408" s="170" t="str">
        <f t="shared" si="13"/>
        <v>410</v>
      </c>
    </row>
    <row r="409" spans="1:11" x14ac:dyDescent="0.3">
      <c r="A409" s="194">
        <v>411000</v>
      </c>
      <c r="B409" s="195" t="s">
        <v>356</v>
      </c>
      <c r="C409" s="195" t="s">
        <v>685</v>
      </c>
      <c r="D409" s="195" t="s">
        <v>687</v>
      </c>
      <c r="E409" s="196">
        <v>0</v>
      </c>
      <c r="F409" s="159">
        <v>0</v>
      </c>
      <c r="G409" s="158">
        <v>0</v>
      </c>
      <c r="H409" s="196">
        <v>0</v>
      </c>
      <c r="I409" s="198">
        <v>0</v>
      </c>
      <c r="J409" s="165">
        <f t="shared" si="14"/>
        <v>0</v>
      </c>
      <c r="K409" s="170" t="str">
        <f t="shared" si="13"/>
        <v>411</v>
      </c>
    </row>
    <row r="410" spans="1:11" x14ac:dyDescent="0.3">
      <c r="A410" s="194">
        <v>411100</v>
      </c>
      <c r="B410" s="195" t="s">
        <v>1059</v>
      </c>
      <c r="C410" s="195" t="s">
        <v>685</v>
      </c>
      <c r="D410" s="195" t="s">
        <v>686</v>
      </c>
      <c r="E410" s="196">
        <v>0</v>
      </c>
      <c r="F410" s="159">
        <v>-2956639</v>
      </c>
      <c r="G410" s="157">
        <v>-2956639</v>
      </c>
      <c r="H410" s="196">
        <v>0</v>
      </c>
      <c r="I410" s="198">
        <v>0</v>
      </c>
      <c r="J410" s="165">
        <f t="shared" si="14"/>
        <v>-2956639</v>
      </c>
      <c r="K410" s="170" t="str">
        <f t="shared" si="13"/>
        <v>411</v>
      </c>
    </row>
    <row r="411" spans="1:11" x14ac:dyDescent="0.3">
      <c r="A411" s="194">
        <v>411999</v>
      </c>
      <c r="B411" s="195" t="s">
        <v>1060</v>
      </c>
      <c r="C411" s="195" t="s">
        <v>685</v>
      </c>
      <c r="D411" s="195" t="s">
        <v>690</v>
      </c>
      <c r="E411" s="196">
        <v>0</v>
      </c>
      <c r="F411" s="159">
        <v>-2956639</v>
      </c>
      <c r="G411" s="158">
        <v>-2956639</v>
      </c>
      <c r="H411" s="196">
        <v>0</v>
      </c>
      <c r="I411" s="198">
        <v>0</v>
      </c>
      <c r="J411" s="165">
        <f t="shared" si="14"/>
        <v>-2956639</v>
      </c>
      <c r="K411" s="170" t="str">
        <f t="shared" si="13"/>
        <v>411</v>
      </c>
    </row>
    <row r="412" spans="1:11" x14ac:dyDescent="0.3">
      <c r="A412" s="194">
        <v>412000</v>
      </c>
      <c r="B412" s="195" t="s">
        <v>360</v>
      </c>
      <c r="C412" s="195" t="s">
        <v>685</v>
      </c>
      <c r="D412" s="195" t="s">
        <v>687</v>
      </c>
      <c r="E412" s="196">
        <v>0</v>
      </c>
      <c r="F412" s="159">
        <v>0</v>
      </c>
      <c r="G412" s="157">
        <v>0</v>
      </c>
      <c r="H412" s="196">
        <v>0</v>
      </c>
      <c r="I412" s="198">
        <v>0</v>
      </c>
      <c r="J412" s="165">
        <f t="shared" si="14"/>
        <v>0</v>
      </c>
      <c r="K412" s="170" t="str">
        <f t="shared" si="13"/>
        <v>412</v>
      </c>
    </row>
    <row r="413" spans="1:11" x14ac:dyDescent="0.3">
      <c r="A413" s="194">
        <v>412999</v>
      </c>
      <c r="B413" s="195" t="s">
        <v>1061</v>
      </c>
      <c r="C413" s="195" t="s">
        <v>685</v>
      </c>
      <c r="D413" s="195" t="s">
        <v>690</v>
      </c>
      <c r="E413" s="196">
        <v>0</v>
      </c>
      <c r="F413" s="159">
        <v>0</v>
      </c>
      <c r="G413" s="158">
        <v>0</v>
      </c>
      <c r="H413" s="196">
        <v>0</v>
      </c>
      <c r="I413" s="198">
        <v>0</v>
      </c>
      <c r="J413" s="165">
        <f t="shared" si="14"/>
        <v>0</v>
      </c>
      <c r="K413" s="170" t="str">
        <f t="shared" si="13"/>
        <v>412</v>
      </c>
    </row>
    <row r="414" spans="1:11" x14ac:dyDescent="0.3">
      <c r="A414" s="194">
        <v>413000</v>
      </c>
      <c r="B414" s="195" t="s">
        <v>1062</v>
      </c>
      <c r="C414" s="195" t="s">
        <v>685</v>
      </c>
      <c r="D414" s="195" t="s">
        <v>687</v>
      </c>
      <c r="E414" s="196">
        <v>0</v>
      </c>
      <c r="F414" s="159">
        <v>0</v>
      </c>
      <c r="G414" s="157">
        <v>0</v>
      </c>
      <c r="H414" s="196">
        <v>0</v>
      </c>
      <c r="I414" s="198">
        <v>0</v>
      </c>
      <c r="J414" s="165">
        <f t="shared" si="14"/>
        <v>0</v>
      </c>
      <c r="K414" s="170" t="str">
        <f t="shared" si="13"/>
        <v>413</v>
      </c>
    </row>
    <row r="415" spans="1:11" x14ac:dyDescent="0.3">
      <c r="A415" s="194">
        <v>413100</v>
      </c>
      <c r="B415" s="195" t="s">
        <v>1062</v>
      </c>
      <c r="C415" s="195" t="s">
        <v>685</v>
      </c>
      <c r="D415" s="195" t="s">
        <v>686</v>
      </c>
      <c r="E415" s="196">
        <v>0</v>
      </c>
      <c r="F415" s="159">
        <v>-4346417.08</v>
      </c>
      <c r="G415" s="158">
        <v>-4346417.08</v>
      </c>
      <c r="H415" s="196">
        <v>0</v>
      </c>
      <c r="I415" s="198">
        <v>0</v>
      </c>
      <c r="J415" s="165">
        <f t="shared" si="14"/>
        <v>-4346417.08</v>
      </c>
      <c r="K415" s="170" t="str">
        <f t="shared" si="13"/>
        <v>413</v>
      </c>
    </row>
    <row r="416" spans="1:11" x14ac:dyDescent="0.3">
      <c r="A416" s="194">
        <v>413999</v>
      </c>
      <c r="B416" s="195" t="s">
        <v>1063</v>
      </c>
      <c r="C416" s="195" t="s">
        <v>685</v>
      </c>
      <c r="D416" s="195" t="s">
        <v>690</v>
      </c>
      <c r="E416" s="196">
        <v>0</v>
      </c>
      <c r="F416" s="159">
        <v>-4346417.08</v>
      </c>
      <c r="G416" s="157">
        <v>-4346417.08</v>
      </c>
      <c r="H416" s="196">
        <v>0</v>
      </c>
      <c r="I416" s="198">
        <v>0</v>
      </c>
      <c r="J416" s="165">
        <f t="shared" si="14"/>
        <v>-4346417.08</v>
      </c>
      <c r="K416" s="170" t="str">
        <f t="shared" si="13"/>
        <v>413</v>
      </c>
    </row>
    <row r="417" spans="1:11" x14ac:dyDescent="0.3">
      <c r="A417" s="194">
        <v>414000</v>
      </c>
      <c r="B417" s="195" t="s">
        <v>1064</v>
      </c>
      <c r="C417" s="195" t="s">
        <v>685</v>
      </c>
      <c r="D417" s="195" t="s">
        <v>687</v>
      </c>
      <c r="E417" s="196">
        <v>0</v>
      </c>
      <c r="F417" s="159">
        <v>0</v>
      </c>
      <c r="G417" s="158">
        <v>0</v>
      </c>
      <c r="H417" s="196">
        <v>0</v>
      </c>
      <c r="I417" s="198">
        <v>0</v>
      </c>
      <c r="J417" s="165">
        <f t="shared" si="14"/>
        <v>0</v>
      </c>
      <c r="K417" s="170" t="str">
        <f t="shared" si="13"/>
        <v>414</v>
      </c>
    </row>
    <row r="418" spans="1:11" x14ac:dyDescent="0.3">
      <c r="A418" s="194">
        <v>414999</v>
      </c>
      <c r="B418" s="195" t="s">
        <v>1065</v>
      </c>
      <c r="C418" s="195" t="s">
        <v>685</v>
      </c>
      <c r="D418" s="195" t="s">
        <v>690</v>
      </c>
      <c r="E418" s="196">
        <v>0</v>
      </c>
      <c r="F418" s="159">
        <v>0</v>
      </c>
      <c r="G418" s="157">
        <v>0</v>
      </c>
      <c r="H418" s="196">
        <v>0</v>
      </c>
      <c r="I418" s="198">
        <v>0</v>
      </c>
      <c r="J418" s="165">
        <f t="shared" si="14"/>
        <v>0</v>
      </c>
      <c r="K418" s="170" t="str">
        <f t="shared" si="13"/>
        <v>414</v>
      </c>
    </row>
    <row r="419" spans="1:11" x14ac:dyDescent="0.3">
      <c r="A419" s="194">
        <v>415000</v>
      </c>
      <c r="B419" s="195" t="s">
        <v>1066</v>
      </c>
      <c r="C419" s="195" t="s">
        <v>685</v>
      </c>
      <c r="D419" s="195" t="s">
        <v>687</v>
      </c>
      <c r="E419" s="196">
        <v>0</v>
      </c>
      <c r="F419" s="159">
        <v>0</v>
      </c>
      <c r="G419" s="158">
        <v>0</v>
      </c>
      <c r="H419" s="196">
        <v>0</v>
      </c>
      <c r="I419" s="198">
        <v>0</v>
      </c>
      <c r="J419" s="165">
        <f t="shared" si="14"/>
        <v>0</v>
      </c>
      <c r="K419" s="170" t="str">
        <f t="shared" si="13"/>
        <v>415</v>
      </c>
    </row>
    <row r="420" spans="1:11" x14ac:dyDescent="0.3">
      <c r="A420" s="194">
        <v>415999</v>
      </c>
      <c r="B420" s="195" t="s">
        <v>1067</v>
      </c>
      <c r="C420" s="195" t="s">
        <v>685</v>
      </c>
      <c r="D420" s="195" t="s">
        <v>690</v>
      </c>
      <c r="E420" s="196">
        <v>0</v>
      </c>
      <c r="F420" s="159">
        <v>0</v>
      </c>
      <c r="G420" s="157">
        <v>0</v>
      </c>
      <c r="H420" s="196">
        <v>0</v>
      </c>
      <c r="I420" s="198">
        <v>0</v>
      </c>
      <c r="J420" s="165">
        <f t="shared" si="14"/>
        <v>0</v>
      </c>
      <c r="K420" s="170" t="str">
        <f t="shared" si="13"/>
        <v>415</v>
      </c>
    </row>
    <row r="421" spans="1:11" x14ac:dyDescent="0.3">
      <c r="A421" s="194">
        <v>416000</v>
      </c>
      <c r="B421" s="195" t="s">
        <v>1068</v>
      </c>
      <c r="C421" s="195" t="s">
        <v>685</v>
      </c>
      <c r="D421" s="195" t="s">
        <v>687</v>
      </c>
      <c r="E421" s="196">
        <v>0</v>
      </c>
      <c r="F421" s="159">
        <v>0</v>
      </c>
      <c r="G421" s="158">
        <v>0</v>
      </c>
      <c r="H421" s="196">
        <v>0</v>
      </c>
      <c r="I421" s="198">
        <v>0</v>
      </c>
      <c r="J421" s="165">
        <f t="shared" si="14"/>
        <v>0</v>
      </c>
      <c r="K421" s="170" t="str">
        <f t="shared" si="13"/>
        <v>416</v>
      </c>
    </row>
    <row r="422" spans="1:11" x14ac:dyDescent="0.3">
      <c r="A422" s="194">
        <v>416999</v>
      </c>
      <c r="B422" s="195" t="s">
        <v>1069</v>
      </c>
      <c r="C422" s="195" t="s">
        <v>685</v>
      </c>
      <c r="D422" s="195" t="s">
        <v>690</v>
      </c>
      <c r="E422" s="196">
        <v>0</v>
      </c>
      <c r="F422" s="159">
        <v>0</v>
      </c>
      <c r="G422" s="157">
        <v>0</v>
      </c>
      <c r="H422" s="196">
        <v>0</v>
      </c>
      <c r="I422" s="198">
        <v>0</v>
      </c>
      <c r="J422" s="165">
        <f t="shared" si="14"/>
        <v>0</v>
      </c>
      <c r="K422" s="170" t="str">
        <f t="shared" si="13"/>
        <v>416</v>
      </c>
    </row>
    <row r="423" spans="1:11" x14ac:dyDescent="0.3">
      <c r="A423" s="194">
        <v>417000</v>
      </c>
      <c r="B423" s="195" t="s">
        <v>1070</v>
      </c>
      <c r="C423" s="195" t="s">
        <v>685</v>
      </c>
      <c r="D423" s="195" t="s">
        <v>687</v>
      </c>
      <c r="E423" s="196">
        <v>0</v>
      </c>
      <c r="F423" s="159">
        <v>0</v>
      </c>
      <c r="G423" s="158">
        <v>0</v>
      </c>
      <c r="H423" s="196">
        <v>0</v>
      </c>
      <c r="I423" s="198">
        <v>0</v>
      </c>
      <c r="J423" s="165">
        <f t="shared" si="14"/>
        <v>0</v>
      </c>
      <c r="K423" s="170" t="str">
        <f t="shared" si="13"/>
        <v>417</v>
      </c>
    </row>
    <row r="424" spans="1:11" x14ac:dyDescent="0.3">
      <c r="A424" s="194">
        <v>417999</v>
      </c>
      <c r="B424" s="195" t="s">
        <v>1071</v>
      </c>
      <c r="C424" s="195" t="s">
        <v>685</v>
      </c>
      <c r="D424" s="195" t="s">
        <v>690</v>
      </c>
      <c r="E424" s="196">
        <v>0</v>
      </c>
      <c r="F424" s="159">
        <v>0</v>
      </c>
      <c r="G424" s="157">
        <v>0</v>
      </c>
      <c r="H424" s="196">
        <v>0</v>
      </c>
      <c r="I424" s="198">
        <v>0</v>
      </c>
      <c r="J424" s="165">
        <f t="shared" si="14"/>
        <v>0</v>
      </c>
      <c r="K424" s="170" t="str">
        <f t="shared" si="13"/>
        <v>417</v>
      </c>
    </row>
    <row r="425" spans="1:11" x14ac:dyDescent="0.3">
      <c r="A425" s="194">
        <v>418000</v>
      </c>
      <c r="B425" s="195" t="s">
        <v>1072</v>
      </c>
      <c r="C425" s="195" t="s">
        <v>685</v>
      </c>
      <c r="D425" s="195" t="s">
        <v>687</v>
      </c>
      <c r="E425" s="196">
        <v>0</v>
      </c>
      <c r="F425" s="159">
        <v>0</v>
      </c>
      <c r="G425" s="158">
        <v>0</v>
      </c>
      <c r="H425" s="196">
        <v>0</v>
      </c>
      <c r="I425" s="198">
        <v>0</v>
      </c>
      <c r="J425" s="165">
        <f t="shared" si="14"/>
        <v>0</v>
      </c>
      <c r="K425" s="170" t="str">
        <f t="shared" si="13"/>
        <v>418</v>
      </c>
    </row>
    <row r="426" spans="1:11" x14ac:dyDescent="0.3">
      <c r="A426" s="194">
        <v>418999</v>
      </c>
      <c r="B426" s="195" t="s">
        <v>1073</v>
      </c>
      <c r="C426" s="195" t="s">
        <v>685</v>
      </c>
      <c r="D426" s="195" t="s">
        <v>690</v>
      </c>
      <c r="E426" s="196">
        <v>0</v>
      </c>
      <c r="F426" s="159">
        <v>0</v>
      </c>
      <c r="G426" s="157">
        <v>0</v>
      </c>
      <c r="H426" s="196">
        <v>0</v>
      </c>
      <c r="I426" s="198">
        <v>0</v>
      </c>
      <c r="J426" s="165">
        <f t="shared" si="14"/>
        <v>0</v>
      </c>
      <c r="K426" s="170" t="str">
        <f t="shared" si="13"/>
        <v>418</v>
      </c>
    </row>
    <row r="427" spans="1:11" x14ac:dyDescent="0.3">
      <c r="A427" s="194">
        <v>419000</v>
      </c>
      <c r="B427" s="195" t="s">
        <v>1074</v>
      </c>
      <c r="C427" s="195" t="s">
        <v>685</v>
      </c>
      <c r="D427" s="195" t="s">
        <v>687</v>
      </c>
      <c r="E427" s="196">
        <v>0</v>
      </c>
      <c r="F427" s="159">
        <v>0</v>
      </c>
      <c r="G427" s="158">
        <v>0</v>
      </c>
      <c r="H427" s="196">
        <v>0</v>
      </c>
      <c r="I427" s="198">
        <v>0</v>
      </c>
      <c r="J427" s="165">
        <f t="shared" si="14"/>
        <v>0</v>
      </c>
      <c r="K427" s="170" t="str">
        <f t="shared" si="13"/>
        <v>419</v>
      </c>
    </row>
    <row r="428" spans="1:11" x14ac:dyDescent="0.3">
      <c r="A428" s="194">
        <v>419998</v>
      </c>
      <c r="B428" s="195" t="s">
        <v>1075</v>
      </c>
      <c r="C428" s="195" t="s">
        <v>685</v>
      </c>
      <c r="D428" s="195" t="s">
        <v>690</v>
      </c>
      <c r="E428" s="196">
        <v>0</v>
      </c>
      <c r="F428" s="159">
        <v>0</v>
      </c>
      <c r="G428" s="157">
        <v>0</v>
      </c>
      <c r="H428" s="196">
        <v>0</v>
      </c>
      <c r="I428" s="198">
        <v>0</v>
      </c>
      <c r="J428" s="165">
        <f t="shared" si="14"/>
        <v>0</v>
      </c>
      <c r="K428" s="170" t="str">
        <f t="shared" si="13"/>
        <v>419</v>
      </c>
    </row>
    <row r="429" spans="1:11" x14ac:dyDescent="0.3">
      <c r="A429" s="194">
        <v>419999</v>
      </c>
      <c r="B429" s="195" t="s">
        <v>1076</v>
      </c>
      <c r="C429" s="195" t="s">
        <v>685</v>
      </c>
      <c r="D429" s="195" t="s">
        <v>690</v>
      </c>
      <c r="E429" s="196">
        <v>0</v>
      </c>
      <c r="F429" s="159">
        <v>-7303056.0800000001</v>
      </c>
      <c r="G429" s="158">
        <v>-7303056.0800000001</v>
      </c>
      <c r="H429" s="196">
        <v>0</v>
      </c>
      <c r="I429" s="198">
        <v>0</v>
      </c>
      <c r="J429" s="165">
        <f t="shared" si="14"/>
        <v>-7303056.0800000001</v>
      </c>
      <c r="K429" s="170" t="str">
        <f t="shared" si="13"/>
        <v>419</v>
      </c>
    </row>
    <row r="430" spans="1:11" x14ac:dyDescent="0.3">
      <c r="A430" s="194">
        <v>420000</v>
      </c>
      <c r="B430" s="195" t="s">
        <v>1077</v>
      </c>
      <c r="C430" s="195" t="s">
        <v>685</v>
      </c>
      <c r="D430" s="195" t="s">
        <v>687</v>
      </c>
      <c r="E430" s="196">
        <v>0</v>
      </c>
      <c r="F430" s="159">
        <v>0</v>
      </c>
      <c r="G430" s="157">
        <v>0</v>
      </c>
      <c r="H430" s="196">
        <v>0</v>
      </c>
      <c r="I430" s="198">
        <v>0</v>
      </c>
      <c r="J430" s="165">
        <f t="shared" si="14"/>
        <v>0</v>
      </c>
      <c r="K430" s="170" t="str">
        <f t="shared" si="13"/>
        <v>420</v>
      </c>
    </row>
    <row r="431" spans="1:11" x14ac:dyDescent="0.3">
      <c r="A431" s="194">
        <v>421000</v>
      </c>
      <c r="B431" s="195" t="s">
        <v>366</v>
      </c>
      <c r="C431" s="195" t="s">
        <v>685</v>
      </c>
      <c r="D431" s="195" t="s">
        <v>687</v>
      </c>
      <c r="E431" s="196">
        <v>0</v>
      </c>
      <c r="F431" s="159">
        <v>0</v>
      </c>
      <c r="G431" s="158">
        <v>0</v>
      </c>
      <c r="H431" s="196">
        <v>0</v>
      </c>
      <c r="I431" s="198">
        <v>0</v>
      </c>
      <c r="J431" s="165">
        <f t="shared" si="14"/>
        <v>0</v>
      </c>
      <c r="K431" s="170" t="str">
        <f t="shared" si="13"/>
        <v>421</v>
      </c>
    </row>
    <row r="432" spans="1:11" x14ac:dyDescent="0.3">
      <c r="A432" s="194">
        <v>421100</v>
      </c>
      <c r="B432" s="195" t="s">
        <v>366</v>
      </c>
      <c r="C432" s="195" t="s">
        <v>685</v>
      </c>
      <c r="D432" s="195" t="s">
        <v>686</v>
      </c>
      <c r="E432" s="196">
        <v>0</v>
      </c>
      <c r="F432" s="159">
        <v>-745.2</v>
      </c>
      <c r="G432" s="157">
        <v>-745.2</v>
      </c>
      <c r="H432" s="196">
        <v>0</v>
      </c>
      <c r="I432" s="198">
        <v>0</v>
      </c>
      <c r="J432" s="165">
        <f t="shared" si="14"/>
        <v>-745.2</v>
      </c>
      <c r="K432" s="170" t="str">
        <f t="shared" si="13"/>
        <v>421</v>
      </c>
    </row>
    <row r="433" spans="1:11" x14ac:dyDescent="0.3">
      <c r="A433" s="194">
        <v>421999</v>
      </c>
      <c r="B433" s="195" t="s">
        <v>1078</v>
      </c>
      <c r="C433" s="195" t="s">
        <v>685</v>
      </c>
      <c r="D433" s="195" t="s">
        <v>690</v>
      </c>
      <c r="E433" s="196">
        <v>0</v>
      </c>
      <c r="F433" s="159">
        <v>-745.2</v>
      </c>
      <c r="G433" s="158">
        <v>-745.2</v>
      </c>
      <c r="H433" s="196">
        <v>0</v>
      </c>
      <c r="I433" s="198">
        <v>0</v>
      </c>
      <c r="J433" s="165">
        <f t="shared" si="14"/>
        <v>-745.2</v>
      </c>
      <c r="K433" s="170" t="str">
        <f t="shared" si="13"/>
        <v>421</v>
      </c>
    </row>
    <row r="434" spans="1:11" x14ac:dyDescent="0.3">
      <c r="A434" s="194">
        <v>422000</v>
      </c>
      <c r="B434" s="195" t="s">
        <v>367</v>
      </c>
      <c r="C434" s="195" t="s">
        <v>685</v>
      </c>
      <c r="D434" s="195" t="s">
        <v>687</v>
      </c>
      <c r="E434" s="196">
        <v>0</v>
      </c>
      <c r="F434" s="159">
        <v>0</v>
      </c>
      <c r="G434" s="157">
        <v>0</v>
      </c>
      <c r="H434" s="196">
        <v>0</v>
      </c>
      <c r="I434" s="198">
        <v>0</v>
      </c>
      <c r="J434" s="165">
        <f t="shared" si="14"/>
        <v>0</v>
      </c>
      <c r="K434" s="170" t="str">
        <f t="shared" si="13"/>
        <v>422</v>
      </c>
    </row>
    <row r="435" spans="1:11" x14ac:dyDescent="0.3">
      <c r="A435" s="194">
        <v>422999</v>
      </c>
      <c r="B435" s="195" t="s">
        <v>1079</v>
      </c>
      <c r="C435" s="195" t="s">
        <v>685</v>
      </c>
      <c r="D435" s="195" t="s">
        <v>690</v>
      </c>
      <c r="E435" s="196">
        <v>0</v>
      </c>
      <c r="F435" s="159">
        <v>0</v>
      </c>
      <c r="G435" s="158">
        <v>0</v>
      </c>
      <c r="H435" s="196">
        <v>0</v>
      </c>
      <c r="I435" s="198">
        <v>0</v>
      </c>
      <c r="J435" s="165">
        <f t="shared" si="14"/>
        <v>0</v>
      </c>
      <c r="K435" s="170" t="str">
        <f t="shared" si="13"/>
        <v>422</v>
      </c>
    </row>
    <row r="436" spans="1:11" x14ac:dyDescent="0.3">
      <c r="A436" s="194">
        <v>423000</v>
      </c>
      <c r="B436" s="195" t="s">
        <v>1080</v>
      </c>
      <c r="C436" s="195" t="s">
        <v>685</v>
      </c>
      <c r="D436" s="195" t="s">
        <v>687</v>
      </c>
      <c r="E436" s="196">
        <v>0</v>
      </c>
      <c r="F436" s="159">
        <v>0</v>
      </c>
      <c r="G436" s="157">
        <v>0</v>
      </c>
      <c r="H436" s="196">
        <v>0</v>
      </c>
      <c r="I436" s="198">
        <v>0</v>
      </c>
      <c r="J436" s="165">
        <f t="shared" si="14"/>
        <v>0</v>
      </c>
      <c r="K436" s="170" t="str">
        <f t="shared" si="13"/>
        <v>423</v>
      </c>
    </row>
    <row r="437" spans="1:11" x14ac:dyDescent="0.3">
      <c r="A437" s="194">
        <v>423999</v>
      </c>
      <c r="B437" s="195" t="s">
        <v>1081</v>
      </c>
      <c r="C437" s="195" t="s">
        <v>685</v>
      </c>
      <c r="D437" s="195" t="s">
        <v>690</v>
      </c>
      <c r="E437" s="196">
        <v>0</v>
      </c>
      <c r="F437" s="159">
        <v>0</v>
      </c>
      <c r="G437" s="158">
        <v>0</v>
      </c>
      <c r="H437" s="196">
        <v>0</v>
      </c>
      <c r="I437" s="198">
        <v>0</v>
      </c>
      <c r="J437" s="165">
        <f t="shared" si="14"/>
        <v>0</v>
      </c>
      <c r="K437" s="170" t="str">
        <f t="shared" si="13"/>
        <v>423</v>
      </c>
    </row>
    <row r="438" spans="1:11" x14ac:dyDescent="0.3">
      <c r="A438" s="194">
        <v>427000</v>
      </c>
      <c r="B438" s="195" t="s">
        <v>1082</v>
      </c>
      <c r="C438" s="195" t="s">
        <v>685</v>
      </c>
      <c r="D438" s="195" t="s">
        <v>687</v>
      </c>
      <c r="E438" s="196">
        <v>0</v>
      </c>
      <c r="F438" s="159">
        <v>0</v>
      </c>
      <c r="G438" s="157">
        <v>0</v>
      </c>
      <c r="H438" s="196">
        <v>0</v>
      </c>
      <c r="I438" s="198">
        <v>0</v>
      </c>
      <c r="J438" s="165">
        <f t="shared" si="14"/>
        <v>0</v>
      </c>
      <c r="K438" s="170" t="str">
        <f t="shared" si="13"/>
        <v>427</v>
      </c>
    </row>
    <row r="439" spans="1:11" x14ac:dyDescent="0.3">
      <c r="A439" s="194">
        <v>427100</v>
      </c>
      <c r="B439" s="195" t="s">
        <v>1082</v>
      </c>
      <c r="C439" s="195" t="s">
        <v>685</v>
      </c>
      <c r="D439" s="195" t="s">
        <v>686</v>
      </c>
      <c r="E439" s="196">
        <v>0</v>
      </c>
      <c r="F439" s="159">
        <v>-1440.75</v>
      </c>
      <c r="G439" s="158">
        <v>-1440.75</v>
      </c>
      <c r="H439" s="196">
        <v>50</v>
      </c>
      <c r="I439" s="198">
        <v>50</v>
      </c>
      <c r="J439" s="165">
        <f t="shared" si="14"/>
        <v>-1440.75</v>
      </c>
      <c r="K439" s="170" t="str">
        <f t="shared" si="13"/>
        <v>427</v>
      </c>
    </row>
    <row r="440" spans="1:11" x14ac:dyDescent="0.3">
      <c r="A440" s="194">
        <v>427999</v>
      </c>
      <c r="B440" s="195" t="s">
        <v>1083</v>
      </c>
      <c r="C440" s="195" t="s">
        <v>685</v>
      </c>
      <c r="D440" s="195" t="s">
        <v>690</v>
      </c>
      <c r="E440" s="196">
        <v>0</v>
      </c>
      <c r="F440" s="159">
        <v>-1440.75</v>
      </c>
      <c r="G440" s="157">
        <v>-1440.75</v>
      </c>
      <c r="H440" s="196">
        <v>50</v>
      </c>
      <c r="I440" s="198">
        <v>50</v>
      </c>
      <c r="J440" s="165">
        <f t="shared" si="14"/>
        <v>-1440.75</v>
      </c>
      <c r="K440" s="170" t="str">
        <f t="shared" si="13"/>
        <v>427</v>
      </c>
    </row>
    <row r="441" spans="1:11" x14ac:dyDescent="0.3">
      <c r="A441" s="194">
        <v>428000</v>
      </c>
      <c r="B441" s="195" t="s">
        <v>1084</v>
      </c>
      <c r="C441" s="195" t="s">
        <v>685</v>
      </c>
      <c r="D441" s="195" t="s">
        <v>687</v>
      </c>
      <c r="E441" s="196">
        <v>0</v>
      </c>
      <c r="F441" s="159">
        <v>0</v>
      </c>
      <c r="G441" s="158">
        <v>0</v>
      </c>
      <c r="H441" s="196">
        <v>0</v>
      </c>
      <c r="I441" s="198">
        <v>0</v>
      </c>
      <c r="J441" s="165">
        <f t="shared" si="14"/>
        <v>0</v>
      </c>
      <c r="K441" s="170" t="str">
        <f t="shared" si="13"/>
        <v>428</v>
      </c>
    </row>
    <row r="442" spans="1:11" x14ac:dyDescent="0.3">
      <c r="A442" s="194">
        <v>428100</v>
      </c>
      <c r="B442" s="195" t="s">
        <v>1085</v>
      </c>
      <c r="C442" s="195" t="s">
        <v>685</v>
      </c>
      <c r="D442" s="195" t="s">
        <v>686</v>
      </c>
      <c r="E442" s="196">
        <v>-580517.94999999995</v>
      </c>
      <c r="F442" s="159">
        <v>-5416844.5300000003</v>
      </c>
      <c r="G442" s="157">
        <v>-5416844.5300000003</v>
      </c>
      <c r="H442" s="196">
        <v>0</v>
      </c>
      <c r="I442" s="198">
        <v>580517.94999999995</v>
      </c>
      <c r="J442" s="165">
        <f t="shared" si="14"/>
        <v>-4836326.58</v>
      </c>
      <c r="K442" s="170" t="str">
        <f t="shared" si="13"/>
        <v>428</v>
      </c>
    </row>
    <row r="443" spans="1:11" x14ac:dyDescent="0.3">
      <c r="A443" s="194">
        <v>428999</v>
      </c>
      <c r="B443" s="195" t="s">
        <v>1086</v>
      </c>
      <c r="C443" s="195" t="s">
        <v>685</v>
      </c>
      <c r="D443" s="195" t="s">
        <v>690</v>
      </c>
      <c r="E443" s="196">
        <v>-580517.94999999995</v>
      </c>
      <c r="F443" s="159">
        <v>-5416844.5300000003</v>
      </c>
      <c r="G443" s="158">
        <v>-5416844.5300000003</v>
      </c>
      <c r="H443" s="196">
        <v>0</v>
      </c>
      <c r="I443" s="198">
        <v>580517.94999999995</v>
      </c>
      <c r="J443" s="165">
        <f t="shared" si="14"/>
        <v>-4836326.58</v>
      </c>
      <c r="K443" s="170" t="str">
        <f t="shared" si="13"/>
        <v>428</v>
      </c>
    </row>
    <row r="444" spans="1:11" x14ac:dyDescent="0.3">
      <c r="A444" s="194">
        <v>429000</v>
      </c>
      <c r="B444" s="195" t="s">
        <v>1087</v>
      </c>
      <c r="C444" s="195" t="s">
        <v>685</v>
      </c>
      <c r="D444" s="195" t="s">
        <v>687</v>
      </c>
      <c r="E444" s="196">
        <v>0</v>
      </c>
      <c r="F444" s="159">
        <v>0</v>
      </c>
      <c r="G444" s="157">
        <v>0</v>
      </c>
      <c r="H444" s="196">
        <v>0</v>
      </c>
      <c r="I444" s="198">
        <v>0</v>
      </c>
      <c r="J444" s="165">
        <f t="shared" si="14"/>
        <v>0</v>
      </c>
      <c r="K444" s="170" t="str">
        <f t="shared" si="13"/>
        <v>429</v>
      </c>
    </row>
    <row r="445" spans="1:11" x14ac:dyDescent="0.3">
      <c r="A445" s="194">
        <v>429100</v>
      </c>
      <c r="B445" s="195" t="s">
        <v>1088</v>
      </c>
      <c r="C445" s="195" t="s">
        <v>685</v>
      </c>
      <c r="D445" s="195" t="s">
        <v>686</v>
      </c>
      <c r="E445" s="196">
        <v>0</v>
      </c>
      <c r="F445" s="159">
        <v>5147926.3499999996</v>
      </c>
      <c r="G445" s="158">
        <v>5147926.3499999996</v>
      </c>
      <c r="H445" s="196">
        <v>0</v>
      </c>
      <c r="I445" s="198">
        <v>0</v>
      </c>
      <c r="J445" s="165">
        <f t="shared" si="14"/>
        <v>5147926.3499999996</v>
      </c>
      <c r="K445" s="170" t="str">
        <f t="shared" si="13"/>
        <v>429</v>
      </c>
    </row>
    <row r="446" spans="1:11" x14ac:dyDescent="0.3">
      <c r="A446" s="194">
        <v>429998</v>
      </c>
      <c r="B446" s="195" t="s">
        <v>1089</v>
      </c>
      <c r="C446" s="195" t="s">
        <v>685</v>
      </c>
      <c r="D446" s="195" t="s">
        <v>690</v>
      </c>
      <c r="E446" s="196">
        <v>0</v>
      </c>
      <c r="F446" s="159">
        <v>5147926.3499999996</v>
      </c>
      <c r="G446" s="157">
        <v>5147926.3499999996</v>
      </c>
      <c r="H446" s="196">
        <v>0</v>
      </c>
      <c r="I446" s="198">
        <v>0</v>
      </c>
      <c r="J446" s="165">
        <f t="shared" si="14"/>
        <v>5147926.3499999996</v>
      </c>
      <c r="K446" s="170" t="str">
        <f t="shared" si="13"/>
        <v>429</v>
      </c>
    </row>
    <row r="447" spans="1:11" x14ac:dyDescent="0.3">
      <c r="A447" s="194">
        <v>429999</v>
      </c>
      <c r="B447" s="195" t="s">
        <v>1090</v>
      </c>
      <c r="C447" s="195" t="s">
        <v>685</v>
      </c>
      <c r="D447" s="195" t="s">
        <v>690</v>
      </c>
      <c r="E447" s="196">
        <v>-580517.94999999995</v>
      </c>
      <c r="F447" s="159">
        <v>-271104.13</v>
      </c>
      <c r="G447" s="158">
        <v>-271104.13</v>
      </c>
      <c r="H447" s="196">
        <v>50</v>
      </c>
      <c r="I447" s="198">
        <v>580567.94999999995</v>
      </c>
      <c r="J447" s="165">
        <f t="shared" si="14"/>
        <v>309413.81999999995</v>
      </c>
      <c r="K447" s="170" t="str">
        <f t="shared" si="13"/>
        <v>429</v>
      </c>
    </row>
    <row r="448" spans="1:11" x14ac:dyDescent="0.3">
      <c r="A448" s="194">
        <v>430000</v>
      </c>
      <c r="B448" s="195" t="s">
        <v>1091</v>
      </c>
      <c r="C448" s="195" t="s">
        <v>685</v>
      </c>
      <c r="D448" s="195" t="s">
        <v>687</v>
      </c>
      <c r="E448" s="196">
        <v>0</v>
      </c>
      <c r="F448" s="159">
        <v>0</v>
      </c>
      <c r="G448" s="157">
        <v>0</v>
      </c>
      <c r="H448" s="196">
        <v>0</v>
      </c>
      <c r="I448" s="198">
        <v>0</v>
      </c>
      <c r="J448" s="165">
        <f t="shared" si="14"/>
        <v>0</v>
      </c>
      <c r="K448" s="170" t="str">
        <f t="shared" si="13"/>
        <v>430</v>
      </c>
    </row>
    <row r="449" spans="1:11" x14ac:dyDescent="0.3">
      <c r="A449" s="194">
        <v>431000</v>
      </c>
      <c r="B449" s="195" t="s">
        <v>1092</v>
      </c>
      <c r="C449" s="195" t="s">
        <v>685</v>
      </c>
      <c r="D449" s="195" t="s">
        <v>687</v>
      </c>
      <c r="E449" s="196">
        <v>0</v>
      </c>
      <c r="F449" s="159">
        <v>0</v>
      </c>
      <c r="G449" s="158">
        <v>0</v>
      </c>
      <c r="H449" s="196">
        <v>0</v>
      </c>
      <c r="I449" s="198">
        <v>0</v>
      </c>
      <c r="J449" s="165">
        <f t="shared" si="14"/>
        <v>0</v>
      </c>
      <c r="K449" s="170" t="str">
        <f t="shared" si="13"/>
        <v>431</v>
      </c>
    </row>
    <row r="450" spans="1:11" x14ac:dyDescent="0.3">
      <c r="A450" s="194">
        <v>431100</v>
      </c>
      <c r="B450" s="195" t="s">
        <v>1093</v>
      </c>
      <c r="C450" s="195" t="s">
        <v>685</v>
      </c>
      <c r="D450" s="195" t="s">
        <v>686</v>
      </c>
      <c r="E450" s="196">
        <v>580517.94999999995</v>
      </c>
      <c r="F450" s="159">
        <v>0</v>
      </c>
      <c r="G450" s="157">
        <v>0</v>
      </c>
      <c r="H450" s="196">
        <v>580517.94999999995</v>
      </c>
      <c r="I450" s="198">
        <v>0</v>
      </c>
      <c r="J450" s="165">
        <f t="shared" si="14"/>
        <v>-580517.94999999995</v>
      </c>
      <c r="K450" s="170" t="str">
        <f t="shared" si="13"/>
        <v>431</v>
      </c>
    </row>
    <row r="451" spans="1:11" x14ac:dyDescent="0.3">
      <c r="A451" s="194">
        <v>470000</v>
      </c>
      <c r="B451" s="195" t="s">
        <v>1094</v>
      </c>
      <c r="C451" s="195" t="s">
        <v>685</v>
      </c>
      <c r="D451" s="195" t="s">
        <v>687</v>
      </c>
      <c r="E451" s="196">
        <v>0</v>
      </c>
      <c r="F451" s="159">
        <v>0</v>
      </c>
      <c r="G451" s="158">
        <v>0</v>
      </c>
      <c r="H451" s="196">
        <v>0</v>
      </c>
      <c r="I451" s="198">
        <v>0</v>
      </c>
      <c r="J451" s="165">
        <f t="shared" si="14"/>
        <v>0</v>
      </c>
      <c r="K451" s="170" t="str">
        <f t="shared" ref="K451:K514" si="15">IF(A451&lt;100000,CONCATENATE(0,LEFT(A451,2)),LEFT(A451,3))</f>
        <v>470</v>
      </c>
    </row>
    <row r="452" spans="1:11" x14ac:dyDescent="0.3">
      <c r="A452" s="194">
        <v>471000</v>
      </c>
      <c r="B452" s="195" t="s">
        <v>1095</v>
      </c>
      <c r="C452" s="195" t="s">
        <v>685</v>
      </c>
      <c r="D452" s="195" t="s">
        <v>687</v>
      </c>
      <c r="E452" s="196">
        <v>0</v>
      </c>
      <c r="F452" s="159">
        <v>0</v>
      </c>
      <c r="G452" s="157">
        <v>0</v>
      </c>
      <c r="H452" s="196">
        <v>0</v>
      </c>
      <c r="I452" s="198">
        <v>0</v>
      </c>
      <c r="J452" s="165">
        <f t="shared" ref="J452:J477" si="16">F452-H452+I452</f>
        <v>0</v>
      </c>
      <c r="K452" s="170" t="str">
        <f t="shared" si="15"/>
        <v>471</v>
      </c>
    </row>
    <row r="453" spans="1:11" x14ac:dyDescent="0.3">
      <c r="A453" s="194">
        <v>471999</v>
      </c>
      <c r="B453" s="195" t="s">
        <v>1096</v>
      </c>
      <c r="C453" s="195" t="s">
        <v>685</v>
      </c>
      <c r="D453" s="195" t="s">
        <v>690</v>
      </c>
      <c r="E453" s="196">
        <v>0</v>
      </c>
      <c r="F453" s="159">
        <v>0</v>
      </c>
      <c r="G453" s="158">
        <v>0</v>
      </c>
      <c r="H453" s="196">
        <v>0</v>
      </c>
      <c r="I453" s="198">
        <v>0</v>
      </c>
      <c r="J453" s="165">
        <f t="shared" si="16"/>
        <v>0</v>
      </c>
      <c r="K453" s="170" t="str">
        <f t="shared" si="15"/>
        <v>471</v>
      </c>
    </row>
    <row r="454" spans="1:11" x14ac:dyDescent="0.3">
      <c r="A454" s="194">
        <v>472000</v>
      </c>
      <c r="B454" s="195" t="s">
        <v>1097</v>
      </c>
      <c r="C454" s="195" t="s">
        <v>685</v>
      </c>
      <c r="D454" s="195" t="s">
        <v>687</v>
      </c>
      <c r="E454" s="196">
        <v>0</v>
      </c>
      <c r="F454" s="159">
        <v>0</v>
      </c>
      <c r="G454" s="157">
        <v>0</v>
      </c>
      <c r="H454" s="196">
        <v>0</v>
      </c>
      <c r="I454" s="198">
        <v>0</v>
      </c>
      <c r="J454" s="165">
        <f t="shared" si="16"/>
        <v>0</v>
      </c>
      <c r="K454" s="170" t="str">
        <f t="shared" si="15"/>
        <v>472</v>
      </c>
    </row>
    <row r="455" spans="1:11" x14ac:dyDescent="0.3">
      <c r="A455" s="194">
        <v>472100</v>
      </c>
      <c r="B455" s="195" t="s">
        <v>1097</v>
      </c>
      <c r="C455" s="195" t="s">
        <v>685</v>
      </c>
      <c r="D455" s="195" t="s">
        <v>686</v>
      </c>
      <c r="E455" s="196">
        <v>-190.17</v>
      </c>
      <c r="F455" s="159">
        <v>-358.16</v>
      </c>
      <c r="G455" s="158">
        <v>-96.57</v>
      </c>
      <c r="H455" s="196">
        <v>38992.99</v>
      </c>
      <c r="I455" s="198">
        <v>39183.160000000003</v>
      </c>
      <c r="J455" s="165">
        <f t="shared" si="16"/>
        <v>-167.98999999999796</v>
      </c>
      <c r="K455" s="170" t="str">
        <f t="shared" si="15"/>
        <v>472</v>
      </c>
    </row>
    <row r="456" spans="1:11" x14ac:dyDescent="0.3">
      <c r="A456" s="194">
        <v>472999</v>
      </c>
      <c r="B456" s="195" t="s">
        <v>1098</v>
      </c>
      <c r="C456" s="195" t="s">
        <v>685</v>
      </c>
      <c r="D456" s="195" t="s">
        <v>690</v>
      </c>
      <c r="E456" s="196">
        <v>-190.17</v>
      </c>
      <c r="F456" s="159">
        <v>-358.16</v>
      </c>
      <c r="G456" s="157">
        <v>-96.57</v>
      </c>
      <c r="H456" s="196">
        <v>38992.99</v>
      </c>
      <c r="I456" s="198">
        <v>39183.160000000003</v>
      </c>
      <c r="J456" s="165">
        <f t="shared" si="16"/>
        <v>-167.98999999999796</v>
      </c>
      <c r="K456" s="170" t="str">
        <f t="shared" si="15"/>
        <v>472</v>
      </c>
    </row>
    <row r="457" spans="1:11" x14ac:dyDescent="0.3">
      <c r="A457" s="194">
        <v>473000</v>
      </c>
      <c r="B457" s="195" t="s">
        <v>1099</v>
      </c>
      <c r="C457" s="195" t="s">
        <v>685</v>
      </c>
      <c r="D457" s="195" t="s">
        <v>687</v>
      </c>
      <c r="E457" s="196">
        <v>0</v>
      </c>
      <c r="F457" s="159">
        <v>0</v>
      </c>
      <c r="G457" s="158">
        <v>0</v>
      </c>
      <c r="H457" s="196">
        <v>0</v>
      </c>
      <c r="I457" s="198">
        <v>0</v>
      </c>
      <c r="J457" s="165">
        <f t="shared" si="16"/>
        <v>0</v>
      </c>
      <c r="K457" s="170" t="str">
        <f t="shared" si="15"/>
        <v>473</v>
      </c>
    </row>
    <row r="458" spans="1:11" x14ac:dyDescent="0.3">
      <c r="A458" s="194">
        <v>473999</v>
      </c>
      <c r="B458" s="195" t="s">
        <v>1100</v>
      </c>
      <c r="C458" s="195" t="s">
        <v>685</v>
      </c>
      <c r="D458" s="195" t="s">
        <v>690</v>
      </c>
      <c r="E458" s="196">
        <v>0</v>
      </c>
      <c r="F458" s="159">
        <v>0</v>
      </c>
      <c r="G458" s="157">
        <v>0</v>
      </c>
      <c r="H458" s="196">
        <v>0</v>
      </c>
      <c r="I458" s="198">
        <v>0</v>
      </c>
      <c r="J458" s="165">
        <f t="shared" si="16"/>
        <v>0</v>
      </c>
      <c r="K458" s="170" t="str">
        <f t="shared" si="15"/>
        <v>473</v>
      </c>
    </row>
    <row r="459" spans="1:11" x14ac:dyDescent="0.3">
      <c r="A459" s="194">
        <v>474000</v>
      </c>
      <c r="B459" s="195" t="s">
        <v>1101</v>
      </c>
      <c r="C459" s="195" t="s">
        <v>685</v>
      </c>
      <c r="D459" s="195" t="s">
        <v>687</v>
      </c>
      <c r="E459" s="196">
        <v>0</v>
      </c>
      <c r="F459" s="159">
        <v>0</v>
      </c>
      <c r="G459" s="158">
        <v>0</v>
      </c>
      <c r="H459" s="196">
        <v>0</v>
      </c>
      <c r="I459" s="198">
        <v>0</v>
      </c>
      <c r="J459" s="165">
        <f t="shared" si="16"/>
        <v>0</v>
      </c>
      <c r="K459" s="170" t="str">
        <f t="shared" si="15"/>
        <v>474</v>
      </c>
    </row>
    <row r="460" spans="1:11" x14ac:dyDescent="0.3">
      <c r="A460" s="194">
        <v>474999</v>
      </c>
      <c r="B460" s="195" t="s">
        <v>1102</v>
      </c>
      <c r="C460" s="195" t="s">
        <v>685</v>
      </c>
      <c r="D460" s="195" t="s">
        <v>690</v>
      </c>
      <c r="E460" s="196">
        <v>0</v>
      </c>
      <c r="F460" s="159">
        <v>0</v>
      </c>
      <c r="G460" s="157">
        <v>0</v>
      </c>
      <c r="H460" s="196">
        <v>0</v>
      </c>
      <c r="I460" s="198">
        <v>0</v>
      </c>
      <c r="J460" s="165">
        <f t="shared" si="16"/>
        <v>0</v>
      </c>
      <c r="K460" s="170" t="str">
        <f t="shared" si="15"/>
        <v>474</v>
      </c>
    </row>
    <row r="461" spans="1:11" x14ac:dyDescent="0.3">
      <c r="A461" s="194">
        <v>475000</v>
      </c>
      <c r="B461" s="195" t="s">
        <v>1103</v>
      </c>
      <c r="C461" s="195" t="s">
        <v>685</v>
      </c>
      <c r="D461" s="195" t="s">
        <v>687</v>
      </c>
      <c r="E461" s="196">
        <v>0</v>
      </c>
      <c r="F461" s="159">
        <v>0</v>
      </c>
      <c r="G461" s="158">
        <v>0</v>
      </c>
      <c r="H461" s="196">
        <v>0</v>
      </c>
      <c r="I461" s="198">
        <v>0</v>
      </c>
      <c r="J461" s="165">
        <f t="shared" si="16"/>
        <v>0</v>
      </c>
      <c r="K461" s="170" t="str">
        <f t="shared" si="15"/>
        <v>475</v>
      </c>
    </row>
    <row r="462" spans="1:11" x14ac:dyDescent="0.3">
      <c r="A462" s="194">
        <v>475999</v>
      </c>
      <c r="B462" s="195" t="s">
        <v>1104</v>
      </c>
      <c r="C462" s="195" t="s">
        <v>685</v>
      </c>
      <c r="D462" s="195" t="s">
        <v>690</v>
      </c>
      <c r="E462" s="196">
        <v>0</v>
      </c>
      <c r="F462" s="159">
        <v>0</v>
      </c>
      <c r="G462" s="157">
        <v>0</v>
      </c>
      <c r="H462" s="196">
        <v>0</v>
      </c>
      <c r="I462" s="198">
        <v>0</v>
      </c>
      <c r="J462" s="165">
        <f t="shared" si="16"/>
        <v>0</v>
      </c>
      <c r="K462" s="170" t="str">
        <f t="shared" si="15"/>
        <v>475</v>
      </c>
    </row>
    <row r="463" spans="1:11" x14ac:dyDescent="0.3">
      <c r="A463" s="194">
        <v>476000</v>
      </c>
      <c r="B463" s="195" t="s">
        <v>1105</v>
      </c>
      <c r="C463" s="195" t="s">
        <v>685</v>
      </c>
      <c r="D463" s="195" t="s">
        <v>687</v>
      </c>
      <c r="E463" s="196">
        <v>0</v>
      </c>
      <c r="F463" s="159">
        <v>0</v>
      </c>
      <c r="G463" s="158">
        <v>0</v>
      </c>
      <c r="H463" s="196">
        <v>0</v>
      </c>
      <c r="I463" s="198">
        <v>0</v>
      </c>
      <c r="J463" s="165">
        <f t="shared" si="16"/>
        <v>0</v>
      </c>
      <c r="K463" s="170" t="str">
        <f t="shared" si="15"/>
        <v>476</v>
      </c>
    </row>
    <row r="464" spans="1:11" x14ac:dyDescent="0.3">
      <c r="A464" s="194">
        <v>476999</v>
      </c>
      <c r="B464" s="195" t="s">
        <v>1106</v>
      </c>
      <c r="C464" s="195" t="s">
        <v>685</v>
      </c>
      <c r="D464" s="195" t="s">
        <v>690</v>
      </c>
      <c r="E464" s="196">
        <v>0</v>
      </c>
      <c r="F464" s="159">
        <v>0</v>
      </c>
      <c r="G464" s="157">
        <v>0</v>
      </c>
      <c r="H464" s="196">
        <v>0</v>
      </c>
      <c r="I464" s="198">
        <v>0</v>
      </c>
      <c r="J464" s="165">
        <f t="shared" si="16"/>
        <v>0</v>
      </c>
      <c r="K464" s="170" t="str">
        <f t="shared" si="15"/>
        <v>476</v>
      </c>
    </row>
    <row r="465" spans="1:11" x14ac:dyDescent="0.3">
      <c r="A465" s="194">
        <v>478000</v>
      </c>
      <c r="B465" s="195" t="s">
        <v>1107</v>
      </c>
      <c r="C465" s="195" t="s">
        <v>685</v>
      </c>
      <c r="D465" s="195" t="s">
        <v>687</v>
      </c>
      <c r="E465" s="196">
        <v>0</v>
      </c>
      <c r="F465" s="159">
        <v>0</v>
      </c>
      <c r="G465" s="158">
        <v>0</v>
      </c>
      <c r="H465" s="196">
        <v>0</v>
      </c>
      <c r="I465" s="198">
        <v>0</v>
      </c>
      <c r="J465" s="165">
        <f t="shared" si="16"/>
        <v>0</v>
      </c>
      <c r="K465" s="170" t="str">
        <f t="shared" si="15"/>
        <v>478</v>
      </c>
    </row>
    <row r="466" spans="1:11" x14ac:dyDescent="0.3">
      <c r="A466" s="194">
        <v>478999</v>
      </c>
      <c r="B466" s="195" t="s">
        <v>1108</v>
      </c>
      <c r="C466" s="195" t="s">
        <v>685</v>
      </c>
      <c r="D466" s="195" t="s">
        <v>690</v>
      </c>
      <c r="E466" s="196">
        <v>0</v>
      </c>
      <c r="F466" s="159">
        <v>0</v>
      </c>
      <c r="G466" s="157">
        <v>0</v>
      </c>
      <c r="H466" s="196">
        <v>0</v>
      </c>
      <c r="I466" s="198">
        <v>0</v>
      </c>
      <c r="J466" s="165">
        <f t="shared" si="16"/>
        <v>0</v>
      </c>
      <c r="K466" s="170" t="str">
        <f t="shared" si="15"/>
        <v>478</v>
      </c>
    </row>
    <row r="467" spans="1:11" x14ac:dyDescent="0.3">
      <c r="A467" s="194">
        <v>479000</v>
      </c>
      <c r="B467" s="195" t="s">
        <v>1109</v>
      </c>
      <c r="C467" s="195" t="s">
        <v>685</v>
      </c>
      <c r="D467" s="195" t="s">
        <v>687</v>
      </c>
      <c r="E467" s="196">
        <v>0</v>
      </c>
      <c r="F467" s="159">
        <v>0</v>
      </c>
      <c r="G467" s="158">
        <v>0</v>
      </c>
      <c r="H467" s="196">
        <v>0</v>
      </c>
      <c r="I467" s="198">
        <v>0</v>
      </c>
      <c r="J467" s="165">
        <f t="shared" si="16"/>
        <v>0</v>
      </c>
      <c r="K467" s="170" t="str">
        <f t="shared" si="15"/>
        <v>479</v>
      </c>
    </row>
    <row r="468" spans="1:11" x14ac:dyDescent="0.3">
      <c r="A468" s="194">
        <v>479998</v>
      </c>
      <c r="B468" s="195" t="s">
        <v>1110</v>
      </c>
      <c r="C468" s="195" t="s">
        <v>685</v>
      </c>
      <c r="D468" s="195" t="s">
        <v>690</v>
      </c>
      <c r="E468" s="196">
        <v>0</v>
      </c>
      <c r="F468" s="159">
        <v>0</v>
      </c>
      <c r="G468" s="157">
        <v>0</v>
      </c>
      <c r="H468" s="196">
        <v>0</v>
      </c>
      <c r="I468" s="198">
        <v>0</v>
      </c>
      <c r="J468" s="165">
        <f t="shared" si="16"/>
        <v>0</v>
      </c>
      <c r="K468" s="170" t="str">
        <f t="shared" si="15"/>
        <v>479</v>
      </c>
    </row>
    <row r="469" spans="1:11" x14ac:dyDescent="0.3">
      <c r="A469" s="194">
        <v>479999</v>
      </c>
      <c r="B469" s="195" t="s">
        <v>1111</v>
      </c>
      <c r="C469" s="195" t="s">
        <v>685</v>
      </c>
      <c r="D469" s="195" t="s">
        <v>690</v>
      </c>
      <c r="E469" s="196">
        <v>-190.17</v>
      </c>
      <c r="F469" s="159">
        <v>-358.16</v>
      </c>
      <c r="G469" s="158">
        <v>-96.57</v>
      </c>
      <c r="H469" s="196">
        <v>38992.99</v>
      </c>
      <c r="I469" s="198">
        <v>39183.160000000003</v>
      </c>
      <c r="J469" s="165">
        <f t="shared" si="16"/>
        <v>-167.98999999999796</v>
      </c>
      <c r="K469" s="170" t="str">
        <f t="shared" si="15"/>
        <v>479</v>
      </c>
    </row>
    <row r="470" spans="1:11" x14ac:dyDescent="0.3">
      <c r="A470" s="194">
        <v>480000</v>
      </c>
      <c r="B470" s="195" t="s">
        <v>1112</v>
      </c>
      <c r="C470" s="195" t="s">
        <v>685</v>
      </c>
      <c r="D470" s="195" t="s">
        <v>687</v>
      </c>
      <c r="E470" s="196">
        <v>0</v>
      </c>
      <c r="F470" s="159">
        <v>0</v>
      </c>
      <c r="G470" s="157">
        <v>0</v>
      </c>
      <c r="H470" s="196">
        <v>0</v>
      </c>
      <c r="I470" s="198">
        <v>0</v>
      </c>
      <c r="J470" s="165">
        <f t="shared" si="16"/>
        <v>0</v>
      </c>
      <c r="K470" s="170" t="str">
        <f t="shared" si="15"/>
        <v>480</v>
      </c>
    </row>
    <row r="471" spans="1:11" x14ac:dyDescent="0.3">
      <c r="A471" s="194">
        <v>481000</v>
      </c>
      <c r="B471" s="195" t="s">
        <v>1113</v>
      </c>
      <c r="C471" s="195" t="s">
        <v>685</v>
      </c>
      <c r="D471" s="195" t="s">
        <v>687</v>
      </c>
      <c r="E471" s="196">
        <v>0</v>
      </c>
      <c r="F471" s="159">
        <v>0</v>
      </c>
      <c r="G471" s="158">
        <v>0</v>
      </c>
      <c r="H471" s="196">
        <v>0</v>
      </c>
      <c r="I471" s="198">
        <v>0</v>
      </c>
      <c r="J471" s="165">
        <f t="shared" si="16"/>
        <v>0</v>
      </c>
      <c r="K471" s="170" t="str">
        <f t="shared" si="15"/>
        <v>481</v>
      </c>
    </row>
    <row r="472" spans="1:11" x14ac:dyDescent="0.3">
      <c r="A472" s="194">
        <v>481100</v>
      </c>
      <c r="B472" s="195" t="s">
        <v>1114</v>
      </c>
      <c r="C472" s="195" t="s">
        <v>685</v>
      </c>
      <c r="D472" s="195" t="s">
        <v>686</v>
      </c>
      <c r="E472" s="196">
        <v>23421.96</v>
      </c>
      <c r="F472" s="159">
        <v>223819.38</v>
      </c>
      <c r="G472" s="157">
        <v>223819.38</v>
      </c>
      <c r="H472" s="196">
        <v>54800.800000000003</v>
      </c>
      <c r="I472" s="198">
        <v>31378.84</v>
      </c>
      <c r="J472" s="165">
        <f t="shared" si="16"/>
        <v>200397.42</v>
      </c>
      <c r="K472" s="170" t="str">
        <f t="shared" si="15"/>
        <v>481</v>
      </c>
    </row>
    <row r="473" spans="1:11" x14ac:dyDescent="0.3">
      <c r="A473" s="194">
        <v>481998</v>
      </c>
      <c r="B473" s="195" t="s">
        <v>1115</v>
      </c>
      <c r="C473" s="195" t="s">
        <v>685</v>
      </c>
      <c r="D473" s="195" t="s">
        <v>690</v>
      </c>
      <c r="E473" s="196">
        <v>23421.96</v>
      </c>
      <c r="F473" s="159">
        <v>223819.38</v>
      </c>
      <c r="G473" s="158">
        <v>223819.38</v>
      </c>
      <c r="H473" s="196">
        <v>54800.800000000003</v>
      </c>
      <c r="I473" s="198">
        <v>31378.84</v>
      </c>
      <c r="J473" s="165">
        <f t="shared" si="16"/>
        <v>200397.42</v>
      </c>
      <c r="K473" s="170" t="str">
        <f t="shared" si="15"/>
        <v>481</v>
      </c>
    </row>
    <row r="474" spans="1:11" x14ac:dyDescent="0.3">
      <c r="A474" s="194">
        <v>481999</v>
      </c>
      <c r="B474" s="195" t="s">
        <v>1116</v>
      </c>
      <c r="C474" s="195" t="s">
        <v>685</v>
      </c>
      <c r="D474" s="195" t="s">
        <v>690</v>
      </c>
      <c r="E474" s="196">
        <v>23421.96</v>
      </c>
      <c r="F474" s="159">
        <v>223819.38</v>
      </c>
      <c r="G474" s="157">
        <v>223819.38</v>
      </c>
      <c r="H474" s="196">
        <v>54800.800000000003</v>
      </c>
      <c r="I474" s="198">
        <v>31378.84</v>
      </c>
      <c r="J474" s="165">
        <f t="shared" si="16"/>
        <v>200397.42</v>
      </c>
      <c r="K474" s="170" t="str">
        <f t="shared" si="15"/>
        <v>481</v>
      </c>
    </row>
    <row r="475" spans="1:11" x14ac:dyDescent="0.3">
      <c r="A475" s="194">
        <v>491000</v>
      </c>
      <c r="B475" s="195" t="s">
        <v>1117</v>
      </c>
      <c r="C475" s="195" t="s">
        <v>685</v>
      </c>
      <c r="D475" s="195" t="s">
        <v>687</v>
      </c>
      <c r="E475" s="196">
        <v>0</v>
      </c>
      <c r="F475" s="159">
        <v>0</v>
      </c>
      <c r="G475" s="158">
        <v>0</v>
      </c>
      <c r="H475" s="196">
        <v>0</v>
      </c>
      <c r="I475" s="198">
        <v>0</v>
      </c>
      <c r="J475" s="165">
        <f t="shared" si="16"/>
        <v>0</v>
      </c>
      <c r="K475" s="170" t="str">
        <f t="shared" si="15"/>
        <v>491</v>
      </c>
    </row>
    <row r="476" spans="1:11" x14ac:dyDescent="0.3">
      <c r="A476" s="194">
        <v>491999</v>
      </c>
      <c r="B476" s="195" t="s">
        <v>1118</v>
      </c>
      <c r="C476" s="195" t="s">
        <v>685</v>
      </c>
      <c r="D476" s="195" t="s">
        <v>690</v>
      </c>
      <c r="E476" s="196">
        <v>0</v>
      </c>
      <c r="F476" s="159">
        <v>0</v>
      </c>
      <c r="G476" s="157">
        <v>0</v>
      </c>
      <c r="H476" s="196">
        <v>0</v>
      </c>
      <c r="I476" s="198">
        <v>0</v>
      </c>
      <c r="J476" s="165">
        <f t="shared" si="16"/>
        <v>0</v>
      </c>
      <c r="K476" s="170" t="str">
        <f t="shared" si="15"/>
        <v>491</v>
      </c>
    </row>
    <row r="477" spans="1:11" x14ac:dyDescent="0.3">
      <c r="A477" s="194">
        <v>499999</v>
      </c>
      <c r="B477" s="195" t="s">
        <v>1119</v>
      </c>
      <c r="C477" s="195" t="s">
        <v>685</v>
      </c>
      <c r="D477" s="195" t="s">
        <v>690</v>
      </c>
      <c r="E477" s="196">
        <v>23231.79</v>
      </c>
      <c r="F477" s="159">
        <v>-7350698.9900000002</v>
      </c>
      <c r="G477" s="158">
        <v>-7350437.4000000004</v>
      </c>
      <c r="H477" s="196">
        <v>674361.74</v>
      </c>
      <c r="I477" s="198">
        <v>651129.94999999995</v>
      </c>
      <c r="J477" s="165">
        <f t="shared" si="16"/>
        <v>-7373930.7800000003</v>
      </c>
      <c r="K477" s="170" t="str">
        <f t="shared" si="15"/>
        <v>499</v>
      </c>
    </row>
    <row r="478" spans="1:11" x14ac:dyDescent="0.3">
      <c r="A478" s="194">
        <v>500000</v>
      </c>
      <c r="B478" s="195" t="s">
        <v>1120</v>
      </c>
      <c r="C478" s="195" t="s">
        <v>1121</v>
      </c>
      <c r="D478" s="195" t="s">
        <v>687</v>
      </c>
      <c r="E478" s="196">
        <v>0</v>
      </c>
      <c r="F478" s="159">
        <v>0</v>
      </c>
      <c r="G478" s="157">
        <v>0</v>
      </c>
      <c r="H478" s="196">
        <v>0</v>
      </c>
      <c r="I478" s="198">
        <v>0</v>
      </c>
      <c r="K478" s="170" t="str">
        <f t="shared" si="15"/>
        <v>500</v>
      </c>
    </row>
    <row r="479" spans="1:11" x14ac:dyDescent="0.3">
      <c r="A479" s="194">
        <v>500001</v>
      </c>
      <c r="B479" s="195" t="s">
        <v>1122</v>
      </c>
      <c r="C479" s="195" t="s">
        <v>1121</v>
      </c>
      <c r="D479" s="195" t="s">
        <v>687</v>
      </c>
      <c r="E479" s="196">
        <v>0</v>
      </c>
      <c r="F479" s="159">
        <v>0</v>
      </c>
      <c r="G479" s="158">
        <v>0</v>
      </c>
      <c r="H479" s="196">
        <v>0</v>
      </c>
      <c r="I479" s="198">
        <v>0</v>
      </c>
      <c r="K479" s="170" t="str">
        <f t="shared" si="15"/>
        <v>500</v>
      </c>
    </row>
    <row r="480" spans="1:11" x14ac:dyDescent="0.3">
      <c r="A480" s="194">
        <v>501000</v>
      </c>
      <c r="B480" s="195" t="s">
        <v>1123</v>
      </c>
      <c r="C480" s="195" t="s">
        <v>1121</v>
      </c>
      <c r="D480" s="195" t="s">
        <v>687</v>
      </c>
      <c r="E480" s="196">
        <v>0</v>
      </c>
      <c r="F480" s="159">
        <v>0</v>
      </c>
      <c r="G480" s="157">
        <v>0</v>
      </c>
      <c r="H480" s="196">
        <v>0</v>
      </c>
      <c r="I480" s="198">
        <v>0</v>
      </c>
      <c r="K480" s="170" t="str">
        <f t="shared" si="15"/>
        <v>501</v>
      </c>
    </row>
    <row r="481" spans="1:11" x14ac:dyDescent="0.3">
      <c r="A481" s="194">
        <v>501100</v>
      </c>
      <c r="B481" s="195" t="s">
        <v>1124</v>
      </c>
      <c r="C481" s="195" t="s">
        <v>1121</v>
      </c>
      <c r="D481" s="195" t="s">
        <v>687</v>
      </c>
      <c r="E481" s="196">
        <v>0</v>
      </c>
      <c r="F481" s="159">
        <v>0</v>
      </c>
      <c r="G481" s="158">
        <v>0</v>
      </c>
      <c r="H481" s="196">
        <v>0</v>
      </c>
      <c r="I481" s="198">
        <v>0</v>
      </c>
      <c r="K481" s="170" t="str">
        <f t="shared" si="15"/>
        <v>501</v>
      </c>
    </row>
    <row r="482" spans="1:11" x14ac:dyDescent="0.3">
      <c r="A482" s="194">
        <v>501110</v>
      </c>
      <c r="B482" s="195" t="s">
        <v>1125</v>
      </c>
      <c r="C482" s="195" t="s">
        <v>1121</v>
      </c>
      <c r="D482" s="195" t="s">
        <v>687</v>
      </c>
      <c r="E482" s="196">
        <v>0</v>
      </c>
      <c r="F482" s="159">
        <v>0</v>
      </c>
      <c r="G482" s="157">
        <v>0</v>
      </c>
      <c r="H482" s="196">
        <v>0</v>
      </c>
      <c r="I482" s="198">
        <v>0</v>
      </c>
      <c r="K482" s="170" t="str">
        <f t="shared" si="15"/>
        <v>501</v>
      </c>
    </row>
    <row r="483" spans="1:11" x14ac:dyDescent="0.3">
      <c r="A483" s="194">
        <v>501116</v>
      </c>
      <c r="B483" s="195" t="s">
        <v>1126</v>
      </c>
      <c r="C483" s="195" t="s">
        <v>1121</v>
      </c>
      <c r="D483" s="195" t="s">
        <v>686</v>
      </c>
      <c r="E483" s="196">
        <v>157605</v>
      </c>
      <c r="F483" s="159">
        <v>157605</v>
      </c>
      <c r="G483" s="158">
        <v>171018.37</v>
      </c>
      <c r="H483" s="196">
        <v>209605</v>
      </c>
      <c r="I483" s="198">
        <v>52000</v>
      </c>
      <c r="K483" s="170" t="str">
        <f t="shared" si="15"/>
        <v>501</v>
      </c>
    </row>
    <row r="484" spans="1:11" x14ac:dyDescent="0.3">
      <c r="A484" s="194">
        <v>501119</v>
      </c>
      <c r="B484" s="195" t="s">
        <v>1127</v>
      </c>
      <c r="C484" s="195" t="s">
        <v>1121</v>
      </c>
      <c r="D484" s="195" t="s">
        <v>690</v>
      </c>
      <c r="E484" s="196">
        <v>157605</v>
      </c>
      <c r="F484" s="159">
        <v>157605</v>
      </c>
      <c r="G484" s="157">
        <v>171018.37</v>
      </c>
      <c r="H484" s="196">
        <v>209605</v>
      </c>
      <c r="I484" s="198">
        <v>52000</v>
      </c>
      <c r="K484" s="170" t="str">
        <f t="shared" si="15"/>
        <v>501</v>
      </c>
    </row>
    <row r="485" spans="1:11" x14ac:dyDescent="0.3">
      <c r="A485" s="194">
        <v>501120</v>
      </c>
      <c r="B485" s="195" t="s">
        <v>1128</v>
      </c>
      <c r="C485" s="195" t="s">
        <v>1121</v>
      </c>
      <c r="D485" s="195" t="s">
        <v>687</v>
      </c>
      <c r="E485" s="196">
        <v>0</v>
      </c>
      <c r="F485" s="159">
        <v>0</v>
      </c>
      <c r="G485" s="158">
        <v>0</v>
      </c>
      <c r="H485" s="196">
        <v>0</v>
      </c>
      <c r="I485" s="198">
        <v>0</v>
      </c>
      <c r="K485" s="170" t="str">
        <f t="shared" si="15"/>
        <v>501</v>
      </c>
    </row>
    <row r="486" spans="1:11" x14ac:dyDescent="0.3">
      <c r="A486" s="194">
        <v>501129</v>
      </c>
      <c r="B486" s="195" t="s">
        <v>1129</v>
      </c>
      <c r="C486" s="195" t="s">
        <v>1121</v>
      </c>
      <c r="D486" s="195" t="s">
        <v>690</v>
      </c>
      <c r="E486" s="196">
        <v>0</v>
      </c>
      <c r="F486" s="159">
        <v>0</v>
      </c>
      <c r="G486" s="157">
        <v>0</v>
      </c>
      <c r="H486" s="196">
        <v>0</v>
      </c>
      <c r="I486" s="198">
        <v>0</v>
      </c>
      <c r="K486" s="170" t="str">
        <f t="shared" si="15"/>
        <v>501</v>
      </c>
    </row>
    <row r="487" spans="1:11" x14ac:dyDescent="0.3">
      <c r="A487" s="194">
        <v>501140</v>
      </c>
      <c r="B487" s="195" t="s">
        <v>1130</v>
      </c>
      <c r="C487" s="195" t="s">
        <v>1121</v>
      </c>
      <c r="D487" s="195" t="s">
        <v>686</v>
      </c>
      <c r="E487" s="196">
        <v>0</v>
      </c>
      <c r="F487" s="159">
        <v>0</v>
      </c>
      <c r="G487" s="158">
        <v>0</v>
      </c>
      <c r="H487" s="196">
        <v>0</v>
      </c>
      <c r="I487" s="198">
        <v>0</v>
      </c>
      <c r="K487" s="170" t="str">
        <f t="shared" si="15"/>
        <v>501</v>
      </c>
    </row>
    <row r="488" spans="1:11" x14ac:dyDescent="0.3">
      <c r="A488" s="194">
        <v>501141</v>
      </c>
      <c r="B488" s="195" t="s">
        <v>1131</v>
      </c>
      <c r="C488" s="195" t="s">
        <v>1121</v>
      </c>
      <c r="D488" s="195" t="s">
        <v>686</v>
      </c>
      <c r="E488" s="196">
        <v>0</v>
      </c>
      <c r="F488" s="159">
        <v>0</v>
      </c>
      <c r="G488" s="157">
        <v>0</v>
      </c>
      <c r="H488" s="196">
        <v>0</v>
      </c>
      <c r="I488" s="198">
        <v>0</v>
      </c>
      <c r="K488" s="170" t="str">
        <f t="shared" si="15"/>
        <v>501</v>
      </c>
    </row>
    <row r="489" spans="1:11" x14ac:dyDescent="0.3">
      <c r="A489" s="194">
        <v>501150</v>
      </c>
      <c r="B489" s="195" t="s">
        <v>1132</v>
      </c>
      <c r="C489" s="195" t="s">
        <v>1121</v>
      </c>
      <c r="D489" s="195" t="s">
        <v>686</v>
      </c>
      <c r="E489" s="196">
        <v>0</v>
      </c>
      <c r="F489" s="159">
        <v>0</v>
      </c>
      <c r="G489" s="158">
        <v>0</v>
      </c>
      <c r="H489" s="196">
        <v>0</v>
      </c>
      <c r="I489" s="198">
        <v>0</v>
      </c>
      <c r="K489" s="170" t="str">
        <f t="shared" si="15"/>
        <v>501</v>
      </c>
    </row>
    <row r="490" spans="1:11" x14ac:dyDescent="0.3">
      <c r="A490" s="194">
        <v>501180</v>
      </c>
      <c r="B490" s="195" t="s">
        <v>1133</v>
      </c>
      <c r="C490" s="195" t="s">
        <v>1121</v>
      </c>
      <c r="D490" s="195" t="s">
        <v>686</v>
      </c>
      <c r="E490" s="196">
        <v>-26411.040000000001</v>
      </c>
      <c r="F490" s="159">
        <v>-26411.040000000001</v>
      </c>
      <c r="G490" s="157">
        <v>-26558.240000000002</v>
      </c>
      <c r="H490" s="196">
        <v>7739.88</v>
      </c>
      <c r="I490" s="198">
        <v>34150.92</v>
      </c>
      <c r="K490" s="170" t="str">
        <f t="shared" si="15"/>
        <v>501</v>
      </c>
    </row>
    <row r="491" spans="1:11" x14ac:dyDescent="0.3">
      <c r="A491" s="194">
        <v>501183</v>
      </c>
      <c r="B491" s="195" t="s">
        <v>1134</v>
      </c>
      <c r="C491" s="195" t="s">
        <v>1121</v>
      </c>
      <c r="D491" s="195" t="s">
        <v>686</v>
      </c>
      <c r="E491" s="196">
        <v>161529.71</v>
      </c>
      <c r="F491" s="159">
        <v>161529.71</v>
      </c>
      <c r="G491" s="158">
        <v>163354.35999999999</v>
      </c>
      <c r="H491" s="196">
        <v>192703.94</v>
      </c>
      <c r="I491" s="198">
        <v>31174.23</v>
      </c>
      <c r="K491" s="170" t="str">
        <f t="shared" si="15"/>
        <v>501</v>
      </c>
    </row>
    <row r="492" spans="1:11" x14ac:dyDescent="0.3">
      <c r="A492" s="194">
        <v>501184</v>
      </c>
      <c r="B492" s="195" t="s">
        <v>1135</v>
      </c>
      <c r="C492" s="195" t="s">
        <v>1121</v>
      </c>
      <c r="D492" s="195" t="s">
        <v>686</v>
      </c>
      <c r="E492" s="196">
        <v>34887.1</v>
      </c>
      <c r="F492" s="159">
        <v>34887.1</v>
      </c>
      <c r="G492" s="157">
        <v>36755.870000000003</v>
      </c>
      <c r="H492" s="196">
        <v>45293.919999999998</v>
      </c>
      <c r="I492" s="198">
        <v>10406.82</v>
      </c>
      <c r="K492" s="170" t="str">
        <f t="shared" si="15"/>
        <v>501</v>
      </c>
    </row>
    <row r="493" spans="1:11" x14ac:dyDescent="0.3">
      <c r="A493" s="194">
        <v>501199</v>
      </c>
      <c r="B493" s="195" t="s">
        <v>1136</v>
      </c>
      <c r="C493" s="195" t="s">
        <v>1121</v>
      </c>
      <c r="D493" s="195" t="s">
        <v>690</v>
      </c>
      <c r="E493" s="196">
        <v>327610.77</v>
      </c>
      <c r="F493" s="159">
        <v>327610.77</v>
      </c>
      <c r="G493" s="158">
        <v>344570.36</v>
      </c>
      <c r="H493" s="196">
        <v>455342.74</v>
      </c>
      <c r="I493" s="198">
        <v>127731.97</v>
      </c>
      <c r="K493" s="170" t="str">
        <f t="shared" si="15"/>
        <v>501</v>
      </c>
    </row>
    <row r="494" spans="1:11" x14ac:dyDescent="0.3">
      <c r="A494" s="194">
        <v>501200</v>
      </c>
      <c r="B494" s="195" t="s">
        <v>1137</v>
      </c>
      <c r="C494" s="195" t="s">
        <v>1121</v>
      </c>
      <c r="D494" s="195" t="s">
        <v>687</v>
      </c>
      <c r="E494" s="196">
        <v>0</v>
      </c>
      <c r="F494" s="159">
        <v>0</v>
      </c>
      <c r="G494" s="157">
        <v>0</v>
      </c>
      <c r="H494" s="196">
        <v>0</v>
      </c>
      <c r="I494" s="198">
        <v>0</v>
      </c>
      <c r="K494" s="170" t="str">
        <f t="shared" si="15"/>
        <v>501</v>
      </c>
    </row>
    <row r="495" spans="1:11" x14ac:dyDescent="0.3">
      <c r="A495" s="194">
        <v>501210</v>
      </c>
      <c r="B495" s="195" t="s">
        <v>1138</v>
      </c>
      <c r="C495" s="195" t="s">
        <v>1121</v>
      </c>
      <c r="D495" s="195" t="s">
        <v>686</v>
      </c>
      <c r="E495" s="196">
        <v>4103.63</v>
      </c>
      <c r="F495" s="159">
        <v>4103.63</v>
      </c>
      <c r="G495" s="158">
        <v>4532.53</v>
      </c>
      <c r="H495" s="196">
        <v>4703.63</v>
      </c>
      <c r="I495" s="198">
        <v>600</v>
      </c>
      <c r="K495" s="170" t="str">
        <f t="shared" si="15"/>
        <v>501</v>
      </c>
    </row>
    <row r="496" spans="1:11" x14ac:dyDescent="0.3">
      <c r="A496" s="194">
        <v>501220</v>
      </c>
      <c r="B496" s="195" t="s">
        <v>1139</v>
      </c>
      <c r="C496" s="195" t="s">
        <v>1121</v>
      </c>
      <c r="D496" s="195" t="s">
        <v>686</v>
      </c>
      <c r="E496" s="196">
        <v>3868.6</v>
      </c>
      <c r="F496" s="159">
        <v>3868.6</v>
      </c>
      <c r="G496" s="157">
        <v>4385.7299999999996</v>
      </c>
      <c r="H496" s="196">
        <v>4468.6000000000004</v>
      </c>
      <c r="I496" s="198">
        <v>600</v>
      </c>
      <c r="K496" s="170" t="str">
        <f t="shared" si="15"/>
        <v>501</v>
      </c>
    </row>
    <row r="497" spans="1:11" x14ac:dyDescent="0.3">
      <c r="A497" s="194">
        <v>501230</v>
      </c>
      <c r="B497" s="195" t="s">
        <v>1140</v>
      </c>
      <c r="C497" s="195" t="s">
        <v>1121</v>
      </c>
      <c r="D497" s="195" t="s">
        <v>686</v>
      </c>
      <c r="E497" s="196">
        <v>12.5</v>
      </c>
      <c r="F497" s="159">
        <v>12.5</v>
      </c>
      <c r="G497" s="158">
        <v>12.5</v>
      </c>
      <c r="H497" s="196">
        <v>12.5</v>
      </c>
      <c r="I497" s="198">
        <v>0</v>
      </c>
      <c r="K497" s="170" t="str">
        <f t="shared" si="15"/>
        <v>501</v>
      </c>
    </row>
    <row r="498" spans="1:11" x14ac:dyDescent="0.3">
      <c r="A498" s="194">
        <v>501240</v>
      </c>
      <c r="B498" s="195" t="s">
        <v>1141</v>
      </c>
      <c r="C498" s="195" t="s">
        <v>1121</v>
      </c>
      <c r="D498" s="195" t="s">
        <v>686</v>
      </c>
      <c r="E498" s="196">
        <v>681.57</v>
      </c>
      <c r="F498" s="159">
        <v>681.57</v>
      </c>
      <c r="G498" s="157">
        <v>751.9</v>
      </c>
      <c r="H498" s="196">
        <v>781.57</v>
      </c>
      <c r="I498" s="198">
        <v>100</v>
      </c>
      <c r="K498" s="170" t="str">
        <f t="shared" si="15"/>
        <v>501</v>
      </c>
    </row>
    <row r="499" spans="1:11" x14ac:dyDescent="0.3">
      <c r="A499" s="194">
        <v>501250</v>
      </c>
      <c r="B499" s="195" t="s">
        <v>1142</v>
      </c>
      <c r="C499" s="195" t="s">
        <v>1121</v>
      </c>
      <c r="D499" s="195" t="s">
        <v>686</v>
      </c>
      <c r="E499" s="196">
        <v>282.01</v>
      </c>
      <c r="F499" s="159">
        <v>282.01</v>
      </c>
      <c r="G499" s="158">
        <v>311.16000000000003</v>
      </c>
      <c r="H499" s="196">
        <v>312.01</v>
      </c>
      <c r="I499" s="198">
        <v>30</v>
      </c>
      <c r="K499" s="170" t="str">
        <f t="shared" si="15"/>
        <v>501</v>
      </c>
    </row>
    <row r="500" spans="1:11" x14ac:dyDescent="0.3">
      <c r="A500" s="194">
        <v>501260</v>
      </c>
      <c r="B500" s="195" t="s">
        <v>1143</v>
      </c>
      <c r="C500" s="195" t="s">
        <v>1121</v>
      </c>
      <c r="D500" s="195" t="s">
        <v>686</v>
      </c>
      <c r="E500" s="196">
        <v>10187.950000000001</v>
      </c>
      <c r="F500" s="159">
        <v>10187.950000000001</v>
      </c>
      <c r="G500" s="157">
        <v>11121.7</v>
      </c>
      <c r="H500" s="196">
        <v>11087.95</v>
      </c>
      <c r="I500" s="198">
        <v>900</v>
      </c>
      <c r="K500" s="170" t="str">
        <f t="shared" si="15"/>
        <v>501</v>
      </c>
    </row>
    <row r="501" spans="1:11" x14ac:dyDescent="0.3">
      <c r="A501" s="194">
        <v>501270</v>
      </c>
      <c r="B501" s="195" t="s">
        <v>1144</v>
      </c>
      <c r="C501" s="195" t="s">
        <v>1121</v>
      </c>
      <c r="D501" s="195" t="s">
        <v>686</v>
      </c>
      <c r="E501" s="196">
        <v>37176.629999999997</v>
      </c>
      <c r="F501" s="159">
        <v>37176.629999999997</v>
      </c>
      <c r="G501" s="158">
        <v>40151.46</v>
      </c>
      <c r="H501" s="196">
        <v>51873.4</v>
      </c>
      <c r="I501" s="198">
        <v>14696.77</v>
      </c>
      <c r="K501" s="170" t="str">
        <f t="shared" si="15"/>
        <v>501</v>
      </c>
    </row>
    <row r="502" spans="1:11" x14ac:dyDescent="0.3">
      <c r="A502" s="194">
        <v>501280</v>
      </c>
      <c r="B502" s="195" t="s">
        <v>1145</v>
      </c>
      <c r="C502" s="195" t="s">
        <v>1121</v>
      </c>
      <c r="D502" s="195" t="s">
        <v>686</v>
      </c>
      <c r="E502" s="196">
        <v>0</v>
      </c>
      <c r="F502" s="159">
        <v>0</v>
      </c>
      <c r="G502" s="157">
        <v>0</v>
      </c>
      <c r="H502" s="196">
        <v>0</v>
      </c>
      <c r="I502" s="198">
        <v>0</v>
      </c>
      <c r="K502" s="170" t="str">
        <f t="shared" si="15"/>
        <v>501</v>
      </c>
    </row>
    <row r="503" spans="1:11" x14ac:dyDescent="0.3">
      <c r="A503" s="194">
        <v>501299</v>
      </c>
      <c r="B503" s="195" t="s">
        <v>1146</v>
      </c>
      <c r="C503" s="195" t="s">
        <v>1121</v>
      </c>
      <c r="D503" s="195" t="s">
        <v>690</v>
      </c>
      <c r="E503" s="196">
        <v>56312.89</v>
      </c>
      <c r="F503" s="159">
        <v>56312.89</v>
      </c>
      <c r="G503" s="158">
        <v>61266.98</v>
      </c>
      <c r="H503" s="196">
        <v>73239.66</v>
      </c>
      <c r="I503" s="198">
        <v>16926.77</v>
      </c>
      <c r="K503" s="170" t="str">
        <f t="shared" si="15"/>
        <v>501</v>
      </c>
    </row>
    <row r="504" spans="1:11" x14ac:dyDescent="0.3">
      <c r="A504" s="194">
        <v>501310</v>
      </c>
      <c r="B504" s="195" t="s">
        <v>1147</v>
      </c>
      <c r="C504" s="195" t="s">
        <v>1121</v>
      </c>
      <c r="D504" s="195" t="s">
        <v>686</v>
      </c>
      <c r="E504" s="196">
        <v>2130.83</v>
      </c>
      <c r="F504" s="159">
        <v>2130.83</v>
      </c>
      <c r="G504" s="157">
        <v>2130.83</v>
      </c>
      <c r="H504" s="196">
        <v>2130.83</v>
      </c>
      <c r="I504" s="198">
        <v>0</v>
      </c>
      <c r="K504" s="170" t="str">
        <f t="shared" si="15"/>
        <v>501</v>
      </c>
    </row>
    <row r="505" spans="1:11" x14ac:dyDescent="0.3">
      <c r="A505" s="194">
        <v>501320</v>
      </c>
      <c r="B505" s="195" t="s">
        <v>1148</v>
      </c>
      <c r="C505" s="195" t="s">
        <v>1121</v>
      </c>
      <c r="D505" s="195" t="s">
        <v>686</v>
      </c>
      <c r="E505" s="196">
        <v>205.18</v>
      </c>
      <c r="F505" s="159">
        <v>205.18</v>
      </c>
      <c r="G505" s="158">
        <v>205.18</v>
      </c>
      <c r="H505" s="196">
        <v>319.64</v>
      </c>
      <c r="I505" s="198">
        <v>114.46</v>
      </c>
      <c r="K505" s="170" t="str">
        <f t="shared" si="15"/>
        <v>501</v>
      </c>
    </row>
    <row r="506" spans="1:11" x14ac:dyDescent="0.3">
      <c r="A506" s="194">
        <v>501330</v>
      </c>
      <c r="B506" s="195" t="s">
        <v>1149</v>
      </c>
      <c r="C506" s="195" t="s">
        <v>1121</v>
      </c>
      <c r="D506" s="195" t="s">
        <v>686</v>
      </c>
      <c r="E506" s="196">
        <v>1606.4</v>
      </c>
      <c r="F506" s="159">
        <v>1606.4</v>
      </c>
      <c r="G506" s="157">
        <v>1606.4</v>
      </c>
      <c r="H506" s="196">
        <v>1606.4</v>
      </c>
      <c r="I506" s="198">
        <v>0</v>
      </c>
      <c r="K506" s="170" t="str">
        <f t="shared" si="15"/>
        <v>501</v>
      </c>
    </row>
    <row r="507" spans="1:11" x14ac:dyDescent="0.3">
      <c r="A507" s="194">
        <v>501340</v>
      </c>
      <c r="B507" s="195" t="s">
        <v>1150</v>
      </c>
      <c r="C507" s="195" t="s">
        <v>1121</v>
      </c>
      <c r="D507" s="195" t="s">
        <v>686</v>
      </c>
      <c r="E507" s="196">
        <v>9945.0300000000007</v>
      </c>
      <c r="F507" s="159">
        <v>9945.0300000000007</v>
      </c>
      <c r="G507" s="158">
        <v>10516.61</v>
      </c>
      <c r="H507" s="196">
        <v>13045.03</v>
      </c>
      <c r="I507" s="198">
        <v>3100</v>
      </c>
      <c r="K507" s="170" t="str">
        <f t="shared" si="15"/>
        <v>501</v>
      </c>
    </row>
    <row r="508" spans="1:11" x14ac:dyDescent="0.3">
      <c r="A508" s="194">
        <v>501350</v>
      </c>
      <c r="B508" s="195" t="s">
        <v>1151</v>
      </c>
      <c r="C508" s="195" t="s">
        <v>1121</v>
      </c>
      <c r="D508" s="195" t="s">
        <v>686</v>
      </c>
      <c r="E508" s="196">
        <v>3152.27</v>
      </c>
      <c r="F508" s="159">
        <v>3152.27</v>
      </c>
      <c r="G508" s="157">
        <v>3484.77</v>
      </c>
      <c r="H508" s="196">
        <v>3152.27</v>
      </c>
      <c r="I508" s="198">
        <v>0</v>
      </c>
      <c r="K508" s="170" t="str">
        <f t="shared" si="15"/>
        <v>501</v>
      </c>
    </row>
    <row r="509" spans="1:11" x14ac:dyDescent="0.3">
      <c r="A509" s="194">
        <v>501355</v>
      </c>
      <c r="B509" s="195" t="s">
        <v>1152</v>
      </c>
      <c r="C509" s="195" t="s">
        <v>1121</v>
      </c>
      <c r="D509" s="195" t="s">
        <v>686</v>
      </c>
      <c r="E509" s="196">
        <v>22568.68</v>
      </c>
      <c r="F509" s="159">
        <v>22568.68</v>
      </c>
      <c r="G509" s="158">
        <v>23365.73</v>
      </c>
      <c r="H509" s="196">
        <v>22568.68</v>
      </c>
      <c r="I509" s="198">
        <v>0</v>
      </c>
      <c r="K509" s="170" t="str">
        <f t="shared" si="15"/>
        <v>501</v>
      </c>
    </row>
    <row r="510" spans="1:11" x14ac:dyDescent="0.3">
      <c r="A510" s="194">
        <v>501360</v>
      </c>
      <c r="B510" s="195" t="s">
        <v>1153</v>
      </c>
      <c r="C510" s="195" t="s">
        <v>1121</v>
      </c>
      <c r="D510" s="195" t="s">
        <v>686</v>
      </c>
      <c r="E510" s="196">
        <v>0</v>
      </c>
      <c r="F510" s="159">
        <v>0</v>
      </c>
      <c r="G510" s="157">
        <v>0</v>
      </c>
      <c r="H510" s="196">
        <v>0</v>
      </c>
      <c r="I510" s="198">
        <v>0</v>
      </c>
      <c r="K510" s="170" t="str">
        <f t="shared" si="15"/>
        <v>501</v>
      </c>
    </row>
    <row r="511" spans="1:11" x14ac:dyDescent="0.3">
      <c r="A511" s="194">
        <v>501370</v>
      </c>
      <c r="B511" s="195" t="s">
        <v>1154</v>
      </c>
      <c r="C511" s="195" t="s">
        <v>1121</v>
      </c>
      <c r="D511" s="195" t="s">
        <v>686</v>
      </c>
      <c r="E511" s="196">
        <v>3072.52</v>
      </c>
      <c r="F511" s="159">
        <v>3072.52</v>
      </c>
      <c r="G511" s="158">
        <v>3820.46</v>
      </c>
      <c r="H511" s="196">
        <v>3072.52</v>
      </c>
      <c r="I511" s="198">
        <v>0</v>
      </c>
      <c r="K511" s="170" t="str">
        <f t="shared" si="15"/>
        <v>501</v>
      </c>
    </row>
    <row r="512" spans="1:11" x14ac:dyDescent="0.3">
      <c r="A512" s="194">
        <v>501380</v>
      </c>
      <c r="B512" s="195" t="s">
        <v>1155</v>
      </c>
      <c r="C512" s="195" t="s">
        <v>1121</v>
      </c>
      <c r="D512" s="195" t="s">
        <v>686</v>
      </c>
      <c r="E512" s="196">
        <v>0</v>
      </c>
      <c r="F512" s="159">
        <v>0</v>
      </c>
      <c r="G512" s="157">
        <v>0</v>
      </c>
      <c r="H512" s="196">
        <v>0</v>
      </c>
      <c r="I512" s="198">
        <v>0</v>
      </c>
      <c r="K512" s="170" t="str">
        <f t="shared" si="15"/>
        <v>501</v>
      </c>
    </row>
    <row r="513" spans="1:11" x14ac:dyDescent="0.3">
      <c r="A513" s="194">
        <v>501400</v>
      </c>
      <c r="B513" s="195" t="s">
        <v>1156</v>
      </c>
      <c r="C513" s="195" t="s">
        <v>1121</v>
      </c>
      <c r="D513" s="195" t="s">
        <v>686</v>
      </c>
      <c r="E513" s="196">
        <v>18558.16</v>
      </c>
      <c r="F513" s="159">
        <v>18558.16</v>
      </c>
      <c r="G513" s="158">
        <v>18949.2</v>
      </c>
      <c r="H513" s="196">
        <v>18638.060000000001</v>
      </c>
      <c r="I513" s="198">
        <v>79.900000000000006</v>
      </c>
      <c r="K513" s="170" t="str">
        <f t="shared" si="15"/>
        <v>501</v>
      </c>
    </row>
    <row r="514" spans="1:11" x14ac:dyDescent="0.3">
      <c r="A514" s="194">
        <v>501410</v>
      </c>
      <c r="B514" s="195" t="s">
        <v>1157</v>
      </c>
      <c r="C514" s="195" t="s">
        <v>1121</v>
      </c>
      <c r="D514" s="195" t="s">
        <v>686</v>
      </c>
      <c r="E514" s="196">
        <v>0</v>
      </c>
      <c r="F514" s="159">
        <v>0</v>
      </c>
      <c r="G514" s="157">
        <v>0</v>
      </c>
      <c r="H514" s="196">
        <v>0</v>
      </c>
      <c r="I514" s="198">
        <v>0</v>
      </c>
      <c r="K514" s="170" t="str">
        <f t="shared" si="15"/>
        <v>501</v>
      </c>
    </row>
    <row r="515" spans="1:11" x14ac:dyDescent="0.3">
      <c r="A515" s="194">
        <v>501420</v>
      </c>
      <c r="B515" s="195" t="s">
        <v>1158</v>
      </c>
      <c r="C515" s="195" t="s">
        <v>1121</v>
      </c>
      <c r="D515" s="195" t="s">
        <v>686</v>
      </c>
      <c r="E515" s="196">
        <v>159.96</v>
      </c>
      <c r="F515" s="159">
        <v>159.96</v>
      </c>
      <c r="G515" s="158">
        <v>172.2</v>
      </c>
      <c r="H515" s="196">
        <v>159.96</v>
      </c>
      <c r="I515" s="198">
        <v>0</v>
      </c>
      <c r="K515" s="170" t="str">
        <f t="shared" ref="K515:K578" si="17">IF(A515&lt;100000,CONCATENATE(0,LEFT(A515,2)),LEFT(A515,3))</f>
        <v>501</v>
      </c>
    </row>
    <row r="516" spans="1:11" x14ac:dyDescent="0.3">
      <c r="A516" s="194">
        <v>501440</v>
      </c>
      <c r="B516" s="195" t="s">
        <v>1159</v>
      </c>
      <c r="C516" s="195" t="s">
        <v>1121</v>
      </c>
      <c r="D516" s="195" t="s">
        <v>686</v>
      </c>
      <c r="E516" s="196">
        <v>0</v>
      </c>
      <c r="F516" s="159">
        <v>0</v>
      </c>
      <c r="G516" s="157">
        <v>0</v>
      </c>
      <c r="H516" s="196">
        <v>0</v>
      </c>
      <c r="I516" s="198">
        <v>0</v>
      </c>
      <c r="K516" s="170" t="str">
        <f t="shared" si="17"/>
        <v>501</v>
      </c>
    </row>
    <row r="517" spans="1:11" x14ac:dyDescent="0.3">
      <c r="A517" s="194">
        <v>501500</v>
      </c>
      <c r="B517" s="195" t="s">
        <v>1160</v>
      </c>
      <c r="C517" s="195" t="s">
        <v>1121</v>
      </c>
      <c r="D517" s="195" t="s">
        <v>686</v>
      </c>
      <c r="E517" s="196">
        <v>8424.0400000000009</v>
      </c>
      <c r="F517" s="159">
        <v>8424.0400000000009</v>
      </c>
      <c r="G517" s="158">
        <v>8854.35</v>
      </c>
      <c r="H517" s="196">
        <v>8424.0400000000009</v>
      </c>
      <c r="I517" s="198">
        <v>0</v>
      </c>
      <c r="K517" s="170" t="str">
        <f t="shared" si="17"/>
        <v>501</v>
      </c>
    </row>
    <row r="518" spans="1:11" x14ac:dyDescent="0.3">
      <c r="A518" s="194">
        <v>501520</v>
      </c>
      <c r="B518" s="195" t="s">
        <v>1161</v>
      </c>
      <c r="C518" s="195" t="s">
        <v>1121</v>
      </c>
      <c r="D518" s="195" t="s">
        <v>686</v>
      </c>
      <c r="E518" s="196">
        <v>24161.45</v>
      </c>
      <c r="F518" s="159">
        <v>24161.45</v>
      </c>
      <c r="G518" s="157">
        <v>26491.9</v>
      </c>
      <c r="H518" s="196">
        <v>24161.45</v>
      </c>
      <c r="I518" s="198">
        <v>0</v>
      </c>
      <c r="K518" s="170" t="str">
        <f t="shared" si="17"/>
        <v>501</v>
      </c>
    </row>
    <row r="519" spans="1:11" x14ac:dyDescent="0.3">
      <c r="A519" s="194">
        <v>501521</v>
      </c>
      <c r="B519" s="195" t="s">
        <v>1162</v>
      </c>
      <c r="C519" s="195" t="s">
        <v>1121</v>
      </c>
      <c r="D519" s="195" t="s">
        <v>686</v>
      </c>
      <c r="E519" s="196">
        <v>432.73</v>
      </c>
      <c r="F519" s="159">
        <v>432.73</v>
      </c>
      <c r="G519" s="158">
        <v>432.73</v>
      </c>
      <c r="H519" s="196">
        <v>865.46</v>
      </c>
      <c r="I519" s="198">
        <v>432.73</v>
      </c>
      <c r="K519" s="170" t="str">
        <f t="shared" si="17"/>
        <v>501</v>
      </c>
    </row>
    <row r="520" spans="1:11" x14ac:dyDescent="0.3">
      <c r="A520" s="194">
        <v>501530</v>
      </c>
      <c r="B520" s="195" t="s">
        <v>1163</v>
      </c>
      <c r="C520" s="195" t="s">
        <v>1121</v>
      </c>
      <c r="D520" s="195" t="s">
        <v>686</v>
      </c>
      <c r="E520" s="196">
        <v>4956.9799999999996</v>
      </c>
      <c r="F520" s="159">
        <v>4956.9799999999996</v>
      </c>
      <c r="G520" s="157">
        <v>4956.9799999999996</v>
      </c>
      <c r="H520" s="196">
        <v>4967.5200000000004</v>
      </c>
      <c r="I520" s="198">
        <v>10.54</v>
      </c>
      <c r="K520" s="170" t="str">
        <f t="shared" si="17"/>
        <v>501</v>
      </c>
    </row>
    <row r="521" spans="1:11" x14ac:dyDescent="0.3">
      <c r="A521" s="194">
        <v>501540</v>
      </c>
      <c r="B521" s="195" t="s">
        <v>1164</v>
      </c>
      <c r="C521" s="195" t="s">
        <v>1121</v>
      </c>
      <c r="D521" s="195" t="s">
        <v>686</v>
      </c>
      <c r="E521" s="196">
        <v>814.73</v>
      </c>
      <c r="F521" s="159">
        <v>814.73</v>
      </c>
      <c r="G521" s="158">
        <v>1002.02</v>
      </c>
      <c r="H521" s="196">
        <v>1493.69</v>
      </c>
      <c r="I521" s="198">
        <v>678.96</v>
      </c>
      <c r="K521" s="170" t="str">
        <f t="shared" si="17"/>
        <v>501</v>
      </c>
    </row>
    <row r="522" spans="1:11" x14ac:dyDescent="0.3">
      <c r="A522" s="194">
        <v>501600</v>
      </c>
      <c r="B522" s="195" t="s">
        <v>1165</v>
      </c>
      <c r="C522" s="195" t="s">
        <v>1121</v>
      </c>
      <c r="D522" s="195" t="s">
        <v>687</v>
      </c>
      <c r="E522" s="196">
        <v>0</v>
      </c>
      <c r="F522" s="159">
        <v>0</v>
      </c>
      <c r="G522" s="157">
        <v>0</v>
      </c>
      <c r="H522" s="196">
        <v>0</v>
      </c>
      <c r="I522" s="198">
        <v>0</v>
      </c>
      <c r="K522" s="170" t="str">
        <f t="shared" si="17"/>
        <v>501</v>
      </c>
    </row>
    <row r="523" spans="1:11" x14ac:dyDescent="0.3">
      <c r="A523" s="194">
        <v>501699</v>
      </c>
      <c r="B523" s="195" t="s">
        <v>1166</v>
      </c>
      <c r="C523" s="195" t="s">
        <v>1121</v>
      </c>
      <c r="D523" s="195" t="s">
        <v>690</v>
      </c>
      <c r="E523" s="196">
        <v>0</v>
      </c>
      <c r="F523" s="159">
        <v>0</v>
      </c>
      <c r="G523" s="158">
        <v>0</v>
      </c>
      <c r="H523" s="196">
        <v>0</v>
      </c>
      <c r="I523" s="198">
        <v>0</v>
      </c>
      <c r="K523" s="170" t="str">
        <f t="shared" si="17"/>
        <v>501</v>
      </c>
    </row>
    <row r="524" spans="1:11" x14ac:dyDescent="0.3">
      <c r="A524" s="194">
        <v>501700</v>
      </c>
      <c r="B524" s="195" t="s">
        <v>1167</v>
      </c>
      <c r="C524" s="195" t="s">
        <v>1121</v>
      </c>
      <c r="D524" s="195" t="s">
        <v>687</v>
      </c>
      <c r="E524" s="196">
        <v>0</v>
      </c>
      <c r="F524" s="159">
        <v>0</v>
      </c>
      <c r="G524" s="157">
        <v>0</v>
      </c>
      <c r="H524" s="196">
        <v>0</v>
      </c>
      <c r="I524" s="198">
        <v>0</v>
      </c>
      <c r="K524" s="170" t="str">
        <f t="shared" si="17"/>
        <v>501</v>
      </c>
    </row>
    <row r="525" spans="1:11" x14ac:dyDescent="0.3">
      <c r="A525" s="194">
        <v>501729</v>
      </c>
      <c r="B525" s="195" t="s">
        <v>1168</v>
      </c>
      <c r="C525" s="195" t="s">
        <v>1121</v>
      </c>
      <c r="D525" s="195" t="s">
        <v>690</v>
      </c>
      <c r="E525" s="196">
        <v>0</v>
      </c>
      <c r="F525" s="159">
        <v>0</v>
      </c>
      <c r="G525" s="158">
        <v>0</v>
      </c>
      <c r="H525" s="196">
        <v>0</v>
      </c>
      <c r="I525" s="198">
        <v>0</v>
      </c>
      <c r="K525" s="170" t="str">
        <f t="shared" si="17"/>
        <v>501</v>
      </c>
    </row>
    <row r="526" spans="1:11" x14ac:dyDescent="0.3">
      <c r="A526" s="194">
        <v>501730</v>
      </c>
      <c r="B526" s="195" t="s">
        <v>1169</v>
      </c>
      <c r="C526" s="195" t="s">
        <v>1121</v>
      </c>
      <c r="D526" s="195" t="s">
        <v>686</v>
      </c>
      <c r="E526" s="196">
        <v>0</v>
      </c>
      <c r="F526" s="159">
        <v>0</v>
      </c>
      <c r="G526" s="157">
        <v>0</v>
      </c>
      <c r="H526" s="196">
        <v>0</v>
      </c>
      <c r="I526" s="198">
        <v>0</v>
      </c>
      <c r="K526" s="170" t="str">
        <f t="shared" si="17"/>
        <v>501</v>
      </c>
    </row>
    <row r="527" spans="1:11" x14ac:dyDescent="0.3">
      <c r="A527" s="194">
        <v>501800</v>
      </c>
      <c r="B527" s="195" t="s">
        <v>1170</v>
      </c>
      <c r="C527" s="195" t="s">
        <v>1121</v>
      </c>
      <c r="D527" s="195" t="s">
        <v>686</v>
      </c>
      <c r="E527" s="196">
        <v>0</v>
      </c>
      <c r="F527" s="159">
        <v>0</v>
      </c>
      <c r="G527" s="158">
        <v>0</v>
      </c>
      <c r="H527" s="196">
        <v>0</v>
      </c>
      <c r="I527" s="198">
        <v>0</v>
      </c>
      <c r="K527" s="170" t="str">
        <f t="shared" si="17"/>
        <v>501</v>
      </c>
    </row>
    <row r="528" spans="1:11" x14ac:dyDescent="0.3">
      <c r="A528" s="194">
        <v>501900</v>
      </c>
      <c r="B528" s="195" t="s">
        <v>1171</v>
      </c>
      <c r="C528" s="195" t="s">
        <v>1121</v>
      </c>
      <c r="D528" s="195" t="s">
        <v>686</v>
      </c>
      <c r="E528" s="196">
        <v>2237.37</v>
      </c>
      <c r="F528" s="159">
        <v>2237.37</v>
      </c>
      <c r="G528" s="157">
        <v>2167.96</v>
      </c>
      <c r="H528" s="196">
        <v>4420.3900000000003</v>
      </c>
      <c r="I528" s="198">
        <v>2183.02</v>
      </c>
      <c r="K528" s="170" t="str">
        <f t="shared" si="17"/>
        <v>501</v>
      </c>
    </row>
    <row r="529" spans="1:11" x14ac:dyDescent="0.3">
      <c r="A529" s="194">
        <v>501999</v>
      </c>
      <c r="B529" s="195" t="s">
        <v>1172</v>
      </c>
      <c r="C529" s="195" t="s">
        <v>1121</v>
      </c>
      <c r="D529" s="195" t="s">
        <v>690</v>
      </c>
      <c r="E529" s="196">
        <v>486349.99</v>
      </c>
      <c r="F529" s="159">
        <v>486349.99</v>
      </c>
      <c r="G529" s="158">
        <v>513994.66</v>
      </c>
      <c r="H529" s="196">
        <v>637608.34</v>
      </c>
      <c r="I529" s="198">
        <v>151258.35</v>
      </c>
      <c r="K529" s="170" t="str">
        <f t="shared" si="17"/>
        <v>501</v>
      </c>
    </row>
    <row r="530" spans="1:11" x14ac:dyDescent="0.3">
      <c r="A530" s="194">
        <v>502000</v>
      </c>
      <c r="B530" s="195" t="s">
        <v>1173</v>
      </c>
      <c r="C530" s="195" t="s">
        <v>1121</v>
      </c>
      <c r="D530" s="195" t="s">
        <v>687</v>
      </c>
      <c r="E530" s="196">
        <v>0</v>
      </c>
      <c r="F530" s="159">
        <v>0</v>
      </c>
      <c r="G530" s="157">
        <v>0</v>
      </c>
      <c r="H530" s="196">
        <v>0</v>
      </c>
      <c r="I530" s="198">
        <v>0</v>
      </c>
      <c r="K530" s="170" t="str">
        <f t="shared" si="17"/>
        <v>502</v>
      </c>
    </row>
    <row r="531" spans="1:11" x14ac:dyDescent="0.3">
      <c r="A531" s="194">
        <v>502100</v>
      </c>
      <c r="B531" s="195" t="s">
        <v>1174</v>
      </c>
      <c r="C531" s="195" t="s">
        <v>1121</v>
      </c>
      <c r="D531" s="195" t="s">
        <v>686</v>
      </c>
      <c r="E531" s="196">
        <v>71698.27</v>
      </c>
      <c r="F531" s="159">
        <v>71698.27</v>
      </c>
      <c r="G531" s="158">
        <v>81869.72</v>
      </c>
      <c r="H531" s="196">
        <v>150001.09</v>
      </c>
      <c r="I531" s="198">
        <v>78302.820000000007</v>
      </c>
      <c r="K531" s="170" t="str">
        <f t="shared" si="17"/>
        <v>502</v>
      </c>
    </row>
    <row r="532" spans="1:11" x14ac:dyDescent="0.3">
      <c r="A532" s="194">
        <v>502200</v>
      </c>
      <c r="B532" s="195" t="s">
        <v>1175</v>
      </c>
      <c r="C532" s="195" t="s">
        <v>1121</v>
      </c>
      <c r="D532" s="195" t="s">
        <v>686</v>
      </c>
      <c r="E532" s="196">
        <v>31037.4</v>
      </c>
      <c r="F532" s="159">
        <v>31037.4</v>
      </c>
      <c r="G532" s="157">
        <v>36956.49</v>
      </c>
      <c r="H532" s="196">
        <v>63915.62</v>
      </c>
      <c r="I532" s="198">
        <v>32878.22</v>
      </c>
      <c r="K532" s="170" t="str">
        <f t="shared" si="17"/>
        <v>502</v>
      </c>
    </row>
    <row r="533" spans="1:11" x14ac:dyDescent="0.3">
      <c r="A533" s="194">
        <v>502999</v>
      </c>
      <c r="B533" s="195" t="s">
        <v>1176</v>
      </c>
      <c r="C533" s="195" t="s">
        <v>1121</v>
      </c>
      <c r="D533" s="195" t="s">
        <v>690</v>
      </c>
      <c r="E533" s="196">
        <v>102735.67</v>
      </c>
      <c r="F533" s="159">
        <v>102735.67</v>
      </c>
      <c r="G533" s="158">
        <v>118826.21</v>
      </c>
      <c r="H533" s="196">
        <v>213916.71</v>
      </c>
      <c r="I533" s="198">
        <v>111181.04</v>
      </c>
      <c r="K533" s="170" t="str">
        <f t="shared" si="17"/>
        <v>502</v>
      </c>
    </row>
    <row r="534" spans="1:11" x14ac:dyDescent="0.3">
      <c r="A534" s="194">
        <v>503000</v>
      </c>
      <c r="B534" s="195" t="s">
        <v>1177</v>
      </c>
      <c r="C534" s="195" t="s">
        <v>1121</v>
      </c>
      <c r="D534" s="195" t="s">
        <v>687</v>
      </c>
      <c r="E534" s="196">
        <v>0</v>
      </c>
      <c r="F534" s="159">
        <v>0</v>
      </c>
      <c r="G534" s="157">
        <v>0</v>
      </c>
      <c r="H534" s="196">
        <v>0</v>
      </c>
      <c r="I534" s="198">
        <v>0</v>
      </c>
      <c r="K534" s="170" t="str">
        <f t="shared" si="17"/>
        <v>503</v>
      </c>
    </row>
    <row r="535" spans="1:11" x14ac:dyDescent="0.3">
      <c r="A535" s="194">
        <v>503100</v>
      </c>
      <c r="B535" s="195" t="s">
        <v>1178</v>
      </c>
      <c r="C535" s="195" t="s">
        <v>1121</v>
      </c>
      <c r="D535" s="195" t="s">
        <v>686</v>
      </c>
      <c r="E535" s="196">
        <v>11344.87</v>
      </c>
      <c r="F535" s="159">
        <v>11344.87</v>
      </c>
      <c r="G535" s="158">
        <v>12237.09</v>
      </c>
      <c r="H535" s="196">
        <v>14584.87</v>
      </c>
      <c r="I535" s="198">
        <v>3240</v>
      </c>
      <c r="K535" s="170" t="str">
        <f t="shared" si="17"/>
        <v>503</v>
      </c>
    </row>
    <row r="536" spans="1:11" x14ac:dyDescent="0.3">
      <c r="A536" s="194">
        <v>503200</v>
      </c>
      <c r="B536" s="195" t="s">
        <v>1179</v>
      </c>
      <c r="C536" s="195" t="s">
        <v>1121</v>
      </c>
      <c r="D536" s="195" t="s">
        <v>686</v>
      </c>
      <c r="E536" s="196">
        <v>1267.27</v>
      </c>
      <c r="F536" s="159">
        <v>1267.27</v>
      </c>
      <c r="G536" s="157">
        <v>1387.14</v>
      </c>
      <c r="H536" s="196">
        <v>1867.27</v>
      </c>
      <c r="I536" s="198">
        <v>600</v>
      </c>
      <c r="K536" s="170" t="str">
        <f t="shared" si="17"/>
        <v>503</v>
      </c>
    </row>
    <row r="537" spans="1:11" x14ac:dyDescent="0.3">
      <c r="A537" s="194">
        <v>503999</v>
      </c>
      <c r="B537" s="195" t="s">
        <v>1180</v>
      </c>
      <c r="C537" s="195" t="s">
        <v>1121</v>
      </c>
      <c r="D537" s="195" t="s">
        <v>690</v>
      </c>
      <c r="E537" s="196">
        <v>12612.14</v>
      </c>
      <c r="F537" s="159">
        <v>12612.14</v>
      </c>
      <c r="G537" s="158">
        <v>13624.23</v>
      </c>
      <c r="H537" s="196">
        <v>16452.14</v>
      </c>
      <c r="I537" s="198">
        <v>3840</v>
      </c>
      <c r="K537" s="170" t="str">
        <f t="shared" si="17"/>
        <v>503</v>
      </c>
    </row>
    <row r="538" spans="1:11" x14ac:dyDescent="0.3">
      <c r="A538" s="194">
        <v>504000</v>
      </c>
      <c r="B538" s="195" t="s">
        <v>1181</v>
      </c>
      <c r="C538" s="195" t="s">
        <v>1121</v>
      </c>
      <c r="D538" s="195" t="s">
        <v>687</v>
      </c>
      <c r="E538" s="196">
        <v>0</v>
      </c>
      <c r="F538" s="159">
        <v>0</v>
      </c>
      <c r="G538" s="157">
        <v>0</v>
      </c>
      <c r="H538" s="196">
        <v>0</v>
      </c>
      <c r="I538" s="198">
        <v>0</v>
      </c>
      <c r="K538" s="170" t="str">
        <f t="shared" si="17"/>
        <v>504</v>
      </c>
    </row>
    <row r="539" spans="1:11" x14ac:dyDescent="0.3">
      <c r="A539" s="194">
        <v>504100</v>
      </c>
      <c r="B539" s="195" t="s">
        <v>1182</v>
      </c>
      <c r="C539" s="195" t="s">
        <v>1121</v>
      </c>
      <c r="D539" s="195" t="s">
        <v>686</v>
      </c>
      <c r="E539" s="196">
        <v>1893921.69</v>
      </c>
      <c r="F539" s="159">
        <v>1893921.69</v>
      </c>
      <c r="G539" s="158">
        <v>2098342.86</v>
      </c>
      <c r="H539" s="196">
        <v>2058141.33</v>
      </c>
      <c r="I539" s="198">
        <v>164219.64000000001</v>
      </c>
      <c r="K539" s="170" t="str">
        <f t="shared" si="17"/>
        <v>504</v>
      </c>
    </row>
    <row r="540" spans="1:11" x14ac:dyDescent="0.3">
      <c r="A540" s="194">
        <v>504101</v>
      </c>
      <c r="B540" s="195" t="s">
        <v>1183</v>
      </c>
      <c r="C540" s="195" t="s">
        <v>1121</v>
      </c>
      <c r="D540" s="195" t="s">
        <v>686</v>
      </c>
      <c r="E540" s="196">
        <v>-8141.18</v>
      </c>
      <c r="F540" s="159">
        <v>-8141.18</v>
      </c>
      <c r="G540" s="157">
        <v>-8141.18</v>
      </c>
      <c r="H540" s="196">
        <v>-8141.18</v>
      </c>
      <c r="I540" s="198">
        <v>0</v>
      </c>
      <c r="K540" s="170" t="str">
        <f t="shared" si="17"/>
        <v>504</v>
      </c>
    </row>
    <row r="541" spans="1:11" x14ac:dyDescent="0.3">
      <c r="A541" s="194">
        <v>504110</v>
      </c>
      <c r="B541" s="195" t="s">
        <v>1184</v>
      </c>
      <c r="C541" s="195" t="s">
        <v>1121</v>
      </c>
      <c r="D541" s="195" t="s">
        <v>687</v>
      </c>
      <c r="E541" s="196">
        <v>0</v>
      </c>
      <c r="F541" s="159">
        <v>0</v>
      </c>
      <c r="G541" s="158">
        <v>0</v>
      </c>
      <c r="H541" s="196">
        <v>0</v>
      </c>
      <c r="I541" s="198">
        <v>0</v>
      </c>
      <c r="K541" s="170" t="str">
        <f t="shared" si="17"/>
        <v>504</v>
      </c>
    </row>
    <row r="542" spans="1:11" x14ac:dyDescent="0.3">
      <c r="A542" s="194">
        <v>504150</v>
      </c>
      <c r="B542" s="195" t="s">
        <v>1185</v>
      </c>
      <c r="C542" s="195" t="s">
        <v>1121</v>
      </c>
      <c r="D542" s="195" t="s">
        <v>686</v>
      </c>
      <c r="E542" s="196">
        <v>20342.25</v>
      </c>
      <c r="F542" s="159">
        <v>20342.25</v>
      </c>
      <c r="G542" s="157">
        <v>25943.51</v>
      </c>
      <c r="H542" s="196">
        <v>17883.75</v>
      </c>
      <c r="I542" s="198">
        <v>-2458.5</v>
      </c>
      <c r="K542" s="170" t="str">
        <f t="shared" si="17"/>
        <v>504</v>
      </c>
    </row>
    <row r="543" spans="1:11" x14ac:dyDescent="0.3">
      <c r="A543" s="194">
        <v>504190</v>
      </c>
      <c r="B543" s="195" t="s">
        <v>1186</v>
      </c>
      <c r="C543" s="195" t="s">
        <v>1121</v>
      </c>
      <c r="D543" s="195" t="s">
        <v>686</v>
      </c>
      <c r="E543" s="196">
        <v>-614444.5</v>
      </c>
      <c r="F543" s="159">
        <v>-614444.5</v>
      </c>
      <c r="G543" s="158">
        <v>-641685.5</v>
      </c>
      <c r="H543" s="196">
        <v>766966.5</v>
      </c>
      <c r="I543" s="198">
        <v>1381411</v>
      </c>
      <c r="K543" s="170" t="str">
        <f t="shared" si="17"/>
        <v>504</v>
      </c>
    </row>
    <row r="544" spans="1:11" x14ac:dyDescent="0.3">
      <c r="A544" s="194">
        <v>504199</v>
      </c>
      <c r="B544" s="195" t="s">
        <v>1187</v>
      </c>
      <c r="C544" s="195" t="s">
        <v>1121</v>
      </c>
      <c r="D544" s="195" t="s">
        <v>690</v>
      </c>
      <c r="E544" s="196">
        <v>-594102.25</v>
      </c>
      <c r="F544" s="159">
        <v>-594102.25</v>
      </c>
      <c r="G544" s="157">
        <v>-615741.99</v>
      </c>
      <c r="H544" s="196">
        <v>784850.25</v>
      </c>
      <c r="I544" s="198">
        <v>1378952.5</v>
      </c>
      <c r="K544" s="170" t="str">
        <f t="shared" si="17"/>
        <v>504</v>
      </c>
    </row>
    <row r="545" spans="1:11" x14ac:dyDescent="0.3">
      <c r="A545" s="194">
        <v>504200</v>
      </c>
      <c r="B545" s="195" t="s">
        <v>1188</v>
      </c>
      <c r="C545" s="195" t="s">
        <v>1121</v>
      </c>
      <c r="D545" s="195" t="s">
        <v>686</v>
      </c>
      <c r="E545" s="196">
        <v>2399939.2200000002</v>
      </c>
      <c r="F545" s="159">
        <v>2399939.2200000002</v>
      </c>
      <c r="G545" s="158">
        <v>2629553.14</v>
      </c>
      <c r="H545" s="196">
        <v>3897209.95</v>
      </c>
      <c r="I545" s="198">
        <v>1497270.73</v>
      </c>
      <c r="K545" s="170" t="str">
        <f t="shared" si="17"/>
        <v>504</v>
      </c>
    </row>
    <row r="546" spans="1:11" x14ac:dyDescent="0.3">
      <c r="A546" s="194">
        <v>504299</v>
      </c>
      <c r="B546" s="195" t="s">
        <v>1189</v>
      </c>
      <c r="C546" s="195" t="s">
        <v>1121</v>
      </c>
      <c r="D546" s="195" t="s">
        <v>690</v>
      </c>
      <c r="E546" s="196">
        <v>2399939.2200000002</v>
      </c>
      <c r="F546" s="159">
        <v>2399939.2200000002</v>
      </c>
      <c r="G546" s="157">
        <v>2629553.14</v>
      </c>
      <c r="H546" s="196">
        <v>3897209.95</v>
      </c>
      <c r="I546" s="198">
        <v>1497270.73</v>
      </c>
      <c r="K546" s="170" t="str">
        <f t="shared" si="17"/>
        <v>504</v>
      </c>
    </row>
    <row r="547" spans="1:11" x14ac:dyDescent="0.3">
      <c r="A547" s="194">
        <v>504310</v>
      </c>
      <c r="B547" s="195" t="s">
        <v>1190</v>
      </c>
      <c r="C547" s="195" t="s">
        <v>1121</v>
      </c>
      <c r="D547" s="195" t="s">
        <v>686</v>
      </c>
      <c r="E547" s="196">
        <v>151788.07</v>
      </c>
      <c r="F547" s="159">
        <v>151788.07</v>
      </c>
      <c r="G547" s="158">
        <v>160341.04</v>
      </c>
      <c r="H547" s="196">
        <v>171029.08</v>
      </c>
      <c r="I547" s="198">
        <v>19241.009999999998</v>
      </c>
      <c r="K547" s="170" t="str">
        <f t="shared" si="17"/>
        <v>504</v>
      </c>
    </row>
    <row r="548" spans="1:11" x14ac:dyDescent="0.3">
      <c r="A548" s="194">
        <v>504320</v>
      </c>
      <c r="B548" s="195" t="s">
        <v>1191</v>
      </c>
      <c r="C548" s="195" t="s">
        <v>1121</v>
      </c>
      <c r="D548" s="195" t="s">
        <v>686</v>
      </c>
      <c r="E548" s="196">
        <v>576444.77</v>
      </c>
      <c r="F548" s="159">
        <v>576444.77</v>
      </c>
      <c r="G548" s="157">
        <v>639723.29</v>
      </c>
      <c r="H548" s="196">
        <v>600746.53</v>
      </c>
      <c r="I548" s="198">
        <v>24301.759999999998</v>
      </c>
      <c r="K548" s="170" t="str">
        <f t="shared" si="17"/>
        <v>504</v>
      </c>
    </row>
    <row r="549" spans="1:11" x14ac:dyDescent="0.3">
      <c r="A549" s="194">
        <v>504500</v>
      </c>
      <c r="B549" s="195" t="s">
        <v>1192</v>
      </c>
      <c r="C549" s="195" t="s">
        <v>1121</v>
      </c>
      <c r="D549" s="195" t="s">
        <v>686</v>
      </c>
      <c r="E549" s="196">
        <v>22478880.059999999</v>
      </c>
      <c r="F549" s="159">
        <v>22478880.059999999</v>
      </c>
      <c r="G549" s="158">
        <v>24711494.149999999</v>
      </c>
      <c r="H549" s="196">
        <v>22892234.109999999</v>
      </c>
      <c r="I549" s="198">
        <v>413354.05</v>
      </c>
      <c r="K549" s="170" t="str">
        <f t="shared" si="17"/>
        <v>504</v>
      </c>
    </row>
    <row r="550" spans="1:11" x14ac:dyDescent="0.3">
      <c r="A550" s="194">
        <v>504501</v>
      </c>
      <c r="B550" s="195" t="s">
        <v>1193</v>
      </c>
      <c r="C550" s="195" t="s">
        <v>1121</v>
      </c>
      <c r="D550" s="195" t="s">
        <v>686</v>
      </c>
      <c r="E550" s="196">
        <v>29359.71</v>
      </c>
      <c r="F550" s="159">
        <v>29359.71</v>
      </c>
      <c r="G550" s="157">
        <v>29359.71</v>
      </c>
      <c r="H550" s="196">
        <v>30668.400000000001</v>
      </c>
      <c r="I550" s="198">
        <v>1308.69</v>
      </c>
      <c r="K550" s="170" t="str">
        <f t="shared" si="17"/>
        <v>504</v>
      </c>
    </row>
    <row r="551" spans="1:11" x14ac:dyDescent="0.3">
      <c r="A551" s="194">
        <v>504502</v>
      </c>
      <c r="B551" s="195" t="s">
        <v>1194</v>
      </c>
      <c r="C551" s="195" t="s">
        <v>1121</v>
      </c>
      <c r="D551" s="195" t="s">
        <v>686</v>
      </c>
      <c r="E551" s="196">
        <v>71983.460000000006</v>
      </c>
      <c r="F551" s="159">
        <v>71983.460000000006</v>
      </c>
      <c r="G551" s="158">
        <v>95335.27</v>
      </c>
      <c r="H551" s="196">
        <v>89094.7</v>
      </c>
      <c r="I551" s="198">
        <v>17111.240000000002</v>
      </c>
      <c r="K551" s="170" t="str">
        <f t="shared" si="17"/>
        <v>504</v>
      </c>
    </row>
    <row r="552" spans="1:11" x14ac:dyDescent="0.3">
      <c r="A552" s="194">
        <v>504503</v>
      </c>
      <c r="B552" s="195" t="s">
        <v>1195</v>
      </c>
      <c r="C552" s="195" t="s">
        <v>1121</v>
      </c>
      <c r="D552" s="195" t="s">
        <v>686</v>
      </c>
      <c r="E552" s="196">
        <v>24499.08</v>
      </c>
      <c r="F552" s="159">
        <v>24499.08</v>
      </c>
      <c r="G552" s="157">
        <v>24499.08</v>
      </c>
      <c r="H552" s="196">
        <v>42629.08</v>
      </c>
      <c r="I552" s="198">
        <v>18130</v>
      </c>
      <c r="K552" s="170" t="str">
        <f t="shared" si="17"/>
        <v>504</v>
      </c>
    </row>
    <row r="553" spans="1:11" x14ac:dyDescent="0.3">
      <c r="A553" s="194">
        <v>504504</v>
      </c>
      <c r="B553" s="195" t="s">
        <v>1196</v>
      </c>
      <c r="C553" s="195" t="s">
        <v>1121</v>
      </c>
      <c r="D553" s="195" t="s">
        <v>686</v>
      </c>
      <c r="E553" s="196">
        <v>0</v>
      </c>
      <c r="F553" s="159">
        <v>0</v>
      </c>
      <c r="G553" s="158">
        <v>0</v>
      </c>
      <c r="H553" s="196">
        <v>0</v>
      </c>
      <c r="I553" s="198">
        <v>0</v>
      </c>
      <c r="K553" s="170" t="str">
        <f t="shared" si="17"/>
        <v>504</v>
      </c>
    </row>
    <row r="554" spans="1:11" x14ac:dyDescent="0.3">
      <c r="A554" s="194">
        <v>504505</v>
      </c>
      <c r="B554" s="195" t="s">
        <v>1197</v>
      </c>
      <c r="C554" s="195" t="s">
        <v>1121</v>
      </c>
      <c r="D554" s="195" t="s">
        <v>686</v>
      </c>
      <c r="E554" s="196">
        <v>0</v>
      </c>
      <c r="F554" s="159">
        <v>0</v>
      </c>
      <c r="G554" s="157">
        <v>0</v>
      </c>
      <c r="H554" s="196">
        <v>0</v>
      </c>
      <c r="I554" s="198">
        <v>0</v>
      </c>
      <c r="K554" s="170" t="str">
        <f t="shared" si="17"/>
        <v>504</v>
      </c>
    </row>
    <row r="555" spans="1:11" x14ac:dyDescent="0.3">
      <c r="A555" s="194">
        <v>504506</v>
      </c>
      <c r="B555" s="195" t="s">
        <v>1198</v>
      </c>
      <c r="C555" s="195" t="s">
        <v>1121</v>
      </c>
      <c r="D555" s="195" t="s">
        <v>686</v>
      </c>
      <c r="E555" s="196">
        <v>-334407.31</v>
      </c>
      <c r="F555" s="159">
        <v>-334407.31</v>
      </c>
      <c r="G555" s="158">
        <v>-353077.73</v>
      </c>
      <c r="H555" s="196">
        <v>21988.1</v>
      </c>
      <c r="I555" s="198">
        <v>356395.41</v>
      </c>
      <c r="K555" s="170" t="str">
        <f t="shared" si="17"/>
        <v>504</v>
      </c>
    </row>
    <row r="556" spans="1:11" x14ac:dyDescent="0.3">
      <c r="A556" s="194">
        <v>504507</v>
      </c>
      <c r="B556" s="195" t="s">
        <v>1199</v>
      </c>
      <c r="C556" s="195" t="s">
        <v>1121</v>
      </c>
      <c r="D556" s="195" t="s">
        <v>686</v>
      </c>
      <c r="E556" s="196">
        <v>73130</v>
      </c>
      <c r="F556" s="159">
        <v>73130</v>
      </c>
      <c r="G556" s="157">
        <v>80070</v>
      </c>
      <c r="H556" s="196">
        <v>74500</v>
      </c>
      <c r="I556" s="198">
        <v>1370</v>
      </c>
      <c r="K556" s="170" t="str">
        <f t="shared" si="17"/>
        <v>504</v>
      </c>
    </row>
    <row r="557" spans="1:11" x14ac:dyDescent="0.3">
      <c r="A557" s="194">
        <v>504508</v>
      </c>
      <c r="B557" s="195" t="s">
        <v>1200</v>
      </c>
      <c r="C557" s="195" t="s">
        <v>1121</v>
      </c>
      <c r="D557" s="195" t="s">
        <v>686</v>
      </c>
      <c r="E557" s="196">
        <v>21069.86</v>
      </c>
      <c r="F557" s="159">
        <v>21069.86</v>
      </c>
      <c r="G557" s="158">
        <v>21069.86</v>
      </c>
      <c r="H557" s="196">
        <v>21069.86</v>
      </c>
      <c r="I557" s="198">
        <v>0</v>
      </c>
      <c r="K557" s="170" t="str">
        <f t="shared" si="17"/>
        <v>504</v>
      </c>
    </row>
    <row r="558" spans="1:11" x14ac:dyDescent="0.3">
      <c r="A558" s="194">
        <v>504509</v>
      </c>
      <c r="B558" s="195" t="s">
        <v>1201</v>
      </c>
      <c r="C558" s="195" t="s">
        <v>1121</v>
      </c>
      <c r="D558" s="195" t="s">
        <v>686</v>
      </c>
      <c r="E558" s="196">
        <v>-2479447.1</v>
      </c>
      <c r="F558" s="159">
        <v>-2479447.1</v>
      </c>
      <c r="G558" s="157">
        <v>-2687276.6</v>
      </c>
      <c r="H558" s="196">
        <v>623701.67000000004</v>
      </c>
      <c r="I558" s="198">
        <v>3103148.77</v>
      </c>
      <c r="K558" s="170" t="str">
        <f t="shared" si="17"/>
        <v>504</v>
      </c>
    </row>
    <row r="559" spans="1:11" x14ac:dyDescent="0.3">
      <c r="A559" s="194">
        <v>504520</v>
      </c>
      <c r="B559" s="195" t="s">
        <v>1202</v>
      </c>
      <c r="C559" s="195" t="s">
        <v>1121</v>
      </c>
      <c r="D559" s="195" t="s">
        <v>686</v>
      </c>
      <c r="E559" s="196">
        <v>0</v>
      </c>
      <c r="F559" s="159">
        <v>0</v>
      </c>
      <c r="G559" s="158">
        <v>0</v>
      </c>
      <c r="H559" s="196">
        <v>0</v>
      </c>
      <c r="I559" s="198">
        <v>0</v>
      </c>
      <c r="K559" s="170" t="str">
        <f t="shared" si="17"/>
        <v>504</v>
      </c>
    </row>
    <row r="560" spans="1:11" x14ac:dyDescent="0.3">
      <c r="A560" s="194">
        <v>504523</v>
      </c>
      <c r="B560" s="195" t="s">
        <v>1203</v>
      </c>
      <c r="C560" s="195" t="s">
        <v>1121</v>
      </c>
      <c r="D560" s="195" t="s">
        <v>686</v>
      </c>
      <c r="E560" s="196">
        <v>6171.3</v>
      </c>
      <c r="F560" s="159">
        <v>6171.3</v>
      </c>
      <c r="G560" s="157">
        <v>6171.3</v>
      </c>
      <c r="H560" s="196">
        <v>6171.3</v>
      </c>
      <c r="I560" s="198">
        <v>0</v>
      </c>
      <c r="K560" s="170" t="str">
        <f t="shared" si="17"/>
        <v>504</v>
      </c>
    </row>
    <row r="561" spans="1:11" x14ac:dyDescent="0.3">
      <c r="A561" s="194">
        <v>504590</v>
      </c>
      <c r="B561" s="195" t="s">
        <v>1204</v>
      </c>
      <c r="C561" s="195" t="s">
        <v>1121</v>
      </c>
      <c r="D561" s="195" t="s">
        <v>686</v>
      </c>
      <c r="E561" s="196">
        <v>-2155955.16</v>
      </c>
      <c r="F561" s="159">
        <v>-2155955.16</v>
      </c>
      <c r="G561" s="158">
        <v>-2290099.25</v>
      </c>
      <c r="H561" s="196">
        <v>1416164.3</v>
      </c>
      <c r="I561" s="198">
        <v>3572119.46</v>
      </c>
      <c r="K561" s="170" t="str">
        <f t="shared" si="17"/>
        <v>504</v>
      </c>
    </row>
    <row r="562" spans="1:11" x14ac:dyDescent="0.3">
      <c r="A562" s="194">
        <v>504599</v>
      </c>
      <c r="B562" s="195" t="s">
        <v>1205</v>
      </c>
      <c r="C562" s="195" t="s">
        <v>1121</v>
      </c>
      <c r="D562" s="195" t="s">
        <v>690</v>
      </c>
      <c r="E562" s="196">
        <v>22155134.219999999</v>
      </c>
      <c r="F562" s="159">
        <v>22155134.219999999</v>
      </c>
      <c r="G562" s="157">
        <v>24541622.949999999</v>
      </c>
      <c r="H562" s="196">
        <v>32722057.48</v>
      </c>
      <c r="I562" s="198">
        <v>10566923.26</v>
      </c>
      <c r="K562" s="170" t="str">
        <f t="shared" si="17"/>
        <v>504</v>
      </c>
    </row>
    <row r="563" spans="1:11" x14ac:dyDescent="0.3">
      <c r="A563" s="194">
        <v>504600</v>
      </c>
      <c r="B563" s="195" t="s">
        <v>1206</v>
      </c>
      <c r="C563" s="195" t="s">
        <v>1121</v>
      </c>
      <c r="D563" s="195" t="s">
        <v>686</v>
      </c>
      <c r="E563" s="196">
        <v>13875362.4</v>
      </c>
      <c r="F563" s="159">
        <v>13875362.4</v>
      </c>
      <c r="G563" s="158">
        <v>14983285.82</v>
      </c>
      <c r="H563" s="196">
        <v>14040149.4</v>
      </c>
      <c r="I563" s="198">
        <v>164787</v>
      </c>
      <c r="K563" s="170" t="str">
        <f t="shared" si="17"/>
        <v>504</v>
      </c>
    </row>
    <row r="564" spans="1:11" x14ac:dyDescent="0.3">
      <c r="A564" s="194">
        <v>504601</v>
      </c>
      <c r="B564" s="195" t="s">
        <v>1207</v>
      </c>
      <c r="C564" s="195" t="s">
        <v>1121</v>
      </c>
      <c r="D564" s="195" t="s">
        <v>686</v>
      </c>
      <c r="E564" s="196">
        <v>18275.12</v>
      </c>
      <c r="F564" s="159">
        <v>18275.12</v>
      </c>
      <c r="G564" s="157">
        <v>18275.12</v>
      </c>
      <c r="H564" s="196">
        <v>19311.18</v>
      </c>
      <c r="I564" s="198">
        <v>1036.06</v>
      </c>
      <c r="K564" s="170" t="str">
        <f t="shared" si="17"/>
        <v>504</v>
      </c>
    </row>
    <row r="565" spans="1:11" x14ac:dyDescent="0.3">
      <c r="A565" s="194">
        <v>504602</v>
      </c>
      <c r="B565" s="195" t="s">
        <v>1208</v>
      </c>
      <c r="C565" s="195" t="s">
        <v>1121</v>
      </c>
      <c r="D565" s="195" t="s">
        <v>686</v>
      </c>
      <c r="E565" s="196">
        <v>96819.89</v>
      </c>
      <c r="F565" s="159">
        <v>96819.89</v>
      </c>
      <c r="G565" s="158">
        <v>108467.85</v>
      </c>
      <c r="H565" s="196">
        <v>192540.77</v>
      </c>
      <c r="I565" s="198">
        <v>95720.88</v>
      </c>
      <c r="K565" s="170" t="str">
        <f t="shared" si="17"/>
        <v>504</v>
      </c>
    </row>
    <row r="566" spans="1:11" x14ac:dyDescent="0.3">
      <c r="A566" s="194">
        <v>504604</v>
      </c>
      <c r="B566" s="195" t="s">
        <v>1209</v>
      </c>
      <c r="C566" s="195" t="s">
        <v>1121</v>
      </c>
      <c r="D566" s="195" t="s">
        <v>686</v>
      </c>
      <c r="E566" s="196">
        <v>0</v>
      </c>
      <c r="F566" s="159">
        <v>0</v>
      </c>
      <c r="G566" s="157">
        <v>0</v>
      </c>
      <c r="H566" s="196">
        <v>0</v>
      </c>
      <c r="I566" s="198">
        <v>0</v>
      </c>
      <c r="K566" s="170" t="str">
        <f t="shared" si="17"/>
        <v>504</v>
      </c>
    </row>
    <row r="567" spans="1:11" x14ac:dyDescent="0.3">
      <c r="A567" s="194">
        <v>504605</v>
      </c>
      <c r="B567" s="195" t="s">
        <v>1210</v>
      </c>
      <c r="C567" s="195" t="s">
        <v>1121</v>
      </c>
      <c r="D567" s="195" t="s">
        <v>686</v>
      </c>
      <c r="E567" s="196">
        <v>0</v>
      </c>
      <c r="F567" s="159">
        <v>0</v>
      </c>
      <c r="G567" s="158">
        <v>0</v>
      </c>
      <c r="H567" s="196">
        <v>130772.56</v>
      </c>
      <c r="I567" s="198">
        <v>130772.56</v>
      </c>
      <c r="K567" s="170" t="str">
        <f t="shared" si="17"/>
        <v>504</v>
      </c>
    </row>
    <row r="568" spans="1:11" x14ac:dyDescent="0.3">
      <c r="A568" s="194">
        <v>504606</v>
      </c>
      <c r="B568" s="195" t="s">
        <v>1211</v>
      </c>
      <c r="C568" s="195" t="s">
        <v>1121</v>
      </c>
      <c r="D568" s="195" t="s">
        <v>686</v>
      </c>
      <c r="E568" s="196">
        <v>0</v>
      </c>
      <c r="F568" s="159">
        <v>0</v>
      </c>
      <c r="G568" s="157">
        <v>0</v>
      </c>
      <c r="H568" s="196">
        <v>0</v>
      </c>
      <c r="I568" s="198">
        <v>0</v>
      </c>
      <c r="K568" s="170" t="str">
        <f t="shared" si="17"/>
        <v>504</v>
      </c>
    </row>
    <row r="569" spans="1:11" x14ac:dyDescent="0.3">
      <c r="A569" s="194">
        <v>504607</v>
      </c>
      <c r="B569" s="195" t="s">
        <v>1212</v>
      </c>
      <c r="C569" s="195" t="s">
        <v>1121</v>
      </c>
      <c r="D569" s="195" t="s">
        <v>686</v>
      </c>
      <c r="E569" s="196">
        <v>33593</v>
      </c>
      <c r="F569" s="159">
        <v>33593</v>
      </c>
      <c r="G569" s="158">
        <v>33593</v>
      </c>
      <c r="H569" s="196">
        <v>33593</v>
      </c>
      <c r="I569" s="198">
        <v>0</v>
      </c>
      <c r="K569" s="170" t="str">
        <f t="shared" si="17"/>
        <v>504</v>
      </c>
    </row>
    <row r="570" spans="1:11" x14ac:dyDescent="0.3">
      <c r="A570" s="194">
        <v>504608</v>
      </c>
      <c r="B570" s="195" t="s">
        <v>1213</v>
      </c>
      <c r="C570" s="195" t="s">
        <v>1121</v>
      </c>
      <c r="D570" s="195" t="s">
        <v>686</v>
      </c>
      <c r="E570" s="196">
        <v>7850</v>
      </c>
      <c r="F570" s="159">
        <v>7850</v>
      </c>
      <c r="G570" s="157">
        <v>7850</v>
      </c>
      <c r="H570" s="196">
        <v>7850</v>
      </c>
      <c r="I570" s="198">
        <v>0</v>
      </c>
      <c r="K570" s="170" t="str">
        <f t="shared" si="17"/>
        <v>504</v>
      </c>
    </row>
    <row r="571" spans="1:11" x14ac:dyDescent="0.3">
      <c r="A571" s="194">
        <v>504609</v>
      </c>
      <c r="B571" s="195" t="s">
        <v>1214</v>
      </c>
      <c r="C571" s="195" t="s">
        <v>1121</v>
      </c>
      <c r="D571" s="195" t="s">
        <v>686</v>
      </c>
      <c r="E571" s="196">
        <v>-192044.67</v>
      </c>
      <c r="F571" s="159">
        <v>-192044.67</v>
      </c>
      <c r="G571" s="158">
        <v>-198220.64</v>
      </c>
      <c r="H571" s="196">
        <v>2497.91</v>
      </c>
      <c r="I571" s="198">
        <v>194542.58</v>
      </c>
      <c r="K571" s="170" t="str">
        <f t="shared" si="17"/>
        <v>504</v>
      </c>
    </row>
    <row r="572" spans="1:11" x14ac:dyDescent="0.3">
      <c r="A572" s="194">
        <v>504650</v>
      </c>
      <c r="B572" s="195" t="s">
        <v>447</v>
      </c>
      <c r="C572" s="195" t="s">
        <v>1121</v>
      </c>
      <c r="D572" s="195" t="s">
        <v>686</v>
      </c>
      <c r="E572" s="196">
        <v>0</v>
      </c>
      <c r="F572" s="159">
        <v>0</v>
      </c>
      <c r="G572" s="157">
        <v>0</v>
      </c>
      <c r="H572" s="196">
        <v>0</v>
      </c>
      <c r="I572" s="198">
        <v>0</v>
      </c>
      <c r="K572" s="170" t="str">
        <f t="shared" si="17"/>
        <v>504</v>
      </c>
    </row>
    <row r="573" spans="1:11" x14ac:dyDescent="0.3">
      <c r="A573" s="194">
        <v>504660</v>
      </c>
      <c r="B573" s="195" t="s">
        <v>1215</v>
      </c>
      <c r="C573" s="195" t="s">
        <v>1121</v>
      </c>
      <c r="D573" s="195" t="s">
        <v>686</v>
      </c>
      <c r="E573" s="196">
        <v>0</v>
      </c>
      <c r="F573" s="159">
        <v>0</v>
      </c>
      <c r="G573" s="158">
        <v>0</v>
      </c>
      <c r="H573" s="196">
        <v>0</v>
      </c>
      <c r="I573" s="198">
        <v>0</v>
      </c>
      <c r="K573" s="170" t="str">
        <f t="shared" si="17"/>
        <v>504</v>
      </c>
    </row>
    <row r="574" spans="1:11" x14ac:dyDescent="0.3">
      <c r="A574" s="194">
        <v>504690</v>
      </c>
      <c r="B574" s="195" t="s">
        <v>1216</v>
      </c>
      <c r="C574" s="195" t="s">
        <v>1121</v>
      </c>
      <c r="D574" s="195" t="s">
        <v>686</v>
      </c>
      <c r="E574" s="196">
        <v>-337239.73</v>
      </c>
      <c r="F574" s="159">
        <v>-337239.73</v>
      </c>
      <c r="G574" s="157">
        <v>-362736.1</v>
      </c>
      <c r="H574" s="196">
        <v>322829.96999999997</v>
      </c>
      <c r="I574" s="198">
        <v>660069.69999999995</v>
      </c>
      <c r="K574" s="170" t="str">
        <f t="shared" si="17"/>
        <v>504</v>
      </c>
    </row>
    <row r="575" spans="1:11" x14ac:dyDescent="0.3">
      <c r="A575" s="194">
        <v>504695</v>
      </c>
      <c r="B575" s="195" t="s">
        <v>1217</v>
      </c>
      <c r="C575" s="195" t="s">
        <v>1121</v>
      </c>
      <c r="D575" s="195" t="s">
        <v>686</v>
      </c>
      <c r="E575" s="196">
        <v>0</v>
      </c>
      <c r="F575" s="159">
        <v>0</v>
      </c>
      <c r="G575" s="158">
        <v>0</v>
      </c>
      <c r="H575" s="196">
        <v>0</v>
      </c>
      <c r="I575" s="198">
        <v>0</v>
      </c>
      <c r="K575" s="170" t="str">
        <f t="shared" si="17"/>
        <v>504</v>
      </c>
    </row>
    <row r="576" spans="1:11" x14ac:dyDescent="0.3">
      <c r="A576" s="194">
        <v>504699</v>
      </c>
      <c r="B576" s="195" t="s">
        <v>1218</v>
      </c>
      <c r="C576" s="195" t="s">
        <v>1121</v>
      </c>
      <c r="D576" s="195" t="s">
        <v>690</v>
      </c>
      <c r="E576" s="196">
        <v>13502616.01</v>
      </c>
      <c r="F576" s="159">
        <v>13502616.01</v>
      </c>
      <c r="G576" s="157">
        <v>14590515.050000001</v>
      </c>
      <c r="H576" s="196">
        <v>14749544.789999999</v>
      </c>
      <c r="I576" s="198">
        <v>1246928.78</v>
      </c>
      <c r="K576" s="170" t="str">
        <f t="shared" si="17"/>
        <v>504</v>
      </c>
    </row>
    <row r="577" spans="1:11" x14ac:dyDescent="0.3">
      <c r="A577" s="194">
        <v>504700</v>
      </c>
      <c r="B577" s="195" t="s">
        <v>1219</v>
      </c>
      <c r="C577" s="195" t="s">
        <v>1121</v>
      </c>
      <c r="D577" s="195" t="s">
        <v>687</v>
      </c>
      <c r="E577" s="196">
        <v>0</v>
      </c>
      <c r="F577" s="159">
        <v>0</v>
      </c>
      <c r="G577" s="158">
        <v>0</v>
      </c>
      <c r="H577" s="196">
        <v>0</v>
      </c>
      <c r="I577" s="198">
        <v>0</v>
      </c>
      <c r="K577" s="170" t="str">
        <f t="shared" si="17"/>
        <v>504</v>
      </c>
    </row>
    <row r="578" spans="1:11" x14ac:dyDescent="0.3">
      <c r="A578" s="194">
        <v>504710</v>
      </c>
      <c r="B578" s="195" t="s">
        <v>1220</v>
      </c>
      <c r="C578" s="195" t="s">
        <v>1121</v>
      </c>
      <c r="D578" s="195" t="s">
        <v>687</v>
      </c>
      <c r="E578" s="196">
        <v>0</v>
      </c>
      <c r="F578" s="159">
        <v>0</v>
      </c>
      <c r="G578" s="157">
        <v>0</v>
      </c>
      <c r="H578" s="196">
        <v>0</v>
      </c>
      <c r="I578" s="198">
        <v>0</v>
      </c>
      <c r="K578" s="170" t="str">
        <f t="shared" si="17"/>
        <v>504</v>
      </c>
    </row>
    <row r="579" spans="1:11" x14ac:dyDescent="0.3">
      <c r="A579" s="194">
        <v>504719</v>
      </c>
      <c r="B579" s="195" t="s">
        <v>1221</v>
      </c>
      <c r="C579" s="195" t="s">
        <v>1121</v>
      </c>
      <c r="D579" s="195" t="s">
        <v>690</v>
      </c>
      <c r="E579" s="196">
        <v>0</v>
      </c>
      <c r="F579" s="159">
        <v>0</v>
      </c>
      <c r="G579" s="158">
        <v>0</v>
      </c>
      <c r="H579" s="196">
        <v>0</v>
      </c>
      <c r="I579" s="198">
        <v>0</v>
      </c>
      <c r="K579" s="170" t="str">
        <f t="shared" ref="K579:K642" si="18">IF(A579&lt;100000,CONCATENATE(0,LEFT(A579,2)),LEFT(A579,3))</f>
        <v>504</v>
      </c>
    </row>
    <row r="580" spans="1:11" x14ac:dyDescent="0.3">
      <c r="A580" s="194">
        <v>504720</v>
      </c>
      <c r="B580" s="195" t="s">
        <v>1222</v>
      </c>
      <c r="C580" s="195" t="s">
        <v>1121</v>
      </c>
      <c r="D580" s="195" t="s">
        <v>687</v>
      </c>
      <c r="E580" s="196">
        <v>0</v>
      </c>
      <c r="F580" s="159">
        <v>0</v>
      </c>
      <c r="G580" s="157">
        <v>0</v>
      </c>
      <c r="H580" s="196">
        <v>0</v>
      </c>
      <c r="I580" s="198">
        <v>0</v>
      </c>
      <c r="K580" s="170" t="str">
        <f t="shared" si="18"/>
        <v>504</v>
      </c>
    </row>
    <row r="581" spans="1:11" x14ac:dyDescent="0.3">
      <c r="A581" s="194">
        <v>504722</v>
      </c>
      <c r="B581" s="195" t="s">
        <v>1223</v>
      </c>
      <c r="C581" s="195" t="s">
        <v>1121</v>
      </c>
      <c r="D581" s="195" t="s">
        <v>686</v>
      </c>
      <c r="E581" s="196">
        <v>0</v>
      </c>
      <c r="F581" s="159">
        <v>0</v>
      </c>
      <c r="G581" s="158">
        <v>0</v>
      </c>
      <c r="H581" s="196">
        <v>0</v>
      </c>
      <c r="I581" s="198">
        <v>0</v>
      </c>
      <c r="K581" s="170" t="str">
        <f t="shared" si="18"/>
        <v>504</v>
      </c>
    </row>
    <row r="582" spans="1:11" x14ac:dyDescent="0.3">
      <c r="A582" s="194">
        <v>504726</v>
      </c>
      <c r="B582" s="195" t="s">
        <v>1224</v>
      </c>
      <c r="C582" s="195" t="s">
        <v>1121</v>
      </c>
      <c r="D582" s="195" t="s">
        <v>686</v>
      </c>
      <c r="E582" s="196">
        <v>0</v>
      </c>
      <c r="F582" s="159">
        <v>0</v>
      </c>
      <c r="G582" s="157">
        <v>0</v>
      </c>
      <c r="H582" s="196">
        <v>0</v>
      </c>
      <c r="I582" s="198">
        <v>0</v>
      </c>
      <c r="K582" s="170" t="str">
        <f t="shared" si="18"/>
        <v>504</v>
      </c>
    </row>
    <row r="583" spans="1:11" x14ac:dyDescent="0.3">
      <c r="A583" s="194">
        <v>504727</v>
      </c>
      <c r="B583" s="195" t="s">
        <v>1225</v>
      </c>
      <c r="C583" s="195" t="s">
        <v>1121</v>
      </c>
      <c r="D583" s="195" t="s">
        <v>686</v>
      </c>
      <c r="E583" s="196">
        <v>0</v>
      </c>
      <c r="F583" s="159">
        <v>0</v>
      </c>
      <c r="G583" s="158">
        <v>0</v>
      </c>
      <c r="H583" s="196">
        <v>0</v>
      </c>
      <c r="I583" s="198">
        <v>0</v>
      </c>
      <c r="K583" s="170" t="str">
        <f t="shared" si="18"/>
        <v>504</v>
      </c>
    </row>
    <row r="584" spans="1:11" x14ac:dyDescent="0.3">
      <c r="A584" s="194">
        <v>504729</v>
      </c>
      <c r="B584" s="195" t="s">
        <v>1226</v>
      </c>
      <c r="C584" s="195" t="s">
        <v>1121</v>
      </c>
      <c r="D584" s="195" t="s">
        <v>690</v>
      </c>
      <c r="E584" s="196">
        <v>0</v>
      </c>
      <c r="F584" s="159">
        <v>0</v>
      </c>
      <c r="G584" s="157">
        <v>0</v>
      </c>
      <c r="H584" s="196">
        <v>0</v>
      </c>
      <c r="I584" s="198">
        <v>0</v>
      </c>
      <c r="K584" s="170" t="str">
        <f t="shared" si="18"/>
        <v>504</v>
      </c>
    </row>
    <row r="585" spans="1:11" x14ac:dyDescent="0.3">
      <c r="A585" s="194">
        <v>504799</v>
      </c>
      <c r="B585" s="195" t="s">
        <v>1227</v>
      </c>
      <c r="C585" s="195" t="s">
        <v>1121</v>
      </c>
      <c r="D585" s="195" t="s">
        <v>690</v>
      </c>
      <c r="E585" s="196">
        <v>0</v>
      </c>
      <c r="F585" s="159">
        <v>0</v>
      </c>
      <c r="G585" s="158">
        <v>0</v>
      </c>
      <c r="H585" s="196">
        <v>0</v>
      </c>
      <c r="I585" s="198">
        <v>0</v>
      </c>
      <c r="K585" s="170" t="str">
        <f t="shared" si="18"/>
        <v>504</v>
      </c>
    </row>
    <row r="586" spans="1:11" x14ac:dyDescent="0.3">
      <c r="A586" s="194">
        <v>504800</v>
      </c>
      <c r="B586" s="195" t="s">
        <v>1228</v>
      </c>
      <c r="C586" s="195" t="s">
        <v>1121</v>
      </c>
      <c r="D586" s="195" t="s">
        <v>687</v>
      </c>
      <c r="E586" s="196">
        <v>0</v>
      </c>
      <c r="F586" s="159">
        <v>0</v>
      </c>
      <c r="G586" s="157">
        <v>0</v>
      </c>
      <c r="H586" s="196">
        <v>0</v>
      </c>
      <c r="I586" s="198">
        <v>0</v>
      </c>
      <c r="K586" s="170" t="str">
        <f t="shared" si="18"/>
        <v>504</v>
      </c>
    </row>
    <row r="587" spans="1:11" x14ac:dyDescent="0.3">
      <c r="A587" s="194">
        <v>504899</v>
      </c>
      <c r="B587" s="195" t="s">
        <v>1229</v>
      </c>
      <c r="C587" s="195" t="s">
        <v>1121</v>
      </c>
      <c r="D587" s="195" t="s">
        <v>690</v>
      </c>
      <c r="E587" s="196">
        <v>0</v>
      </c>
      <c r="F587" s="159">
        <v>0</v>
      </c>
      <c r="G587" s="158">
        <v>0</v>
      </c>
      <c r="H587" s="196">
        <v>0</v>
      </c>
      <c r="I587" s="198">
        <v>0</v>
      </c>
      <c r="K587" s="170" t="str">
        <f t="shared" si="18"/>
        <v>504</v>
      </c>
    </row>
    <row r="588" spans="1:11" x14ac:dyDescent="0.3">
      <c r="A588" s="194">
        <v>504900</v>
      </c>
      <c r="B588" s="195" t="s">
        <v>1230</v>
      </c>
      <c r="C588" s="195" t="s">
        <v>1121</v>
      </c>
      <c r="D588" s="195" t="s">
        <v>686</v>
      </c>
      <c r="E588" s="196">
        <v>0</v>
      </c>
      <c r="F588" s="159">
        <v>0</v>
      </c>
      <c r="G588" s="157">
        <v>0</v>
      </c>
      <c r="H588" s="196">
        <v>0</v>
      </c>
      <c r="I588" s="198">
        <v>0</v>
      </c>
      <c r="K588" s="170" t="str">
        <f t="shared" si="18"/>
        <v>504</v>
      </c>
    </row>
    <row r="589" spans="1:11" x14ac:dyDescent="0.3">
      <c r="A589" s="194">
        <v>504999</v>
      </c>
      <c r="B589" s="195" t="s">
        <v>1231</v>
      </c>
      <c r="C589" s="195" t="s">
        <v>1121</v>
      </c>
      <c r="D589" s="195" t="s">
        <v>690</v>
      </c>
      <c r="E589" s="196">
        <v>35657750.229999997</v>
      </c>
      <c r="F589" s="159">
        <v>35657750.229999997</v>
      </c>
      <c r="G589" s="158">
        <v>39132138</v>
      </c>
      <c r="H589" s="196">
        <v>47471602.270000003</v>
      </c>
      <c r="I589" s="198">
        <v>11813852.039999999</v>
      </c>
      <c r="K589" s="170" t="str">
        <f t="shared" si="18"/>
        <v>504</v>
      </c>
    </row>
    <row r="590" spans="1:11" x14ac:dyDescent="0.3">
      <c r="A590" s="194">
        <v>505000</v>
      </c>
      <c r="B590" s="195" t="s">
        <v>1232</v>
      </c>
      <c r="C590" s="195" t="s">
        <v>1121</v>
      </c>
      <c r="D590" s="195" t="s">
        <v>687</v>
      </c>
      <c r="E590" s="196">
        <v>0</v>
      </c>
      <c r="F590" s="159">
        <v>0</v>
      </c>
      <c r="G590" s="157">
        <v>0</v>
      </c>
      <c r="H590" s="196">
        <v>0</v>
      </c>
      <c r="I590" s="198">
        <v>0</v>
      </c>
      <c r="K590" s="170" t="str">
        <f t="shared" si="18"/>
        <v>505</v>
      </c>
    </row>
    <row r="591" spans="1:11" x14ac:dyDescent="0.3">
      <c r="A591" s="194">
        <v>505200</v>
      </c>
      <c r="B591" s="195" t="s">
        <v>1233</v>
      </c>
      <c r="C591" s="195" t="s">
        <v>1121</v>
      </c>
      <c r="D591" s="195" t="s">
        <v>686</v>
      </c>
      <c r="E591" s="196">
        <v>7771.97</v>
      </c>
      <c r="F591" s="159">
        <v>7771.97</v>
      </c>
      <c r="G591" s="158">
        <v>7771.97</v>
      </c>
      <c r="H591" s="196">
        <v>0</v>
      </c>
      <c r="I591" s="198">
        <v>-7771.97</v>
      </c>
      <c r="K591" s="170" t="str">
        <f t="shared" si="18"/>
        <v>505</v>
      </c>
    </row>
    <row r="592" spans="1:11" x14ac:dyDescent="0.3">
      <c r="A592" s="194">
        <v>505210</v>
      </c>
      <c r="B592" s="195" t="s">
        <v>1234</v>
      </c>
      <c r="C592" s="195" t="s">
        <v>1121</v>
      </c>
      <c r="D592" s="195" t="s">
        <v>686</v>
      </c>
      <c r="E592" s="196">
        <v>-1173.8900000000001</v>
      </c>
      <c r="F592" s="159">
        <v>-1173.8900000000001</v>
      </c>
      <c r="G592" s="157">
        <v>-1173.8900000000001</v>
      </c>
      <c r="H592" s="196">
        <v>0</v>
      </c>
      <c r="I592" s="198">
        <v>1173.8900000000001</v>
      </c>
      <c r="K592" s="170" t="str">
        <f t="shared" si="18"/>
        <v>505</v>
      </c>
    </row>
    <row r="593" spans="1:11" x14ac:dyDescent="0.3">
      <c r="A593" s="194">
        <v>505220</v>
      </c>
      <c r="B593" s="195" t="s">
        <v>1235</v>
      </c>
      <c r="C593" s="195" t="s">
        <v>1121</v>
      </c>
      <c r="D593" s="195" t="s">
        <v>686</v>
      </c>
      <c r="E593" s="196">
        <v>-88.02</v>
      </c>
      <c r="F593" s="159">
        <v>-88.02</v>
      </c>
      <c r="G593" s="158">
        <v>-88.02</v>
      </c>
      <c r="H593" s="196">
        <v>0</v>
      </c>
      <c r="I593" s="198">
        <v>88.02</v>
      </c>
      <c r="K593" s="170" t="str">
        <f t="shared" si="18"/>
        <v>505</v>
      </c>
    </row>
    <row r="594" spans="1:11" x14ac:dyDescent="0.3">
      <c r="A594" s="194">
        <v>505230</v>
      </c>
      <c r="B594" s="195" t="s">
        <v>1236</v>
      </c>
      <c r="C594" s="195" t="s">
        <v>1121</v>
      </c>
      <c r="D594" s="195" t="s">
        <v>686</v>
      </c>
      <c r="E594" s="196">
        <v>0</v>
      </c>
      <c r="F594" s="159">
        <v>0</v>
      </c>
      <c r="G594" s="157">
        <v>0</v>
      </c>
      <c r="H594" s="196">
        <v>0</v>
      </c>
      <c r="I594" s="198">
        <v>0</v>
      </c>
      <c r="K594" s="170" t="str">
        <f t="shared" si="18"/>
        <v>505</v>
      </c>
    </row>
    <row r="595" spans="1:11" x14ac:dyDescent="0.3">
      <c r="A595" s="194">
        <v>505500</v>
      </c>
      <c r="B595" s="195" t="s">
        <v>807</v>
      </c>
      <c r="C595" s="195" t="s">
        <v>1121</v>
      </c>
      <c r="D595" s="195" t="s">
        <v>686</v>
      </c>
      <c r="E595" s="196">
        <v>121000</v>
      </c>
      <c r="F595" s="159">
        <v>121000</v>
      </c>
      <c r="G595" s="158">
        <v>121000</v>
      </c>
      <c r="H595" s="196">
        <v>318504</v>
      </c>
      <c r="I595" s="198">
        <v>197504</v>
      </c>
      <c r="K595" s="170" t="str">
        <f t="shared" si="18"/>
        <v>505</v>
      </c>
    </row>
    <row r="596" spans="1:11" x14ac:dyDescent="0.3">
      <c r="A596" s="194">
        <v>505600</v>
      </c>
      <c r="B596" s="195" t="s">
        <v>1237</v>
      </c>
      <c r="C596" s="195" t="s">
        <v>1121</v>
      </c>
      <c r="D596" s="195" t="s">
        <v>686</v>
      </c>
      <c r="E596" s="196">
        <v>65400</v>
      </c>
      <c r="F596" s="159">
        <v>65400</v>
      </c>
      <c r="G596" s="157">
        <v>65400</v>
      </c>
      <c r="H596" s="196">
        <v>253900</v>
      </c>
      <c r="I596" s="198">
        <v>188500</v>
      </c>
      <c r="K596" s="170" t="str">
        <f t="shared" si="18"/>
        <v>505</v>
      </c>
    </row>
    <row r="597" spans="1:11" x14ac:dyDescent="0.3">
      <c r="A597" s="194">
        <v>505998</v>
      </c>
      <c r="B597" s="195" t="s">
        <v>1238</v>
      </c>
      <c r="C597" s="195" t="s">
        <v>1121</v>
      </c>
      <c r="D597" s="195" t="s">
        <v>690</v>
      </c>
      <c r="E597" s="196">
        <v>192910.06</v>
      </c>
      <c r="F597" s="159">
        <v>192910.06</v>
      </c>
      <c r="G597" s="158">
        <v>192910.06</v>
      </c>
      <c r="H597" s="196">
        <v>572404</v>
      </c>
      <c r="I597" s="198">
        <v>379493.94</v>
      </c>
      <c r="K597" s="170" t="str">
        <f t="shared" si="18"/>
        <v>505</v>
      </c>
    </row>
    <row r="598" spans="1:11" x14ac:dyDescent="0.3">
      <c r="A598" s="194">
        <v>505999</v>
      </c>
      <c r="B598" s="195" t="s">
        <v>1239</v>
      </c>
      <c r="C598" s="195" t="s">
        <v>1121</v>
      </c>
      <c r="D598" s="195" t="s">
        <v>690</v>
      </c>
      <c r="E598" s="196">
        <v>36452358.090000004</v>
      </c>
      <c r="F598" s="159">
        <v>36452358.090000004</v>
      </c>
      <c r="G598" s="157">
        <v>39971493.159999996</v>
      </c>
      <c r="H598" s="196">
        <v>48911983.460000001</v>
      </c>
      <c r="I598" s="198">
        <v>12459625.369999999</v>
      </c>
      <c r="K598" s="170" t="str">
        <f t="shared" si="18"/>
        <v>505</v>
      </c>
    </row>
    <row r="599" spans="1:11" x14ac:dyDescent="0.3">
      <c r="A599" s="194">
        <v>510000</v>
      </c>
      <c r="B599" s="195" t="s">
        <v>1240</v>
      </c>
      <c r="C599" s="195" t="s">
        <v>1121</v>
      </c>
      <c r="D599" s="195" t="s">
        <v>687</v>
      </c>
      <c r="E599" s="196">
        <v>0</v>
      </c>
      <c r="F599" s="159">
        <v>0</v>
      </c>
      <c r="G599" s="158">
        <v>0</v>
      </c>
      <c r="H599" s="196">
        <v>0</v>
      </c>
      <c r="I599" s="198">
        <v>0</v>
      </c>
      <c r="K599" s="170" t="str">
        <f t="shared" si="18"/>
        <v>510</v>
      </c>
    </row>
    <row r="600" spans="1:11" x14ac:dyDescent="0.3">
      <c r="A600" s="194">
        <v>511000</v>
      </c>
      <c r="B600" s="195" t="s">
        <v>1241</v>
      </c>
      <c r="C600" s="195" t="s">
        <v>1121</v>
      </c>
      <c r="D600" s="195" t="s">
        <v>687</v>
      </c>
      <c r="E600" s="196">
        <v>0</v>
      </c>
      <c r="F600" s="159">
        <v>0</v>
      </c>
      <c r="G600" s="157">
        <v>0</v>
      </c>
      <c r="H600" s="196">
        <v>0</v>
      </c>
      <c r="I600" s="198">
        <v>0</v>
      </c>
      <c r="K600" s="170" t="str">
        <f t="shared" si="18"/>
        <v>511</v>
      </c>
    </row>
    <row r="601" spans="1:11" x14ac:dyDescent="0.3">
      <c r="A601" s="194">
        <v>511210</v>
      </c>
      <c r="B601" s="195" t="s">
        <v>1242</v>
      </c>
      <c r="C601" s="195" t="s">
        <v>1121</v>
      </c>
      <c r="D601" s="195" t="s">
        <v>686</v>
      </c>
      <c r="E601" s="196">
        <v>80</v>
      </c>
      <c r="F601" s="159">
        <v>80</v>
      </c>
      <c r="G601" s="158">
        <v>80</v>
      </c>
      <c r="H601" s="196">
        <v>80</v>
      </c>
      <c r="I601" s="198">
        <v>0</v>
      </c>
      <c r="K601" s="170" t="str">
        <f t="shared" si="18"/>
        <v>511</v>
      </c>
    </row>
    <row r="602" spans="1:11" x14ac:dyDescent="0.3">
      <c r="A602" s="194">
        <v>511220</v>
      </c>
      <c r="B602" s="195" t="s">
        <v>1243</v>
      </c>
      <c r="C602" s="195" t="s">
        <v>1121</v>
      </c>
      <c r="D602" s="195" t="s">
        <v>686</v>
      </c>
      <c r="E602" s="196">
        <v>16254.85</v>
      </c>
      <c r="F602" s="159">
        <v>16254.85</v>
      </c>
      <c r="G602" s="157">
        <v>16985.45</v>
      </c>
      <c r="H602" s="196">
        <v>16254.85</v>
      </c>
      <c r="I602" s="198">
        <v>0</v>
      </c>
      <c r="K602" s="170" t="str">
        <f t="shared" si="18"/>
        <v>511</v>
      </c>
    </row>
    <row r="603" spans="1:11" x14ac:dyDescent="0.3">
      <c r="A603" s="194">
        <v>511230</v>
      </c>
      <c r="B603" s="195" t="s">
        <v>1244</v>
      </c>
      <c r="C603" s="195" t="s">
        <v>1121</v>
      </c>
      <c r="D603" s="195" t="s">
        <v>686</v>
      </c>
      <c r="E603" s="196">
        <v>0</v>
      </c>
      <c r="F603" s="159">
        <v>0</v>
      </c>
      <c r="G603" s="158">
        <v>0</v>
      </c>
      <c r="H603" s="196">
        <v>0</v>
      </c>
      <c r="I603" s="198">
        <v>0</v>
      </c>
      <c r="K603" s="170" t="str">
        <f t="shared" si="18"/>
        <v>511</v>
      </c>
    </row>
    <row r="604" spans="1:11" x14ac:dyDescent="0.3">
      <c r="A604" s="194">
        <v>511240</v>
      </c>
      <c r="B604" s="195" t="s">
        <v>1245</v>
      </c>
      <c r="C604" s="195" t="s">
        <v>1121</v>
      </c>
      <c r="D604" s="195" t="s">
        <v>686</v>
      </c>
      <c r="E604" s="196">
        <v>1575.39</v>
      </c>
      <c r="F604" s="159">
        <v>1575.39</v>
      </c>
      <c r="G604" s="157">
        <v>1575.39</v>
      </c>
      <c r="H604" s="196">
        <v>1675.39</v>
      </c>
      <c r="I604" s="198">
        <v>100</v>
      </c>
      <c r="K604" s="170" t="str">
        <f t="shared" si="18"/>
        <v>511</v>
      </c>
    </row>
    <row r="605" spans="1:11" x14ac:dyDescent="0.3">
      <c r="A605" s="194">
        <v>511600</v>
      </c>
      <c r="B605" s="195" t="s">
        <v>1246</v>
      </c>
      <c r="C605" s="195" t="s">
        <v>1121</v>
      </c>
      <c r="D605" s="195" t="s">
        <v>687</v>
      </c>
      <c r="E605" s="196">
        <v>0</v>
      </c>
      <c r="F605" s="159">
        <v>0</v>
      </c>
      <c r="G605" s="158">
        <v>0</v>
      </c>
      <c r="H605" s="196">
        <v>0</v>
      </c>
      <c r="I605" s="198">
        <v>0</v>
      </c>
      <c r="K605" s="170" t="str">
        <f t="shared" si="18"/>
        <v>511</v>
      </c>
    </row>
    <row r="606" spans="1:11" x14ac:dyDescent="0.3">
      <c r="A606" s="194">
        <v>511699</v>
      </c>
      <c r="B606" s="195" t="s">
        <v>1247</v>
      </c>
      <c r="C606" s="195" t="s">
        <v>1121</v>
      </c>
      <c r="D606" s="195" t="s">
        <v>690</v>
      </c>
      <c r="E606" s="196">
        <v>0</v>
      </c>
      <c r="F606" s="159">
        <v>0</v>
      </c>
      <c r="G606" s="157">
        <v>0</v>
      </c>
      <c r="H606" s="196">
        <v>0</v>
      </c>
      <c r="I606" s="198">
        <v>0</v>
      </c>
      <c r="K606" s="170" t="str">
        <f t="shared" si="18"/>
        <v>511</v>
      </c>
    </row>
    <row r="607" spans="1:11" x14ac:dyDescent="0.3">
      <c r="A607" s="194">
        <v>511999</v>
      </c>
      <c r="B607" s="195" t="s">
        <v>1248</v>
      </c>
      <c r="C607" s="195" t="s">
        <v>1121</v>
      </c>
      <c r="D607" s="195" t="s">
        <v>690</v>
      </c>
      <c r="E607" s="196">
        <v>17910.240000000002</v>
      </c>
      <c r="F607" s="159">
        <v>17910.240000000002</v>
      </c>
      <c r="G607" s="158">
        <v>18640.84</v>
      </c>
      <c r="H607" s="196">
        <v>18010.240000000002</v>
      </c>
      <c r="I607" s="198">
        <v>100</v>
      </c>
      <c r="K607" s="170" t="str">
        <f t="shared" si="18"/>
        <v>511</v>
      </c>
    </row>
    <row r="608" spans="1:11" x14ac:dyDescent="0.3">
      <c r="A608" s="194">
        <v>512000</v>
      </c>
      <c r="B608" s="195" t="s">
        <v>1249</v>
      </c>
      <c r="C608" s="195" t="s">
        <v>1121</v>
      </c>
      <c r="D608" s="195" t="s">
        <v>687</v>
      </c>
      <c r="E608" s="196">
        <v>0</v>
      </c>
      <c r="F608" s="159">
        <v>0</v>
      </c>
      <c r="G608" s="157">
        <v>0</v>
      </c>
      <c r="H608" s="196">
        <v>0</v>
      </c>
      <c r="I608" s="198">
        <v>0</v>
      </c>
      <c r="K608" s="170" t="str">
        <f t="shared" si="18"/>
        <v>512</v>
      </c>
    </row>
    <row r="609" spans="1:11" x14ac:dyDescent="0.3">
      <c r="A609" s="194">
        <v>512100</v>
      </c>
      <c r="B609" s="195" t="s">
        <v>1250</v>
      </c>
      <c r="C609" s="195" t="s">
        <v>1121</v>
      </c>
      <c r="D609" s="195" t="s">
        <v>686</v>
      </c>
      <c r="E609" s="196">
        <v>17436.599999999999</v>
      </c>
      <c r="F609" s="159">
        <v>17436.599999999999</v>
      </c>
      <c r="G609" s="158">
        <v>18236.599999999999</v>
      </c>
      <c r="H609" s="196">
        <v>17667.39</v>
      </c>
      <c r="I609" s="198">
        <v>230.79</v>
      </c>
      <c r="K609" s="170" t="str">
        <f t="shared" si="18"/>
        <v>512</v>
      </c>
    </row>
    <row r="610" spans="1:11" x14ac:dyDescent="0.3">
      <c r="A610" s="194">
        <v>512200</v>
      </c>
      <c r="B610" s="195" t="s">
        <v>1251</v>
      </c>
      <c r="C610" s="195" t="s">
        <v>1121</v>
      </c>
      <c r="D610" s="195" t="s">
        <v>686</v>
      </c>
      <c r="E610" s="196">
        <v>200.93</v>
      </c>
      <c r="F610" s="159">
        <v>200.93</v>
      </c>
      <c r="G610" s="157">
        <v>200.93</v>
      </c>
      <c r="H610" s="196">
        <v>349.62</v>
      </c>
      <c r="I610" s="198">
        <v>148.69</v>
      </c>
      <c r="K610" s="170" t="str">
        <f t="shared" si="18"/>
        <v>512</v>
      </c>
    </row>
    <row r="611" spans="1:11" x14ac:dyDescent="0.3">
      <c r="A611" s="194">
        <v>512800</v>
      </c>
      <c r="B611" s="195" t="s">
        <v>1252</v>
      </c>
      <c r="C611" s="195" t="s">
        <v>1121</v>
      </c>
      <c r="D611" s="195" t="s">
        <v>686</v>
      </c>
      <c r="E611" s="196">
        <v>0</v>
      </c>
      <c r="F611" s="159">
        <v>0</v>
      </c>
      <c r="G611" s="158">
        <v>0</v>
      </c>
      <c r="H611" s="196">
        <v>0</v>
      </c>
      <c r="I611" s="198">
        <v>0</v>
      </c>
      <c r="K611" s="170" t="str">
        <f t="shared" si="18"/>
        <v>512</v>
      </c>
    </row>
    <row r="612" spans="1:11" x14ac:dyDescent="0.3">
      <c r="A612" s="194">
        <v>512999</v>
      </c>
      <c r="B612" s="195" t="s">
        <v>1253</v>
      </c>
      <c r="C612" s="195" t="s">
        <v>1121</v>
      </c>
      <c r="D612" s="195" t="s">
        <v>690</v>
      </c>
      <c r="E612" s="196">
        <v>17637.53</v>
      </c>
      <c r="F612" s="159">
        <v>17637.53</v>
      </c>
      <c r="G612" s="157">
        <v>18437.53</v>
      </c>
      <c r="H612" s="196">
        <v>18017.009999999998</v>
      </c>
      <c r="I612" s="198">
        <v>379.48</v>
      </c>
      <c r="K612" s="170" t="str">
        <f t="shared" si="18"/>
        <v>512</v>
      </c>
    </row>
    <row r="613" spans="1:11" x14ac:dyDescent="0.3">
      <c r="A613" s="194">
        <v>513000</v>
      </c>
      <c r="B613" s="195" t="s">
        <v>1254</v>
      </c>
      <c r="C613" s="195" t="s">
        <v>1121</v>
      </c>
      <c r="D613" s="195" t="s">
        <v>687</v>
      </c>
      <c r="E613" s="196">
        <v>0</v>
      </c>
      <c r="F613" s="159">
        <v>0</v>
      </c>
      <c r="G613" s="158">
        <v>0</v>
      </c>
      <c r="H613" s="196">
        <v>0</v>
      </c>
      <c r="I613" s="198">
        <v>0</v>
      </c>
      <c r="K613" s="170" t="str">
        <f t="shared" si="18"/>
        <v>513</v>
      </c>
    </row>
    <row r="614" spans="1:11" x14ac:dyDescent="0.3">
      <c r="A614" s="194">
        <v>513100</v>
      </c>
      <c r="B614" s="195" t="s">
        <v>1255</v>
      </c>
      <c r="C614" s="195" t="s">
        <v>1121</v>
      </c>
      <c r="D614" s="195" t="s">
        <v>686</v>
      </c>
      <c r="E614" s="196">
        <v>26393.67</v>
      </c>
      <c r="F614" s="159">
        <v>26393.67</v>
      </c>
      <c r="G614" s="157">
        <v>28244.95</v>
      </c>
      <c r="H614" s="196">
        <v>26393.67</v>
      </c>
      <c r="I614" s="198">
        <v>0</v>
      </c>
      <c r="K614" s="170" t="str">
        <f t="shared" si="18"/>
        <v>513</v>
      </c>
    </row>
    <row r="615" spans="1:11" x14ac:dyDescent="0.3">
      <c r="A615" s="194">
        <v>513150</v>
      </c>
      <c r="B615" s="195" t="s">
        <v>1256</v>
      </c>
      <c r="C615" s="195" t="s">
        <v>1121</v>
      </c>
      <c r="D615" s="195" t="s">
        <v>686</v>
      </c>
      <c r="E615" s="196">
        <v>2937.59</v>
      </c>
      <c r="F615" s="159">
        <v>2937.59</v>
      </c>
      <c r="G615" s="158">
        <v>2937.59</v>
      </c>
      <c r="H615" s="196">
        <v>2937.59</v>
      </c>
      <c r="I615" s="198">
        <v>0</v>
      </c>
      <c r="K615" s="170" t="str">
        <f t="shared" si="18"/>
        <v>513</v>
      </c>
    </row>
    <row r="616" spans="1:11" x14ac:dyDescent="0.3">
      <c r="A616" s="194">
        <v>513999</v>
      </c>
      <c r="B616" s="195" t="s">
        <v>1257</v>
      </c>
      <c r="C616" s="195" t="s">
        <v>1121</v>
      </c>
      <c r="D616" s="195" t="s">
        <v>690</v>
      </c>
      <c r="E616" s="196">
        <v>29331.26</v>
      </c>
      <c r="F616" s="159">
        <v>29331.26</v>
      </c>
      <c r="G616" s="157">
        <v>31182.54</v>
      </c>
      <c r="H616" s="196">
        <v>29331.26</v>
      </c>
      <c r="I616" s="198">
        <v>0</v>
      </c>
      <c r="K616" s="170" t="str">
        <f t="shared" si="18"/>
        <v>513</v>
      </c>
    </row>
    <row r="617" spans="1:11" x14ac:dyDescent="0.3">
      <c r="A617" s="194">
        <v>518000</v>
      </c>
      <c r="B617" s="195" t="s">
        <v>1258</v>
      </c>
      <c r="C617" s="195" t="s">
        <v>1121</v>
      </c>
      <c r="D617" s="195" t="s">
        <v>687</v>
      </c>
      <c r="E617" s="196">
        <v>0</v>
      </c>
      <c r="F617" s="159">
        <v>0</v>
      </c>
      <c r="G617" s="158">
        <v>0</v>
      </c>
      <c r="H617" s="196">
        <v>0</v>
      </c>
      <c r="I617" s="198">
        <v>0</v>
      </c>
      <c r="K617" s="170" t="str">
        <f t="shared" si="18"/>
        <v>518</v>
      </c>
    </row>
    <row r="618" spans="1:11" x14ac:dyDescent="0.3">
      <c r="A618" s="194">
        <v>518110</v>
      </c>
      <c r="B618" s="195" t="s">
        <v>1259</v>
      </c>
      <c r="C618" s="195" t="s">
        <v>1121</v>
      </c>
      <c r="D618" s="195" t="s">
        <v>686</v>
      </c>
      <c r="E618" s="196">
        <v>403320</v>
      </c>
      <c r="F618" s="159">
        <v>403320</v>
      </c>
      <c r="G618" s="157">
        <v>437880</v>
      </c>
      <c r="H618" s="196">
        <v>403320</v>
      </c>
      <c r="I618" s="198">
        <v>0</v>
      </c>
      <c r="K618" s="170" t="str">
        <f t="shared" si="18"/>
        <v>518</v>
      </c>
    </row>
    <row r="619" spans="1:11" x14ac:dyDescent="0.3">
      <c r="A619" s="194">
        <v>518111</v>
      </c>
      <c r="B619" s="195" t="s">
        <v>1260</v>
      </c>
      <c r="C619" s="195" t="s">
        <v>1121</v>
      </c>
      <c r="D619" s="195" t="s">
        <v>686</v>
      </c>
      <c r="E619" s="196">
        <v>41333.120000000003</v>
      </c>
      <c r="F619" s="159">
        <v>41333.120000000003</v>
      </c>
      <c r="G619" s="158">
        <v>44083.41</v>
      </c>
      <c r="H619" s="196">
        <v>42055.32</v>
      </c>
      <c r="I619" s="198">
        <v>722.2</v>
      </c>
      <c r="K619" s="170" t="str">
        <f t="shared" si="18"/>
        <v>518</v>
      </c>
    </row>
    <row r="620" spans="1:11" x14ac:dyDescent="0.3">
      <c r="A620" s="194">
        <v>518120</v>
      </c>
      <c r="B620" s="195" t="s">
        <v>1261</v>
      </c>
      <c r="C620" s="195" t="s">
        <v>1121</v>
      </c>
      <c r="D620" s="195" t="s">
        <v>686</v>
      </c>
      <c r="E620" s="196">
        <v>52800</v>
      </c>
      <c r="F620" s="159">
        <v>52800</v>
      </c>
      <c r="G620" s="157">
        <v>61600</v>
      </c>
      <c r="H620" s="196">
        <v>112259</v>
      </c>
      <c r="I620" s="198">
        <v>59459</v>
      </c>
      <c r="K620" s="170" t="str">
        <f t="shared" si="18"/>
        <v>518</v>
      </c>
    </row>
    <row r="621" spans="1:11" x14ac:dyDescent="0.3">
      <c r="A621" s="194">
        <v>518130</v>
      </c>
      <c r="B621" s="195" t="s">
        <v>1262</v>
      </c>
      <c r="C621" s="195" t="s">
        <v>1121</v>
      </c>
      <c r="D621" s="195" t="s">
        <v>686</v>
      </c>
      <c r="E621" s="196">
        <v>131640</v>
      </c>
      <c r="F621" s="159">
        <v>131640</v>
      </c>
      <c r="G621" s="158">
        <v>142920</v>
      </c>
      <c r="H621" s="196">
        <v>131640</v>
      </c>
      <c r="I621" s="198">
        <v>0</v>
      </c>
      <c r="K621" s="170" t="str">
        <f t="shared" si="18"/>
        <v>518</v>
      </c>
    </row>
    <row r="622" spans="1:11" x14ac:dyDescent="0.3">
      <c r="A622" s="194">
        <v>518200</v>
      </c>
      <c r="B622" s="195" t="s">
        <v>1263</v>
      </c>
      <c r="C622" s="195" t="s">
        <v>1121</v>
      </c>
      <c r="D622" s="195" t="s">
        <v>686</v>
      </c>
      <c r="E622" s="196">
        <v>6670.33</v>
      </c>
      <c r="F622" s="159">
        <v>6670.33</v>
      </c>
      <c r="G622" s="157">
        <v>6990.49</v>
      </c>
      <c r="H622" s="196">
        <v>6885</v>
      </c>
      <c r="I622" s="198">
        <v>214.67</v>
      </c>
      <c r="K622" s="170" t="str">
        <f t="shared" si="18"/>
        <v>518</v>
      </c>
    </row>
    <row r="623" spans="1:11" x14ac:dyDescent="0.3">
      <c r="A623" s="194">
        <v>518210</v>
      </c>
      <c r="B623" s="195" t="s">
        <v>1264</v>
      </c>
      <c r="C623" s="195" t="s">
        <v>1121</v>
      </c>
      <c r="D623" s="195" t="s">
        <v>686</v>
      </c>
      <c r="E623" s="196">
        <v>2988.14</v>
      </c>
      <c r="F623" s="159">
        <v>2988.14</v>
      </c>
      <c r="G623" s="158">
        <v>3516.64</v>
      </c>
      <c r="H623" s="196">
        <v>2988.14</v>
      </c>
      <c r="I623" s="198">
        <v>0</v>
      </c>
      <c r="K623" s="170" t="str">
        <f t="shared" si="18"/>
        <v>518</v>
      </c>
    </row>
    <row r="624" spans="1:11" x14ac:dyDescent="0.3">
      <c r="A624" s="194">
        <v>518220</v>
      </c>
      <c r="B624" s="195" t="s">
        <v>1265</v>
      </c>
      <c r="C624" s="195" t="s">
        <v>1121</v>
      </c>
      <c r="D624" s="195" t="s">
        <v>686</v>
      </c>
      <c r="E624" s="196">
        <v>1713.76</v>
      </c>
      <c r="F624" s="159">
        <v>1713.76</v>
      </c>
      <c r="G624" s="157">
        <v>1985.89</v>
      </c>
      <c r="H624" s="196">
        <v>4113.76</v>
      </c>
      <c r="I624" s="198">
        <v>2400</v>
      </c>
      <c r="K624" s="170" t="str">
        <f t="shared" si="18"/>
        <v>518</v>
      </c>
    </row>
    <row r="625" spans="1:11" x14ac:dyDescent="0.3">
      <c r="A625" s="194">
        <v>518230</v>
      </c>
      <c r="B625" s="195" t="s">
        <v>1266</v>
      </c>
      <c r="C625" s="195" t="s">
        <v>1121</v>
      </c>
      <c r="D625" s="195" t="s">
        <v>686</v>
      </c>
      <c r="E625" s="196">
        <v>7815.96</v>
      </c>
      <c r="F625" s="159">
        <v>7815.96</v>
      </c>
      <c r="G625" s="158">
        <v>9221.26</v>
      </c>
      <c r="H625" s="196">
        <v>19672.5</v>
      </c>
      <c r="I625" s="198">
        <v>11856.54</v>
      </c>
      <c r="K625" s="170" t="str">
        <f t="shared" si="18"/>
        <v>518</v>
      </c>
    </row>
    <row r="626" spans="1:11" x14ac:dyDescent="0.3">
      <c r="A626" s="194">
        <v>518250</v>
      </c>
      <c r="B626" s="195" t="s">
        <v>1267</v>
      </c>
      <c r="C626" s="195" t="s">
        <v>1121</v>
      </c>
      <c r="D626" s="195" t="s">
        <v>686</v>
      </c>
      <c r="E626" s="196">
        <v>104614.53</v>
      </c>
      <c r="F626" s="159">
        <v>104614.53</v>
      </c>
      <c r="G626" s="157">
        <v>110729.53</v>
      </c>
      <c r="H626" s="196">
        <v>107100.76</v>
      </c>
      <c r="I626" s="198">
        <v>2486.23</v>
      </c>
      <c r="K626" s="170" t="str">
        <f t="shared" si="18"/>
        <v>518</v>
      </c>
    </row>
    <row r="627" spans="1:11" x14ac:dyDescent="0.3">
      <c r="A627" s="194">
        <v>518260</v>
      </c>
      <c r="B627" s="195" t="s">
        <v>1268</v>
      </c>
      <c r="C627" s="195" t="s">
        <v>1121</v>
      </c>
      <c r="D627" s="195" t="s">
        <v>686</v>
      </c>
      <c r="E627" s="196">
        <v>4965.76</v>
      </c>
      <c r="F627" s="159">
        <v>4965.76</v>
      </c>
      <c r="G627" s="158">
        <v>4965.76</v>
      </c>
      <c r="H627" s="196">
        <v>4965.76</v>
      </c>
      <c r="I627" s="198">
        <v>0</v>
      </c>
      <c r="K627" s="170" t="str">
        <f t="shared" si="18"/>
        <v>518</v>
      </c>
    </row>
    <row r="628" spans="1:11" x14ac:dyDescent="0.3">
      <c r="A628" s="194">
        <v>518270</v>
      </c>
      <c r="B628" s="195" t="s">
        <v>1269</v>
      </c>
      <c r="C628" s="195" t="s">
        <v>1121</v>
      </c>
      <c r="D628" s="195" t="s">
        <v>686</v>
      </c>
      <c r="E628" s="196">
        <v>2043.94</v>
      </c>
      <c r="F628" s="159">
        <v>2043.94</v>
      </c>
      <c r="G628" s="157">
        <v>2449.1799999999998</v>
      </c>
      <c r="H628" s="196">
        <v>4443.9399999999996</v>
      </c>
      <c r="I628" s="198">
        <v>2400</v>
      </c>
      <c r="K628" s="170" t="str">
        <f t="shared" si="18"/>
        <v>518</v>
      </c>
    </row>
    <row r="629" spans="1:11" x14ac:dyDescent="0.3">
      <c r="A629" s="194">
        <v>518510</v>
      </c>
      <c r="B629" s="195" t="s">
        <v>1270</v>
      </c>
      <c r="C629" s="195" t="s">
        <v>1121</v>
      </c>
      <c r="D629" s="195" t="s">
        <v>686</v>
      </c>
      <c r="E629" s="196">
        <v>21203.54</v>
      </c>
      <c r="F629" s="159">
        <v>21203.54</v>
      </c>
      <c r="G629" s="158">
        <v>23603.54</v>
      </c>
      <c r="H629" s="196">
        <v>34983.54</v>
      </c>
      <c r="I629" s="198">
        <v>13780</v>
      </c>
      <c r="K629" s="170" t="str">
        <f t="shared" si="18"/>
        <v>518</v>
      </c>
    </row>
    <row r="630" spans="1:11" x14ac:dyDescent="0.3">
      <c r="A630" s="194">
        <v>518520</v>
      </c>
      <c r="B630" s="195" t="s">
        <v>1271</v>
      </c>
      <c r="C630" s="195" t="s">
        <v>1121</v>
      </c>
      <c r="D630" s="195" t="s">
        <v>686</v>
      </c>
      <c r="E630" s="196">
        <v>43266.55</v>
      </c>
      <c r="F630" s="159">
        <v>43266.55</v>
      </c>
      <c r="G630" s="157">
        <v>46986.55</v>
      </c>
      <c r="H630" s="196">
        <v>82080.67</v>
      </c>
      <c r="I630" s="198">
        <v>38814.120000000003</v>
      </c>
      <c r="K630" s="170" t="str">
        <f t="shared" si="18"/>
        <v>518</v>
      </c>
    </row>
    <row r="631" spans="1:11" x14ac:dyDescent="0.3">
      <c r="A631" s="194">
        <v>518530</v>
      </c>
      <c r="B631" s="195" t="s">
        <v>1272</v>
      </c>
      <c r="C631" s="195" t="s">
        <v>1121</v>
      </c>
      <c r="D631" s="195" t="s">
        <v>686</v>
      </c>
      <c r="E631" s="196">
        <v>100744.46</v>
      </c>
      <c r="F631" s="159">
        <v>100744.46</v>
      </c>
      <c r="G631" s="158">
        <v>107243.03</v>
      </c>
      <c r="H631" s="196">
        <v>142419.46</v>
      </c>
      <c r="I631" s="198">
        <v>41675</v>
      </c>
      <c r="K631" s="170" t="str">
        <f t="shared" si="18"/>
        <v>518</v>
      </c>
    </row>
    <row r="632" spans="1:11" x14ac:dyDescent="0.3">
      <c r="A632" s="194">
        <v>518550</v>
      </c>
      <c r="B632" s="195" t="s">
        <v>1273</v>
      </c>
      <c r="C632" s="195" t="s">
        <v>1121</v>
      </c>
      <c r="D632" s="195" t="s">
        <v>686</v>
      </c>
      <c r="E632" s="196">
        <v>33401.360000000001</v>
      </c>
      <c r="F632" s="159">
        <v>33401.360000000001</v>
      </c>
      <c r="G632" s="157">
        <v>39639.360000000001</v>
      </c>
      <c r="H632" s="196">
        <v>76001.36</v>
      </c>
      <c r="I632" s="198">
        <v>42600</v>
      </c>
      <c r="K632" s="170" t="str">
        <f t="shared" si="18"/>
        <v>518</v>
      </c>
    </row>
    <row r="633" spans="1:11" x14ac:dyDescent="0.3">
      <c r="A633" s="194">
        <v>518570</v>
      </c>
      <c r="B633" s="195" t="s">
        <v>1274</v>
      </c>
      <c r="C633" s="195" t="s">
        <v>1121</v>
      </c>
      <c r="D633" s="195" t="s">
        <v>686</v>
      </c>
      <c r="E633" s="196">
        <v>0</v>
      </c>
      <c r="F633" s="159">
        <v>0</v>
      </c>
      <c r="G633" s="158">
        <v>0</v>
      </c>
      <c r="H633" s="196">
        <v>0</v>
      </c>
      <c r="I633" s="198">
        <v>0</v>
      </c>
      <c r="K633" s="170" t="str">
        <f t="shared" si="18"/>
        <v>518</v>
      </c>
    </row>
    <row r="634" spans="1:11" x14ac:dyDescent="0.3">
      <c r="A634" s="194">
        <v>518590</v>
      </c>
      <c r="B634" s="195" t="s">
        <v>1275</v>
      </c>
      <c r="C634" s="195" t="s">
        <v>1121</v>
      </c>
      <c r="D634" s="195" t="s">
        <v>686</v>
      </c>
      <c r="E634" s="196">
        <v>9391.4</v>
      </c>
      <c r="F634" s="159">
        <v>9391.4</v>
      </c>
      <c r="G634" s="157">
        <v>10563.76</v>
      </c>
      <c r="H634" s="196">
        <v>13111.4</v>
      </c>
      <c r="I634" s="198">
        <v>3720</v>
      </c>
      <c r="K634" s="170" t="str">
        <f t="shared" si="18"/>
        <v>518</v>
      </c>
    </row>
    <row r="635" spans="1:11" x14ac:dyDescent="0.3">
      <c r="A635" s="194">
        <v>518591</v>
      </c>
      <c r="B635" s="195" t="s">
        <v>1276</v>
      </c>
      <c r="C635" s="195" t="s">
        <v>1121</v>
      </c>
      <c r="D635" s="195" t="s">
        <v>686</v>
      </c>
      <c r="E635" s="196">
        <v>0</v>
      </c>
      <c r="F635" s="159">
        <v>0</v>
      </c>
      <c r="G635" s="158">
        <v>0</v>
      </c>
      <c r="H635" s="196">
        <v>0</v>
      </c>
      <c r="I635" s="198">
        <v>0</v>
      </c>
      <c r="K635" s="170" t="str">
        <f t="shared" si="18"/>
        <v>518</v>
      </c>
    </row>
    <row r="636" spans="1:11" x14ac:dyDescent="0.3">
      <c r="A636" s="194">
        <v>518592</v>
      </c>
      <c r="B636" s="195" t="s">
        <v>1277</v>
      </c>
      <c r="C636" s="195" t="s">
        <v>1121</v>
      </c>
      <c r="D636" s="195" t="s">
        <v>686</v>
      </c>
      <c r="E636" s="196">
        <v>319210.96000000002</v>
      </c>
      <c r="F636" s="159">
        <v>319210.96000000002</v>
      </c>
      <c r="G636" s="157">
        <v>339408.96</v>
      </c>
      <c r="H636" s="196">
        <v>614044.96</v>
      </c>
      <c r="I636" s="198">
        <v>294834</v>
      </c>
      <c r="K636" s="170" t="str">
        <f t="shared" si="18"/>
        <v>518</v>
      </c>
    </row>
    <row r="637" spans="1:11" x14ac:dyDescent="0.3">
      <c r="A637" s="194">
        <v>518593</v>
      </c>
      <c r="B637" s="195" t="s">
        <v>1278</v>
      </c>
      <c r="C637" s="195" t="s">
        <v>1121</v>
      </c>
      <c r="D637" s="195" t="s">
        <v>686</v>
      </c>
      <c r="E637" s="196">
        <v>57518.92</v>
      </c>
      <c r="F637" s="159">
        <v>57518.92</v>
      </c>
      <c r="G637" s="158">
        <v>63171.92</v>
      </c>
      <c r="H637" s="196">
        <v>124518.92</v>
      </c>
      <c r="I637" s="198">
        <v>67000</v>
      </c>
      <c r="K637" s="170" t="str">
        <f t="shared" si="18"/>
        <v>518</v>
      </c>
    </row>
    <row r="638" spans="1:11" x14ac:dyDescent="0.3">
      <c r="A638" s="194">
        <v>518610</v>
      </c>
      <c r="B638" s="195" t="s">
        <v>1279</v>
      </c>
      <c r="C638" s="195" t="s">
        <v>1121</v>
      </c>
      <c r="D638" s="195" t="s">
        <v>686</v>
      </c>
      <c r="E638" s="196">
        <v>3967</v>
      </c>
      <c r="F638" s="159">
        <v>3967</v>
      </c>
      <c r="G638" s="157">
        <v>4717</v>
      </c>
      <c r="H638" s="196">
        <v>3967</v>
      </c>
      <c r="I638" s="198">
        <v>0</v>
      </c>
      <c r="K638" s="170" t="str">
        <f t="shared" si="18"/>
        <v>518</v>
      </c>
    </row>
    <row r="639" spans="1:11" x14ac:dyDescent="0.3">
      <c r="A639" s="194">
        <v>518620</v>
      </c>
      <c r="B639" s="195" t="s">
        <v>1280</v>
      </c>
      <c r="C639" s="195" t="s">
        <v>1121</v>
      </c>
      <c r="D639" s="195" t="s">
        <v>686</v>
      </c>
      <c r="E639" s="196">
        <v>329550</v>
      </c>
      <c r="F639" s="159">
        <v>329550</v>
      </c>
      <c r="G639" s="158">
        <v>344630</v>
      </c>
      <c r="H639" s="196">
        <v>618600</v>
      </c>
      <c r="I639" s="198">
        <v>289050</v>
      </c>
      <c r="K639" s="170" t="str">
        <f t="shared" si="18"/>
        <v>518</v>
      </c>
    </row>
    <row r="640" spans="1:11" x14ac:dyDescent="0.3">
      <c r="A640" s="194">
        <v>518630</v>
      </c>
      <c r="B640" s="195" t="s">
        <v>1281</v>
      </c>
      <c r="C640" s="195" t="s">
        <v>1121</v>
      </c>
      <c r="D640" s="195" t="s">
        <v>686</v>
      </c>
      <c r="E640" s="196">
        <v>12310.72</v>
      </c>
      <c r="F640" s="159">
        <v>12310.72</v>
      </c>
      <c r="G640" s="157">
        <v>12310.72</v>
      </c>
      <c r="H640" s="196">
        <v>17466.080000000002</v>
      </c>
      <c r="I640" s="198">
        <v>5155.3599999999997</v>
      </c>
      <c r="K640" s="170" t="str">
        <f t="shared" si="18"/>
        <v>518</v>
      </c>
    </row>
    <row r="641" spans="1:11" x14ac:dyDescent="0.3">
      <c r="A641" s="194">
        <v>518640</v>
      </c>
      <c r="B641" s="195" t="s">
        <v>1282</v>
      </c>
      <c r="C641" s="195" t="s">
        <v>1121</v>
      </c>
      <c r="D641" s="195" t="s">
        <v>686</v>
      </c>
      <c r="E641" s="196">
        <v>112620.45</v>
      </c>
      <c r="F641" s="159">
        <v>112620.45</v>
      </c>
      <c r="G641" s="158">
        <v>123318.37</v>
      </c>
      <c r="H641" s="196">
        <v>243896.95999999999</v>
      </c>
      <c r="I641" s="198">
        <v>131276.51</v>
      </c>
      <c r="K641" s="170" t="str">
        <f t="shared" si="18"/>
        <v>518</v>
      </c>
    </row>
    <row r="642" spans="1:11" x14ac:dyDescent="0.3">
      <c r="A642" s="194">
        <v>518641</v>
      </c>
      <c r="B642" s="195" t="s">
        <v>1283</v>
      </c>
      <c r="C642" s="195" t="s">
        <v>1121</v>
      </c>
      <c r="D642" s="195" t="s">
        <v>686</v>
      </c>
      <c r="E642" s="196">
        <v>0</v>
      </c>
      <c r="F642" s="159">
        <v>0</v>
      </c>
      <c r="G642" s="157">
        <v>0</v>
      </c>
      <c r="H642" s="196">
        <v>2720.81</v>
      </c>
      <c r="I642" s="198">
        <v>2720.81</v>
      </c>
      <c r="K642" s="170" t="str">
        <f t="shared" si="18"/>
        <v>518</v>
      </c>
    </row>
    <row r="643" spans="1:11" x14ac:dyDescent="0.3">
      <c r="A643" s="194">
        <v>518642</v>
      </c>
      <c r="B643" s="195" t="s">
        <v>1284</v>
      </c>
      <c r="C643" s="195" t="s">
        <v>1121</v>
      </c>
      <c r="D643" s="195" t="s">
        <v>686</v>
      </c>
      <c r="E643" s="196">
        <v>8091.73</v>
      </c>
      <c r="F643" s="159">
        <v>8091.73</v>
      </c>
      <c r="G643" s="158">
        <v>8898.73</v>
      </c>
      <c r="H643" s="196">
        <v>9904.33</v>
      </c>
      <c r="I643" s="198">
        <v>1812.6</v>
      </c>
      <c r="K643" s="170" t="str">
        <f t="shared" ref="K643:K706" si="19">IF(A643&lt;100000,CONCATENATE(0,LEFT(A643,2)),LEFT(A643,3))</f>
        <v>518</v>
      </c>
    </row>
    <row r="644" spans="1:11" x14ac:dyDescent="0.3">
      <c r="A644" s="194">
        <v>518643</v>
      </c>
      <c r="B644" s="195" t="s">
        <v>1285</v>
      </c>
      <c r="C644" s="195" t="s">
        <v>1121</v>
      </c>
      <c r="D644" s="195" t="s">
        <v>686</v>
      </c>
      <c r="E644" s="196">
        <v>0</v>
      </c>
      <c r="F644" s="159">
        <v>0</v>
      </c>
      <c r="G644" s="157">
        <v>0</v>
      </c>
      <c r="H644" s="196">
        <v>0</v>
      </c>
      <c r="I644" s="198">
        <v>0</v>
      </c>
      <c r="K644" s="170" t="str">
        <f t="shared" si="19"/>
        <v>518</v>
      </c>
    </row>
    <row r="645" spans="1:11" x14ac:dyDescent="0.3">
      <c r="A645" s="194">
        <v>518644</v>
      </c>
      <c r="B645" s="195" t="s">
        <v>1286</v>
      </c>
      <c r="C645" s="195" t="s">
        <v>1121</v>
      </c>
      <c r="D645" s="195" t="s">
        <v>686</v>
      </c>
      <c r="E645" s="196">
        <v>602.08000000000004</v>
      </c>
      <c r="F645" s="159">
        <v>602.08000000000004</v>
      </c>
      <c r="G645" s="158">
        <v>602.08000000000004</v>
      </c>
      <c r="H645" s="196">
        <v>889.08</v>
      </c>
      <c r="I645" s="198">
        <v>287</v>
      </c>
      <c r="K645" s="170" t="str">
        <f t="shared" si="19"/>
        <v>518</v>
      </c>
    </row>
    <row r="646" spans="1:11" x14ac:dyDescent="0.3">
      <c r="A646" s="194">
        <v>518650</v>
      </c>
      <c r="B646" s="195" t="s">
        <v>1287</v>
      </c>
      <c r="C646" s="195" t="s">
        <v>1121</v>
      </c>
      <c r="D646" s="195" t="s">
        <v>686</v>
      </c>
      <c r="E646" s="196">
        <v>21021.55</v>
      </c>
      <c r="F646" s="159">
        <v>21021.55</v>
      </c>
      <c r="G646" s="157">
        <v>24180.11</v>
      </c>
      <c r="H646" s="196">
        <v>21021.55</v>
      </c>
      <c r="I646" s="198">
        <v>0</v>
      </c>
      <c r="K646" s="170" t="str">
        <f t="shared" si="19"/>
        <v>518</v>
      </c>
    </row>
    <row r="647" spans="1:11" x14ac:dyDescent="0.3">
      <c r="A647" s="194">
        <v>518660</v>
      </c>
      <c r="B647" s="195" t="s">
        <v>1288</v>
      </c>
      <c r="C647" s="195" t="s">
        <v>1121</v>
      </c>
      <c r="D647" s="195" t="s">
        <v>686</v>
      </c>
      <c r="E647" s="196">
        <v>46.24</v>
      </c>
      <c r="F647" s="159">
        <v>46.24</v>
      </c>
      <c r="G647" s="158">
        <v>46.24</v>
      </c>
      <c r="H647" s="196">
        <v>46.24</v>
      </c>
      <c r="I647" s="198">
        <v>0</v>
      </c>
      <c r="K647" s="170" t="str">
        <f t="shared" si="19"/>
        <v>518</v>
      </c>
    </row>
    <row r="648" spans="1:11" x14ac:dyDescent="0.3">
      <c r="A648" s="194">
        <v>518670</v>
      </c>
      <c r="B648" s="195" t="s">
        <v>1289</v>
      </c>
      <c r="C648" s="195" t="s">
        <v>1121</v>
      </c>
      <c r="D648" s="195" t="s">
        <v>686</v>
      </c>
      <c r="E648" s="196">
        <v>19878.91</v>
      </c>
      <c r="F648" s="159">
        <v>19878.91</v>
      </c>
      <c r="G648" s="157">
        <v>19878.91</v>
      </c>
      <c r="H648" s="196">
        <v>31713.41</v>
      </c>
      <c r="I648" s="198">
        <v>11834.5</v>
      </c>
      <c r="K648" s="170" t="str">
        <f t="shared" si="19"/>
        <v>518</v>
      </c>
    </row>
    <row r="649" spans="1:11" x14ac:dyDescent="0.3">
      <c r="A649" s="194">
        <v>518680</v>
      </c>
      <c r="B649" s="195" t="s">
        <v>1290</v>
      </c>
      <c r="C649" s="195" t="s">
        <v>1121</v>
      </c>
      <c r="D649" s="195" t="s">
        <v>686</v>
      </c>
      <c r="E649" s="196">
        <v>0</v>
      </c>
      <c r="F649" s="159">
        <v>0</v>
      </c>
      <c r="G649" s="158">
        <v>0</v>
      </c>
      <c r="H649" s="196">
        <v>0</v>
      </c>
      <c r="I649" s="198">
        <v>0</v>
      </c>
      <c r="K649" s="170" t="str">
        <f t="shared" si="19"/>
        <v>518</v>
      </c>
    </row>
    <row r="650" spans="1:11" x14ac:dyDescent="0.3">
      <c r="A650" s="194">
        <v>518685</v>
      </c>
      <c r="B650" s="195" t="s">
        <v>1291</v>
      </c>
      <c r="C650" s="195" t="s">
        <v>1121</v>
      </c>
      <c r="D650" s="195" t="s">
        <v>686</v>
      </c>
      <c r="E650" s="196">
        <v>77485.350000000006</v>
      </c>
      <c r="F650" s="159">
        <v>77485.350000000006</v>
      </c>
      <c r="G650" s="157">
        <v>83871.22</v>
      </c>
      <c r="H650" s="196">
        <v>99459.81</v>
      </c>
      <c r="I650" s="198">
        <v>21974.46</v>
      </c>
      <c r="K650" s="170" t="str">
        <f t="shared" si="19"/>
        <v>518</v>
      </c>
    </row>
    <row r="651" spans="1:11" x14ac:dyDescent="0.3">
      <c r="A651" s="194">
        <v>518690</v>
      </c>
      <c r="B651" s="195" t="s">
        <v>1292</v>
      </c>
      <c r="C651" s="195" t="s">
        <v>1121</v>
      </c>
      <c r="D651" s="195" t="s">
        <v>686</v>
      </c>
      <c r="E651" s="196">
        <v>21297.27</v>
      </c>
      <c r="F651" s="159">
        <v>21297.27</v>
      </c>
      <c r="G651" s="158">
        <v>22889.27</v>
      </c>
      <c r="H651" s="196">
        <v>23674.67</v>
      </c>
      <c r="I651" s="198">
        <v>2377.4</v>
      </c>
      <c r="K651" s="170" t="str">
        <f t="shared" si="19"/>
        <v>518</v>
      </c>
    </row>
    <row r="652" spans="1:11" x14ac:dyDescent="0.3">
      <c r="A652" s="194">
        <v>518710</v>
      </c>
      <c r="B652" s="195" t="s">
        <v>1293</v>
      </c>
      <c r="C652" s="195" t="s">
        <v>1121</v>
      </c>
      <c r="D652" s="195" t="s">
        <v>686</v>
      </c>
      <c r="E652" s="196">
        <v>0</v>
      </c>
      <c r="F652" s="159">
        <v>0</v>
      </c>
      <c r="G652" s="157">
        <v>0</v>
      </c>
      <c r="H652" s="196">
        <v>0</v>
      </c>
      <c r="I652" s="198">
        <v>0</v>
      </c>
      <c r="K652" s="170" t="str">
        <f t="shared" si="19"/>
        <v>518</v>
      </c>
    </row>
    <row r="653" spans="1:11" x14ac:dyDescent="0.3">
      <c r="A653" s="194">
        <v>518720</v>
      </c>
      <c r="B653" s="195" t="s">
        <v>1294</v>
      </c>
      <c r="C653" s="195" t="s">
        <v>1121</v>
      </c>
      <c r="D653" s="195" t="s">
        <v>686</v>
      </c>
      <c r="E653" s="196">
        <v>1074.7</v>
      </c>
      <c r="F653" s="159">
        <v>1074.7</v>
      </c>
      <c r="G653" s="158">
        <v>1267.8499999999999</v>
      </c>
      <c r="H653" s="196">
        <v>1074.7</v>
      </c>
      <c r="I653" s="198">
        <v>0</v>
      </c>
      <c r="K653" s="170" t="str">
        <f t="shared" si="19"/>
        <v>518</v>
      </c>
    </row>
    <row r="654" spans="1:11" x14ac:dyDescent="0.3">
      <c r="A654" s="194">
        <v>518721</v>
      </c>
      <c r="B654" s="195" t="s">
        <v>1295</v>
      </c>
      <c r="C654" s="195" t="s">
        <v>1121</v>
      </c>
      <c r="D654" s="195" t="s">
        <v>686</v>
      </c>
      <c r="E654" s="196">
        <v>750</v>
      </c>
      <c r="F654" s="159">
        <v>750</v>
      </c>
      <c r="G654" s="157">
        <v>750</v>
      </c>
      <c r="H654" s="196">
        <v>750</v>
      </c>
      <c r="I654" s="198">
        <v>0</v>
      </c>
      <c r="K654" s="170" t="str">
        <f t="shared" si="19"/>
        <v>518</v>
      </c>
    </row>
    <row r="655" spans="1:11" x14ac:dyDescent="0.3">
      <c r="A655" s="194">
        <v>518724</v>
      </c>
      <c r="B655" s="195" t="s">
        <v>1296</v>
      </c>
      <c r="C655" s="195" t="s">
        <v>1121</v>
      </c>
      <c r="D655" s="195" t="s">
        <v>686</v>
      </c>
      <c r="E655" s="196">
        <v>80977.429999999993</v>
      </c>
      <c r="F655" s="159">
        <v>80977.429999999993</v>
      </c>
      <c r="G655" s="158">
        <v>80977.429999999993</v>
      </c>
      <c r="H655" s="196">
        <v>80977.429999999993</v>
      </c>
      <c r="I655" s="198">
        <v>0</v>
      </c>
      <c r="K655" s="170" t="str">
        <f t="shared" si="19"/>
        <v>518</v>
      </c>
    </row>
    <row r="656" spans="1:11" x14ac:dyDescent="0.3">
      <c r="A656" s="194">
        <v>518725</v>
      </c>
      <c r="B656" s="195" t="s">
        <v>1297</v>
      </c>
      <c r="C656" s="195" t="s">
        <v>1121</v>
      </c>
      <c r="D656" s="195" t="s">
        <v>686</v>
      </c>
      <c r="E656" s="196">
        <v>0</v>
      </c>
      <c r="F656" s="159">
        <v>0</v>
      </c>
      <c r="G656" s="157">
        <v>0</v>
      </c>
      <c r="H656" s="196">
        <v>0</v>
      </c>
      <c r="I656" s="198">
        <v>0</v>
      </c>
      <c r="K656" s="170" t="str">
        <f t="shared" si="19"/>
        <v>518</v>
      </c>
    </row>
    <row r="657" spans="1:11" x14ac:dyDescent="0.3">
      <c r="A657" s="194">
        <v>518728</v>
      </c>
      <c r="B657" s="195" t="s">
        <v>1298</v>
      </c>
      <c r="C657" s="195" t="s">
        <v>1121</v>
      </c>
      <c r="D657" s="195" t="s">
        <v>686</v>
      </c>
      <c r="E657" s="196">
        <v>0</v>
      </c>
      <c r="F657" s="159">
        <v>0</v>
      </c>
      <c r="G657" s="158">
        <v>0</v>
      </c>
      <c r="H657" s="196">
        <v>0</v>
      </c>
      <c r="I657" s="198">
        <v>0</v>
      </c>
      <c r="K657" s="170" t="str">
        <f t="shared" si="19"/>
        <v>518</v>
      </c>
    </row>
    <row r="658" spans="1:11" x14ac:dyDescent="0.3">
      <c r="A658" s="194">
        <v>518729</v>
      </c>
      <c r="B658" s="195" t="s">
        <v>1299</v>
      </c>
      <c r="C658" s="195" t="s">
        <v>1121</v>
      </c>
      <c r="D658" s="195" t="s">
        <v>686</v>
      </c>
      <c r="E658" s="196">
        <v>0</v>
      </c>
      <c r="F658" s="159">
        <v>0</v>
      </c>
      <c r="G658" s="157">
        <v>0</v>
      </c>
      <c r="H658" s="196">
        <v>0</v>
      </c>
      <c r="I658" s="198">
        <v>0</v>
      </c>
      <c r="K658" s="170" t="str">
        <f t="shared" si="19"/>
        <v>518</v>
      </c>
    </row>
    <row r="659" spans="1:11" x14ac:dyDescent="0.3">
      <c r="A659" s="194">
        <v>518733</v>
      </c>
      <c r="B659" s="195" t="s">
        <v>1300</v>
      </c>
      <c r="C659" s="195" t="s">
        <v>1121</v>
      </c>
      <c r="D659" s="195" t="s">
        <v>686</v>
      </c>
      <c r="E659" s="196">
        <v>27617.05</v>
      </c>
      <c r="F659" s="159">
        <v>27617.05</v>
      </c>
      <c r="G659" s="158">
        <v>29553.13</v>
      </c>
      <c r="H659" s="196">
        <v>27619.05</v>
      </c>
      <c r="I659" s="198">
        <v>2</v>
      </c>
      <c r="K659" s="170" t="str">
        <f t="shared" si="19"/>
        <v>518</v>
      </c>
    </row>
    <row r="660" spans="1:11" x14ac:dyDescent="0.3">
      <c r="A660" s="194">
        <v>518740</v>
      </c>
      <c r="B660" s="195" t="s">
        <v>1301</v>
      </c>
      <c r="C660" s="195" t="s">
        <v>1121</v>
      </c>
      <c r="D660" s="195" t="s">
        <v>690</v>
      </c>
      <c r="E660" s="196">
        <v>108594.48</v>
      </c>
      <c r="F660" s="159">
        <v>108594.48</v>
      </c>
      <c r="G660" s="157">
        <v>110530.56</v>
      </c>
      <c r="H660" s="196">
        <v>108596.48</v>
      </c>
      <c r="I660" s="198">
        <v>2</v>
      </c>
      <c r="K660" s="170" t="str">
        <f t="shared" si="19"/>
        <v>518</v>
      </c>
    </row>
    <row r="661" spans="1:11" x14ac:dyDescent="0.3">
      <c r="A661" s="194">
        <v>518741</v>
      </c>
      <c r="B661" s="195" t="s">
        <v>1302</v>
      </c>
      <c r="C661" s="195" t="s">
        <v>1121</v>
      </c>
      <c r="D661" s="195" t="s">
        <v>686</v>
      </c>
      <c r="E661" s="196">
        <v>6099.4</v>
      </c>
      <c r="F661" s="159">
        <v>6099.4</v>
      </c>
      <c r="G661" s="158">
        <v>6193.15</v>
      </c>
      <c r="H661" s="196">
        <v>7094.4</v>
      </c>
      <c r="I661" s="198">
        <v>995</v>
      </c>
      <c r="K661" s="170" t="str">
        <f t="shared" si="19"/>
        <v>518</v>
      </c>
    </row>
    <row r="662" spans="1:11" x14ac:dyDescent="0.3">
      <c r="A662" s="194">
        <v>518750</v>
      </c>
      <c r="B662" s="195" t="s">
        <v>1303</v>
      </c>
      <c r="C662" s="195" t="s">
        <v>1121</v>
      </c>
      <c r="D662" s="195" t="s">
        <v>686</v>
      </c>
      <c r="E662" s="196">
        <v>2955.26</v>
      </c>
      <c r="F662" s="159">
        <v>2955.26</v>
      </c>
      <c r="G662" s="157">
        <v>3135.26</v>
      </c>
      <c r="H662" s="196">
        <v>4955.26</v>
      </c>
      <c r="I662" s="198">
        <v>2000</v>
      </c>
      <c r="K662" s="170" t="str">
        <f t="shared" si="19"/>
        <v>518</v>
      </c>
    </row>
    <row r="663" spans="1:11" x14ac:dyDescent="0.3">
      <c r="A663" s="194">
        <v>518760</v>
      </c>
      <c r="B663" s="195" t="s">
        <v>1304</v>
      </c>
      <c r="C663" s="195" t="s">
        <v>1121</v>
      </c>
      <c r="D663" s="195" t="s">
        <v>686</v>
      </c>
      <c r="E663" s="196">
        <v>53618.37</v>
      </c>
      <c r="F663" s="159">
        <v>53618.37</v>
      </c>
      <c r="G663" s="158">
        <v>61334.09</v>
      </c>
      <c r="H663" s="196">
        <v>94593.37</v>
      </c>
      <c r="I663" s="198">
        <v>40975</v>
      </c>
      <c r="K663" s="170" t="str">
        <f t="shared" si="19"/>
        <v>518</v>
      </c>
    </row>
    <row r="664" spans="1:11" x14ac:dyDescent="0.3">
      <c r="A664" s="194">
        <v>518770</v>
      </c>
      <c r="B664" s="195" t="s">
        <v>1305</v>
      </c>
      <c r="C664" s="195" t="s">
        <v>1121</v>
      </c>
      <c r="D664" s="195" t="s">
        <v>686</v>
      </c>
      <c r="E664" s="196">
        <v>19454.48</v>
      </c>
      <c r="F664" s="159">
        <v>19454.48</v>
      </c>
      <c r="G664" s="157">
        <v>20478.91</v>
      </c>
      <c r="H664" s="196">
        <v>19454.48</v>
      </c>
      <c r="I664" s="198">
        <v>0</v>
      </c>
      <c r="K664" s="170" t="str">
        <f t="shared" si="19"/>
        <v>518</v>
      </c>
    </row>
    <row r="665" spans="1:11" x14ac:dyDescent="0.3">
      <c r="A665" s="194">
        <v>518775</v>
      </c>
      <c r="B665" s="195" t="s">
        <v>1306</v>
      </c>
      <c r="C665" s="195" t="s">
        <v>1121</v>
      </c>
      <c r="D665" s="195" t="s">
        <v>686</v>
      </c>
      <c r="E665" s="196">
        <v>62246.53</v>
      </c>
      <c r="F665" s="159">
        <v>62246.53</v>
      </c>
      <c r="G665" s="158">
        <v>72517.39</v>
      </c>
      <c r="H665" s="196">
        <v>112546.53</v>
      </c>
      <c r="I665" s="198">
        <v>50300</v>
      </c>
      <c r="K665" s="170" t="str">
        <f t="shared" si="19"/>
        <v>518</v>
      </c>
    </row>
    <row r="666" spans="1:11" x14ac:dyDescent="0.3">
      <c r="A666" s="194">
        <v>518790</v>
      </c>
      <c r="B666" s="195" t="s">
        <v>1307</v>
      </c>
      <c r="C666" s="195" t="s">
        <v>1121</v>
      </c>
      <c r="D666" s="195" t="s">
        <v>686</v>
      </c>
      <c r="E666" s="196">
        <v>17122.84</v>
      </c>
      <c r="F666" s="159">
        <v>17122.84</v>
      </c>
      <c r="G666" s="157">
        <v>18192.84</v>
      </c>
      <c r="H666" s="196">
        <v>17452.84</v>
      </c>
      <c r="I666" s="198">
        <v>330</v>
      </c>
      <c r="K666" s="170" t="str">
        <f t="shared" si="19"/>
        <v>518</v>
      </c>
    </row>
    <row r="667" spans="1:11" x14ac:dyDescent="0.3">
      <c r="A667" s="194">
        <v>518810</v>
      </c>
      <c r="B667" s="195" t="s">
        <v>1308</v>
      </c>
      <c r="C667" s="195" t="s">
        <v>1121</v>
      </c>
      <c r="D667" s="195" t="s">
        <v>686</v>
      </c>
      <c r="E667" s="196">
        <v>449773.87</v>
      </c>
      <c r="F667" s="159">
        <v>449773.87</v>
      </c>
      <c r="G667" s="158">
        <v>472204.57</v>
      </c>
      <c r="H667" s="196">
        <v>450027.07</v>
      </c>
      <c r="I667" s="198">
        <v>253.2</v>
      </c>
      <c r="K667" s="170" t="str">
        <f t="shared" si="19"/>
        <v>518</v>
      </c>
    </row>
    <row r="668" spans="1:11" x14ac:dyDescent="0.3">
      <c r="A668" s="194">
        <v>518830</v>
      </c>
      <c r="B668" s="195" t="s">
        <v>1309</v>
      </c>
      <c r="C668" s="195" t="s">
        <v>1121</v>
      </c>
      <c r="D668" s="195" t="s">
        <v>686</v>
      </c>
      <c r="E668" s="196">
        <v>96262</v>
      </c>
      <c r="F668" s="159">
        <v>96262</v>
      </c>
      <c r="G668" s="157">
        <v>102392</v>
      </c>
      <c r="H668" s="196">
        <v>96262</v>
      </c>
      <c r="I668" s="198">
        <v>0</v>
      </c>
      <c r="K668" s="170" t="str">
        <f t="shared" si="19"/>
        <v>518</v>
      </c>
    </row>
    <row r="669" spans="1:11" x14ac:dyDescent="0.3">
      <c r="A669" s="194">
        <v>518840</v>
      </c>
      <c r="B669" s="195" t="s">
        <v>1310</v>
      </c>
      <c r="C669" s="195" t="s">
        <v>1121</v>
      </c>
      <c r="D669" s="195" t="s">
        <v>686</v>
      </c>
      <c r="E669" s="196">
        <v>0</v>
      </c>
      <c r="F669" s="159">
        <v>0</v>
      </c>
      <c r="G669" s="158">
        <v>0</v>
      </c>
      <c r="H669" s="196">
        <v>0</v>
      </c>
      <c r="I669" s="198">
        <v>0</v>
      </c>
      <c r="K669" s="170" t="str">
        <f t="shared" si="19"/>
        <v>518</v>
      </c>
    </row>
    <row r="670" spans="1:11" x14ac:dyDescent="0.3">
      <c r="A670" s="194">
        <v>518996</v>
      </c>
      <c r="B670" s="195" t="s">
        <v>1311</v>
      </c>
      <c r="C670" s="195" t="s">
        <v>1121</v>
      </c>
      <c r="D670" s="195" t="s">
        <v>686</v>
      </c>
      <c r="E670" s="196">
        <v>4595.1000000000004</v>
      </c>
      <c r="F670" s="159">
        <v>4595.1000000000004</v>
      </c>
      <c r="G670" s="157">
        <v>6089.42</v>
      </c>
      <c r="H670" s="196">
        <v>4595.1000000000004</v>
      </c>
      <c r="I670" s="198">
        <v>0</v>
      </c>
      <c r="K670" s="170" t="str">
        <f t="shared" si="19"/>
        <v>518</v>
      </c>
    </row>
    <row r="671" spans="1:11" x14ac:dyDescent="0.3">
      <c r="A671" s="194">
        <v>518997</v>
      </c>
      <c r="B671" s="195" t="s">
        <v>1312</v>
      </c>
      <c r="C671" s="195" t="s">
        <v>1121</v>
      </c>
      <c r="D671" s="195" t="s">
        <v>686</v>
      </c>
      <c r="E671" s="196">
        <v>0</v>
      </c>
      <c r="F671" s="159">
        <v>0</v>
      </c>
      <c r="G671" s="158">
        <v>0</v>
      </c>
      <c r="H671" s="196">
        <v>1504.67</v>
      </c>
      <c r="I671" s="198">
        <v>1504.67</v>
      </c>
      <c r="K671" s="170" t="str">
        <f t="shared" si="19"/>
        <v>518</v>
      </c>
    </row>
    <row r="672" spans="1:11" x14ac:dyDescent="0.3">
      <c r="A672" s="194">
        <v>518998</v>
      </c>
      <c r="B672" s="195" t="s">
        <v>1313</v>
      </c>
      <c r="C672" s="195" t="s">
        <v>1121</v>
      </c>
      <c r="D672" s="195" t="s">
        <v>690</v>
      </c>
      <c r="E672" s="196">
        <v>2774061.06</v>
      </c>
      <c r="F672" s="159">
        <v>2774061.06</v>
      </c>
      <c r="G672" s="157">
        <v>2977387.97</v>
      </c>
      <c r="H672" s="196">
        <v>3918871.33</v>
      </c>
      <c r="I672" s="198">
        <v>1144810.27</v>
      </c>
      <c r="K672" s="170" t="str">
        <f t="shared" si="19"/>
        <v>518</v>
      </c>
    </row>
    <row r="673" spans="1:11" x14ac:dyDescent="0.3">
      <c r="A673" s="194">
        <v>518999</v>
      </c>
      <c r="B673" s="195" t="s">
        <v>1314</v>
      </c>
      <c r="C673" s="195" t="s">
        <v>1121</v>
      </c>
      <c r="D673" s="195" t="s">
        <v>690</v>
      </c>
      <c r="E673" s="196">
        <v>2838940.09</v>
      </c>
      <c r="F673" s="159">
        <v>2838940.09</v>
      </c>
      <c r="G673" s="158">
        <v>3045648.88</v>
      </c>
      <c r="H673" s="196">
        <v>3984229.84</v>
      </c>
      <c r="I673" s="198">
        <v>1145289.75</v>
      </c>
      <c r="K673" s="170" t="str">
        <f t="shared" si="19"/>
        <v>518</v>
      </c>
    </row>
    <row r="674" spans="1:11" x14ac:dyDescent="0.3">
      <c r="A674" s="194">
        <v>520000</v>
      </c>
      <c r="B674" s="195" t="s">
        <v>1315</v>
      </c>
      <c r="C674" s="195" t="s">
        <v>1121</v>
      </c>
      <c r="D674" s="195" t="s">
        <v>687</v>
      </c>
      <c r="E674" s="196">
        <v>0</v>
      </c>
      <c r="F674" s="159">
        <v>0</v>
      </c>
      <c r="G674" s="157">
        <v>0</v>
      </c>
      <c r="H674" s="196">
        <v>0</v>
      </c>
      <c r="I674" s="198">
        <v>0</v>
      </c>
      <c r="K674" s="170" t="str">
        <f t="shared" si="19"/>
        <v>520</v>
      </c>
    </row>
    <row r="675" spans="1:11" x14ac:dyDescent="0.3">
      <c r="A675" s="194">
        <v>521000</v>
      </c>
      <c r="B675" s="195" t="s">
        <v>1316</v>
      </c>
      <c r="C675" s="195" t="s">
        <v>1121</v>
      </c>
      <c r="D675" s="195" t="s">
        <v>687</v>
      </c>
      <c r="E675" s="196">
        <v>0</v>
      </c>
      <c r="F675" s="159">
        <v>0</v>
      </c>
      <c r="G675" s="158">
        <v>0</v>
      </c>
      <c r="H675" s="196">
        <v>0</v>
      </c>
      <c r="I675" s="198">
        <v>0</v>
      </c>
      <c r="K675" s="170" t="str">
        <f t="shared" si="19"/>
        <v>521</v>
      </c>
    </row>
    <row r="676" spans="1:11" x14ac:dyDescent="0.3">
      <c r="A676" s="194">
        <v>521100</v>
      </c>
      <c r="B676" s="195" t="s">
        <v>1317</v>
      </c>
      <c r="C676" s="195" t="s">
        <v>1121</v>
      </c>
      <c r="D676" s="195" t="s">
        <v>686</v>
      </c>
      <c r="E676" s="196">
        <v>1886183.4</v>
      </c>
      <c r="F676" s="159">
        <v>1886183.4</v>
      </c>
      <c r="G676" s="157">
        <v>2157296.61</v>
      </c>
      <c r="H676" s="196">
        <v>1950263.38</v>
      </c>
      <c r="I676" s="198">
        <v>64079.98</v>
      </c>
      <c r="K676" s="170" t="str">
        <f t="shared" si="19"/>
        <v>521</v>
      </c>
    </row>
    <row r="677" spans="1:11" x14ac:dyDescent="0.3">
      <c r="A677" s="194">
        <v>521200</v>
      </c>
      <c r="B677" s="195" t="s">
        <v>1318</v>
      </c>
      <c r="C677" s="195" t="s">
        <v>1121</v>
      </c>
      <c r="D677" s="195" t="s">
        <v>686</v>
      </c>
      <c r="E677" s="196">
        <v>0</v>
      </c>
      <c r="F677" s="159">
        <v>0</v>
      </c>
      <c r="G677" s="158">
        <v>0</v>
      </c>
      <c r="H677" s="196">
        <v>0</v>
      </c>
      <c r="I677" s="198">
        <v>0</v>
      </c>
      <c r="K677" s="170" t="str">
        <f t="shared" si="19"/>
        <v>521</v>
      </c>
    </row>
    <row r="678" spans="1:11" x14ac:dyDescent="0.3">
      <c r="A678" s="194">
        <v>521300</v>
      </c>
      <c r="B678" s="195" t="s">
        <v>1319</v>
      </c>
      <c r="C678" s="195" t="s">
        <v>1121</v>
      </c>
      <c r="D678" s="195" t="s">
        <v>686</v>
      </c>
      <c r="E678" s="196">
        <v>0</v>
      </c>
      <c r="F678" s="159">
        <v>0</v>
      </c>
      <c r="G678" s="157">
        <v>0</v>
      </c>
      <c r="H678" s="196">
        <v>0</v>
      </c>
      <c r="I678" s="198">
        <v>0</v>
      </c>
      <c r="K678" s="170" t="str">
        <f t="shared" si="19"/>
        <v>521</v>
      </c>
    </row>
    <row r="679" spans="1:11" x14ac:dyDescent="0.3">
      <c r="A679" s="194">
        <v>521350</v>
      </c>
      <c r="B679" s="195" t="s">
        <v>200</v>
      </c>
      <c r="C679" s="195" t="s">
        <v>1121</v>
      </c>
      <c r="D679" s="195" t="s">
        <v>686</v>
      </c>
      <c r="E679" s="196">
        <v>8015</v>
      </c>
      <c r="F679" s="159">
        <v>8015</v>
      </c>
      <c r="G679" s="158">
        <v>-120885</v>
      </c>
      <c r="H679" s="196">
        <v>313104</v>
      </c>
      <c r="I679" s="198">
        <v>305089</v>
      </c>
      <c r="K679" s="170" t="str">
        <f t="shared" si="19"/>
        <v>521</v>
      </c>
    </row>
    <row r="680" spans="1:11" x14ac:dyDescent="0.3">
      <c r="A680" s="194">
        <v>521400</v>
      </c>
      <c r="B680" s="195" t="s">
        <v>1320</v>
      </c>
      <c r="C680" s="195" t="s">
        <v>1121</v>
      </c>
      <c r="D680" s="195" t="s">
        <v>686</v>
      </c>
      <c r="E680" s="196">
        <v>476163.03</v>
      </c>
      <c r="F680" s="159">
        <v>476163.03</v>
      </c>
      <c r="G680" s="157">
        <v>506349.7</v>
      </c>
      <c r="H680" s="196">
        <v>476163.03</v>
      </c>
      <c r="I680" s="198">
        <v>0</v>
      </c>
      <c r="K680" s="170" t="str">
        <f t="shared" si="19"/>
        <v>521</v>
      </c>
    </row>
    <row r="681" spans="1:11" x14ac:dyDescent="0.3">
      <c r="A681" s="194">
        <v>521600</v>
      </c>
      <c r="B681" s="195" t="s">
        <v>1321</v>
      </c>
      <c r="C681" s="195" t="s">
        <v>1121</v>
      </c>
      <c r="D681" s="195" t="s">
        <v>686</v>
      </c>
      <c r="E681" s="196">
        <v>4149.25</v>
      </c>
      <c r="F681" s="159">
        <v>4149.25</v>
      </c>
      <c r="G681" s="158">
        <v>4149.25</v>
      </c>
      <c r="H681" s="196">
        <v>4149.25</v>
      </c>
      <c r="I681" s="198">
        <v>0</v>
      </c>
      <c r="K681" s="170" t="str">
        <f t="shared" si="19"/>
        <v>521</v>
      </c>
    </row>
    <row r="682" spans="1:11" x14ac:dyDescent="0.3">
      <c r="A682" s="194">
        <v>521700</v>
      </c>
      <c r="B682" s="195" t="s">
        <v>1322</v>
      </c>
      <c r="C682" s="195" t="s">
        <v>1121</v>
      </c>
      <c r="D682" s="195" t="s">
        <v>686</v>
      </c>
      <c r="E682" s="196">
        <v>-14379.21</v>
      </c>
      <c r="F682" s="159">
        <v>-14379.21</v>
      </c>
      <c r="G682" s="157">
        <v>-21162.21</v>
      </c>
      <c r="H682" s="196">
        <v>68397.850000000006</v>
      </c>
      <c r="I682" s="198">
        <v>82777.06</v>
      </c>
      <c r="K682" s="170" t="str">
        <f t="shared" si="19"/>
        <v>521</v>
      </c>
    </row>
    <row r="683" spans="1:11" x14ac:dyDescent="0.3">
      <c r="A683" s="194">
        <v>521900</v>
      </c>
      <c r="B683" s="195" t="s">
        <v>1323</v>
      </c>
      <c r="C683" s="195" t="s">
        <v>1121</v>
      </c>
      <c r="D683" s="195" t="s">
        <v>686</v>
      </c>
      <c r="E683" s="196">
        <v>0</v>
      </c>
      <c r="F683" s="159">
        <v>0</v>
      </c>
      <c r="G683" s="158">
        <v>0</v>
      </c>
      <c r="H683" s="196">
        <v>0</v>
      </c>
      <c r="I683" s="198">
        <v>0</v>
      </c>
      <c r="K683" s="170" t="str">
        <f t="shared" si="19"/>
        <v>521</v>
      </c>
    </row>
    <row r="684" spans="1:11" x14ac:dyDescent="0.3">
      <c r="A684" s="194">
        <v>521999</v>
      </c>
      <c r="B684" s="195" t="s">
        <v>1324</v>
      </c>
      <c r="C684" s="195" t="s">
        <v>1121</v>
      </c>
      <c r="D684" s="195" t="s">
        <v>690</v>
      </c>
      <c r="E684" s="196">
        <v>2360131.4700000002</v>
      </c>
      <c r="F684" s="159">
        <v>2360131.4700000002</v>
      </c>
      <c r="G684" s="157">
        <v>2525748.35</v>
      </c>
      <c r="H684" s="196">
        <v>2812077.51</v>
      </c>
      <c r="I684" s="198">
        <v>451946.04</v>
      </c>
      <c r="K684" s="170" t="str">
        <f t="shared" si="19"/>
        <v>521</v>
      </c>
    </row>
    <row r="685" spans="1:11" x14ac:dyDescent="0.3">
      <c r="A685" s="194">
        <v>522000</v>
      </c>
      <c r="B685" s="195" t="s">
        <v>1325</v>
      </c>
      <c r="C685" s="195" t="s">
        <v>1121</v>
      </c>
      <c r="D685" s="195" t="s">
        <v>687</v>
      </c>
      <c r="E685" s="196">
        <v>0</v>
      </c>
      <c r="F685" s="159">
        <v>0</v>
      </c>
      <c r="G685" s="158">
        <v>0</v>
      </c>
      <c r="H685" s="196">
        <v>0</v>
      </c>
      <c r="I685" s="198">
        <v>0</v>
      </c>
      <c r="K685" s="170" t="str">
        <f t="shared" si="19"/>
        <v>522</v>
      </c>
    </row>
    <row r="686" spans="1:11" x14ac:dyDescent="0.3">
      <c r="A686" s="194">
        <v>522100</v>
      </c>
      <c r="B686" s="195" t="s">
        <v>1325</v>
      </c>
      <c r="C686" s="195" t="s">
        <v>1121</v>
      </c>
      <c r="D686" s="195" t="s">
        <v>686</v>
      </c>
      <c r="E686" s="196">
        <v>0</v>
      </c>
      <c r="F686" s="159">
        <v>0</v>
      </c>
      <c r="G686" s="157">
        <v>0</v>
      </c>
      <c r="H686" s="196">
        <v>0</v>
      </c>
      <c r="I686" s="198">
        <v>0</v>
      </c>
      <c r="K686" s="170" t="str">
        <f t="shared" si="19"/>
        <v>522</v>
      </c>
    </row>
    <row r="687" spans="1:11" x14ac:dyDescent="0.3">
      <c r="A687" s="194">
        <v>522999</v>
      </c>
      <c r="B687" s="195" t="s">
        <v>1326</v>
      </c>
      <c r="C687" s="195" t="s">
        <v>1121</v>
      </c>
      <c r="D687" s="195" t="s">
        <v>690</v>
      </c>
      <c r="E687" s="196">
        <v>0</v>
      </c>
      <c r="F687" s="159">
        <v>0</v>
      </c>
      <c r="G687" s="158">
        <v>0</v>
      </c>
      <c r="H687" s="196">
        <v>0</v>
      </c>
      <c r="I687" s="198">
        <v>0</v>
      </c>
      <c r="K687" s="170" t="str">
        <f t="shared" si="19"/>
        <v>522</v>
      </c>
    </row>
    <row r="688" spans="1:11" x14ac:dyDescent="0.3">
      <c r="A688" s="194">
        <v>523000</v>
      </c>
      <c r="B688" s="195" t="s">
        <v>1327</v>
      </c>
      <c r="C688" s="195" t="s">
        <v>1121</v>
      </c>
      <c r="D688" s="195" t="s">
        <v>687</v>
      </c>
      <c r="E688" s="196">
        <v>0</v>
      </c>
      <c r="F688" s="159">
        <v>0</v>
      </c>
      <c r="G688" s="157">
        <v>0</v>
      </c>
      <c r="H688" s="196">
        <v>0</v>
      </c>
      <c r="I688" s="198">
        <v>0</v>
      </c>
      <c r="K688" s="170" t="str">
        <f t="shared" si="19"/>
        <v>523</v>
      </c>
    </row>
    <row r="689" spans="1:11" x14ac:dyDescent="0.3">
      <c r="A689" s="194">
        <v>523100</v>
      </c>
      <c r="B689" s="195" t="s">
        <v>1327</v>
      </c>
      <c r="C689" s="195" t="s">
        <v>1121</v>
      </c>
      <c r="D689" s="195" t="s">
        <v>686</v>
      </c>
      <c r="E689" s="196">
        <v>0</v>
      </c>
      <c r="F689" s="159">
        <v>0</v>
      </c>
      <c r="G689" s="158">
        <v>0</v>
      </c>
      <c r="H689" s="196">
        <v>0</v>
      </c>
      <c r="I689" s="198">
        <v>0</v>
      </c>
      <c r="K689" s="170" t="str">
        <f t="shared" si="19"/>
        <v>523</v>
      </c>
    </row>
    <row r="690" spans="1:11" x14ac:dyDescent="0.3">
      <c r="A690" s="194">
        <v>523999</v>
      </c>
      <c r="B690" s="195" t="s">
        <v>1328</v>
      </c>
      <c r="C690" s="195" t="s">
        <v>1121</v>
      </c>
      <c r="D690" s="195" t="s">
        <v>690</v>
      </c>
      <c r="E690" s="196">
        <v>0</v>
      </c>
      <c r="F690" s="159">
        <v>0</v>
      </c>
      <c r="G690" s="157">
        <v>0</v>
      </c>
      <c r="H690" s="196">
        <v>0</v>
      </c>
      <c r="I690" s="198">
        <v>0</v>
      </c>
      <c r="K690" s="170" t="str">
        <f t="shared" si="19"/>
        <v>523</v>
      </c>
    </row>
    <row r="691" spans="1:11" x14ac:dyDescent="0.3">
      <c r="A691" s="194">
        <v>524000</v>
      </c>
      <c r="B691" s="195" t="s">
        <v>1329</v>
      </c>
      <c r="C691" s="195" t="s">
        <v>1121</v>
      </c>
      <c r="D691" s="195" t="s">
        <v>687</v>
      </c>
      <c r="E691" s="196">
        <v>0</v>
      </c>
      <c r="F691" s="159">
        <v>0</v>
      </c>
      <c r="G691" s="158">
        <v>0</v>
      </c>
      <c r="H691" s="196">
        <v>0</v>
      </c>
      <c r="I691" s="198">
        <v>0</v>
      </c>
      <c r="K691" s="170" t="str">
        <f t="shared" si="19"/>
        <v>524</v>
      </c>
    </row>
    <row r="692" spans="1:11" x14ac:dyDescent="0.3">
      <c r="A692" s="194">
        <v>524100</v>
      </c>
      <c r="B692" s="195" t="s">
        <v>1330</v>
      </c>
      <c r="C692" s="195" t="s">
        <v>1121</v>
      </c>
      <c r="D692" s="195" t="s">
        <v>686</v>
      </c>
      <c r="E692" s="196">
        <v>197976.02</v>
      </c>
      <c r="F692" s="159">
        <v>197976.02</v>
      </c>
      <c r="G692" s="157">
        <v>225759.3</v>
      </c>
      <c r="H692" s="196">
        <v>210684.02</v>
      </c>
      <c r="I692" s="198">
        <v>12708</v>
      </c>
      <c r="K692" s="170" t="str">
        <f t="shared" si="19"/>
        <v>524</v>
      </c>
    </row>
    <row r="693" spans="1:11" x14ac:dyDescent="0.3">
      <c r="A693" s="194">
        <v>524200</v>
      </c>
      <c r="B693" s="195" t="s">
        <v>156</v>
      </c>
      <c r="C693" s="195" t="s">
        <v>1121</v>
      </c>
      <c r="D693" s="195" t="s">
        <v>686</v>
      </c>
      <c r="E693" s="196">
        <v>477307.26</v>
      </c>
      <c r="F693" s="159">
        <v>477307.26</v>
      </c>
      <c r="G693" s="158">
        <v>535680.56999999995</v>
      </c>
      <c r="H693" s="196">
        <v>487155.39</v>
      </c>
      <c r="I693" s="198">
        <v>9848.1299999999992</v>
      </c>
      <c r="K693" s="170" t="str">
        <f t="shared" si="19"/>
        <v>524</v>
      </c>
    </row>
    <row r="694" spans="1:11" x14ac:dyDescent="0.3">
      <c r="A694" s="194">
        <v>524350</v>
      </c>
      <c r="B694" s="195" t="s">
        <v>1331</v>
      </c>
      <c r="C694" s="195" t="s">
        <v>1121</v>
      </c>
      <c r="D694" s="195" t="s">
        <v>686</v>
      </c>
      <c r="E694" s="196">
        <v>20991.62</v>
      </c>
      <c r="F694" s="159">
        <v>20991.62</v>
      </c>
      <c r="G694" s="157">
        <v>-19403.38</v>
      </c>
      <c r="H694" s="196">
        <v>96299</v>
      </c>
      <c r="I694" s="198">
        <v>75307.38</v>
      </c>
      <c r="K694" s="170" t="str">
        <f t="shared" si="19"/>
        <v>524</v>
      </c>
    </row>
    <row r="695" spans="1:11" x14ac:dyDescent="0.3">
      <c r="A695" s="194">
        <v>524400</v>
      </c>
      <c r="B695" s="195" t="s">
        <v>1332</v>
      </c>
      <c r="C695" s="195" t="s">
        <v>1121</v>
      </c>
      <c r="D695" s="195" t="s">
        <v>686</v>
      </c>
      <c r="E695" s="196">
        <v>167609.4</v>
      </c>
      <c r="F695" s="159">
        <v>167609.4</v>
      </c>
      <c r="G695" s="158">
        <v>178235.1</v>
      </c>
      <c r="H695" s="196">
        <v>167609.4</v>
      </c>
      <c r="I695" s="198">
        <v>0</v>
      </c>
      <c r="K695" s="170" t="str">
        <f t="shared" si="19"/>
        <v>524</v>
      </c>
    </row>
    <row r="696" spans="1:11" x14ac:dyDescent="0.3">
      <c r="A696" s="194">
        <v>524700</v>
      </c>
      <c r="B696" s="195" t="s">
        <v>1333</v>
      </c>
      <c r="C696" s="195" t="s">
        <v>1121</v>
      </c>
      <c r="D696" s="195" t="s">
        <v>686</v>
      </c>
      <c r="E696" s="196">
        <v>-5061.46</v>
      </c>
      <c r="F696" s="159">
        <v>-5061.46</v>
      </c>
      <c r="G696" s="157">
        <v>-7449.08</v>
      </c>
      <c r="H696" s="196">
        <v>24076.06</v>
      </c>
      <c r="I696" s="198">
        <v>29137.52</v>
      </c>
      <c r="K696" s="170" t="str">
        <f t="shared" si="19"/>
        <v>524</v>
      </c>
    </row>
    <row r="697" spans="1:11" x14ac:dyDescent="0.3">
      <c r="A697" s="194">
        <v>524999</v>
      </c>
      <c r="B697" s="195" t="s">
        <v>1334</v>
      </c>
      <c r="C697" s="195" t="s">
        <v>1121</v>
      </c>
      <c r="D697" s="195" t="s">
        <v>690</v>
      </c>
      <c r="E697" s="196">
        <v>858822.84</v>
      </c>
      <c r="F697" s="159">
        <v>858822.84</v>
      </c>
      <c r="G697" s="158">
        <v>912822.51</v>
      </c>
      <c r="H697" s="196">
        <v>985823.87</v>
      </c>
      <c r="I697" s="198">
        <v>127001.03</v>
      </c>
      <c r="K697" s="170" t="str">
        <f t="shared" si="19"/>
        <v>524</v>
      </c>
    </row>
    <row r="698" spans="1:11" x14ac:dyDescent="0.3">
      <c r="A698" s="194">
        <v>525000</v>
      </c>
      <c r="B698" s="195" t="s">
        <v>1335</v>
      </c>
      <c r="C698" s="195" t="s">
        <v>1121</v>
      </c>
      <c r="D698" s="195" t="s">
        <v>687</v>
      </c>
      <c r="E698" s="196">
        <v>0</v>
      </c>
      <c r="F698" s="159">
        <v>0</v>
      </c>
      <c r="G698" s="157">
        <v>0</v>
      </c>
      <c r="H698" s="196">
        <v>0</v>
      </c>
      <c r="I698" s="198">
        <v>0</v>
      </c>
      <c r="K698" s="170" t="str">
        <f t="shared" si="19"/>
        <v>525</v>
      </c>
    </row>
    <row r="699" spans="1:11" x14ac:dyDescent="0.3">
      <c r="A699" s="194">
        <v>525999</v>
      </c>
      <c r="B699" s="195" t="s">
        <v>1336</v>
      </c>
      <c r="C699" s="195" t="s">
        <v>1121</v>
      </c>
      <c r="D699" s="195" t="s">
        <v>690</v>
      </c>
      <c r="E699" s="196">
        <v>0</v>
      </c>
      <c r="F699" s="159">
        <v>0</v>
      </c>
      <c r="G699" s="158">
        <v>0</v>
      </c>
      <c r="H699" s="196">
        <v>0</v>
      </c>
      <c r="I699" s="198">
        <v>0</v>
      </c>
      <c r="K699" s="170" t="str">
        <f t="shared" si="19"/>
        <v>525</v>
      </c>
    </row>
    <row r="700" spans="1:11" x14ac:dyDescent="0.3">
      <c r="A700" s="194">
        <v>526000</v>
      </c>
      <c r="B700" s="195" t="s">
        <v>1337</v>
      </c>
      <c r="C700" s="195" t="s">
        <v>1121</v>
      </c>
      <c r="D700" s="195" t="s">
        <v>687</v>
      </c>
      <c r="E700" s="196">
        <v>0</v>
      </c>
      <c r="F700" s="159">
        <v>0</v>
      </c>
      <c r="G700" s="157">
        <v>0</v>
      </c>
      <c r="H700" s="196">
        <v>0</v>
      </c>
      <c r="I700" s="198">
        <v>0</v>
      </c>
      <c r="K700" s="170" t="str">
        <f t="shared" si="19"/>
        <v>526</v>
      </c>
    </row>
    <row r="701" spans="1:11" x14ac:dyDescent="0.3">
      <c r="A701" s="194">
        <v>526999</v>
      </c>
      <c r="B701" s="195" t="s">
        <v>1338</v>
      </c>
      <c r="C701" s="195" t="s">
        <v>1121</v>
      </c>
      <c r="D701" s="195" t="s">
        <v>690</v>
      </c>
      <c r="E701" s="196">
        <v>0</v>
      </c>
      <c r="F701" s="159">
        <v>0</v>
      </c>
      <c r="G701" s="158">
        <v>0</v>
      </c>
      <c r="H701" s="196">
        <v>0</v>
      </c>
      <c r="I701" s="198">
        <v>0</v>
      </c>
      <c r="K701" s="170" t="str">
        <f t="shared" si="19"/>
        <v>526</v>
      </c>
    </row>
    <row r="702" spans="1:11" x14ac:dyDescent="0.3">
      <c r="A702" s="194">
        <v>527000</v>
      </c>
      <c r="B702" s="195" t="s">
        <v>1339</v>
      </c>
      <c r="C702" s="195" t="s">
        <v>1121</v>
      </c>
      <c r="D702" s="195" t="s">
        <v>687</v>
      </c>
      <c r="E702" s="196">
        <v>0</v>
      </c>
      <c r="F702" s="159">
        <v>0</v>
      </c>
      <c r="G702" s="157">
        <v>0</v>
      </c>
      <c r="H702" s="196">
        <v>0</v>
      </c>
      <c r="I702" s="198">
        <v>0</v>
      </c>
      <c r="K702" s="170" t="str">
        <f t="shared" si="19"/>
        <v>527</v>
      </c>
    </row>
    <row r="703" spans="1:11" x14ac:dyDescent="0.3">
      <c r="A703" s="194">
        <v>527100</v>
      </c>
      <c r="B703" s="195" t="s">
        <v>1340</v>
      </c>
      <c r="C703" s="195" t="s">
        <v>1121</v>
      </c>
      <c r="D703" s="195" t="s">
        <v>686</v>
      </c>
      <c r="E703" s="196">
        <v>44187</v>
      </c>
      <c r="F703" s="159">
        <v>44187</v>
      </c>
      <c r="G703" s="158">
        <v>47399</v>
      </c>
      <c r="H703" s="196">
        <v>44187</v>
      </c>
      <c r="I703" s="198">
        <v>0</v>
      </c>
      <c r="K703" s="170" t="str">
        <f t="shared" si="19"/>
        <v>527</v>
      </c>
    </row>
    <row r="704" spans="1:11" x14ac:dyDescent="0.3">
      <c r="A704" s="194">
        <v>527200</v>
      </c>
      <c r="B704" s="195" t="s">
        <v>1341</v>
      </c>
      <c r="C704" s="195" t="s">
        <v>1121</v>
      </c>
      <c r="D704" s="195" t="s">
        <v>686</v>
      </c>
      <c r="E704" s="196">
        <v>11983.17</v>
      </c>
      <c r="F704" s="159">
        <v>11983.17</v>
      </c>
      <c r="G704" s="157">
        <v>13579.59</v>
      </c>
      <c r="H704" s="196">
        <v>11983.17</v>
      </c>
      <c r="I704" s="198">
        <v>0</v>
      </c>
      <c r="K704" s="170" t="str">
        <f t="shared" si="19"/>
        <v>527</v>
      </c>
    </row>
    <row r="705" spans="1:11" x14ac:dyDescent="0.3">
      <c r="A705" s="194">
        <v>527300</v>
      </c>
      <c r="B705" s="195" t="s">
        <v>1342</v>
      </c>
      <c r="C705" s="195" t="s">
        <v>1121</v>
      </c>
      <c r="D705" s="195" t="s">
        <v>686</v>
      </c>
      <c r="E705" s="196">
        <v>1703.94</v>
      </c>
      <c r="F705" s="159">
        <v>1703.94</v>
      </c>
      <c r="G705" s="158">
        <v>1703.94</v>
      </c>
      <c r="H705" s="196">
        <v>5278.94</v>
      </c>
      <c r="I705" s="198">
        <v>3575</v>
      </c>
      <c r="K705" s="170" t="str">
        <f t="shared" si="19"/>
        <v>527</v>
      </c>
    </row>
    <row r="706" spans="1:11" x14ac:dyDescent="0.3">
      <c r="A706" s="194">
        <v>527900</v>
      </c>
      <c r="B706" s="195" t="s">
        <v>1343</v>
      </c>
      <c r="C706" s="195" t="s">
        <v>1121</v>
      </c>
      <c r="D706" s="195" t="s">
        <v>686</v>
      </c>
      <c r="E706" s="196">
        <v>8008.81</v>
      </c>
      <c r="F706" s="159">
        <v>8008.81</v>
      </c>
      <c r="G706" s="157">
        <v>11122.78</v>
      </c>
      <c r="H706" s="196">
        <v>8014.35</v>
      </c>
      <c r="I706" s="198">
        <v>5.54</v>
      </c>
      <c r="K706" s="170" t="str">
        <f t="shared" si="19"/>
        <v>527</v>
      </c>
    </row>
    <row r="707" spans="1:11" x14ac:dyDescent="0.3">
      <c r="A707" s="194">
        <v>527990</v>
      </c>
      <c r="B707" s="195" t="s">
        <v>1344</v>
      </c>
      <c r="C707" s="195" t="s">
        <v>1121</v>
      </c>
      <c r="D707" s="195" t="s">
        <v>686</v>
      </c>
      <c r="E707" s="196">
        <v>28049.98</v>
      </c>
      <c r="F707" s="159">
        <v>28049.98</v>
      </c>
      <c r="G707" s="158">
        <v>28899.97</v>
      </c>
      <c r="H707" s="196">
        <v>28049.98</v>
      </c>
      <c r="I707" s="198">
        <v>0</v>
      </c>
      <c r="K707" s="170" t="str">
        <f t="shared" ref="K707:K770" si="20">IF(A707&lt;100000,CONCATENATE(0,LEFT(A707,2)),LEFT(A707,3))</f>
        <v>527</v>
      </c>
    </row>
    <row r="708" spans="1:11" x14ac:dyDescent="0.3">
      <c r="A708" s="194">
        <v>527999</v>
      </c>
      <c r="B708" s="195" t="s">
        <v>1345</v>
      </c>
      <c r="C708" s="195" t="s">
        <v>1121</v>
      </c>
      <c r="D708" s="195" t="s">
        <v>690</v>
      </c>
      <c r="E708" s="196">
        <v>93932.9</v>
      </c>
      <c r="F708" s="159">
        <v>93932.9</v>
      </c>
      <c r="G708" s="157">
        <v>102705.28</v>
      </c>
      <c r="H708" s="196">
        <v>97513.44</v>
      </c>
      <c r="I708" s="198">
        <v>3580.54</v>
      </c>
      <c r="K708" s="170" t="str">
        <f t="shared" si="20"/>
        <v>527</v>
      </c>
    </row>
    <row r="709" spans="1:11" x14ac:dyDescent="0.3">
      <c r="A709" s="194">
        <v>528000</v>
      </c>
      <c r="B709" s="195" t="s">
        <v>1343</v>
      </c>
      <c r="C709" s="195" t="s">
        <v>1121</v>
      </c>
      <c r="D709" s="195" t="s">
        <v>687</v>
      </c>
      <c r="E709" s="196">
        <v>0</v>
      </c>
      <c r="F709" s="159">
        <v>0</v>
      </c>
      <c r="G709" s="158">
        <v>0</v>
      </c>
      <c r="H709" s="196">
        <v>0</v>
      </c>
      <c r="I709" s="198">
        <v>0</v>
      </c>
      <c r="K709" s="170" t="str">
        <f t="shared" si="20"/>
        <v>528</v>
      </c>
    </row>
    <row r="710" spans="1:11" x14ac:dyDescent="0.3">
      <c r="A710" s="194">
        <v>528100</v>
      </c>
      <c r="B710" s="195" t="s">
        <v>1346</v>
      </c>
      <c r="C710" s="195" t="s">
        <v>1121</v>
      </c>
      <c r="D710" s="195" t="s">
        <v>686</v>
      </c>
      <c r="E710" s="196">
        <v>3864.13</v>
      </c>
      <c r="F710" s="159">
        <v>3864.13</v>
      </c>
      <c r="G710" s="157">
        <v>3864.13</v>
      </c>
      <c r="H710" s="196">
        <v>3864.13</v>
      </c>
      <c r="I710" s="198">
        <v>0</v>
      </c>
      <c r="K710" s="170" t="str">
        <f t="shared" si="20"/>
        <v>528</v>
      </c>
    </row>
    <row r="711" spans="1:11" x14ac:dyDescent="0.3">
      <c r="A711" s="194">
        <v>528900</v>
      </c>
      <c r="B711" s="195" t="s">
        <v>1343</v>
      </c>
      <c r="C711" s="195" t="s">
        <v>1121</v>
      </c>
      <c r="D711" s="195" t="s">
        <v>686</v>
      </c>
      <c r="E711" s="196">
        <v>0</v>
      </c>
      <c r="F711" s="159">
        <v>0</v>
      </c>
      <c r="G711" s="158">
        <v>0</v>
      </c>
      <c r="H711" s="196">
        <v>0</v>
      </c>
      <c r="I711" s="198">
        <v>0</v>
      </c>
      <c r="K711" s="170" t="str">
        <f t="shared" si="20"/>
        <v>528</v>
      </c>
    </row>
    <row r="712" spans="1:11" x14ac:dyDescent="0.3">
      <c r="A712" s="194">
        <v>528999</v>
      </c>
      <c r="B712" s="195" t="s">
        <v>1347</v>
      </c>
      <c r="C712" s="195" t="s">
        <v>1121</v>
      </c>
      <c r="D712" s="195" t="s">
        <v>690</v>
      </c>
      <c r="E712" s="196">
        <v>3864.13</v>
      </c>
      <c r="F712" s="159">
        <v>3864.13</v>
      </c>
      <c r="G712" s="157">
        <v>3864.13</v>
      </c>
      <c r="H712" s="196">
        <v>3864.13</v>
      </c>
      <c r="I712" s="198">
        <v>0</v>
      </c>
      <c r="K712" s="170" t="str">
        <f t="shared" si="20"/>
        <v>528</v>
      </c>
    </row>
    <row r="713" spans="1:11" x14ac:dyDescent="0.3">
      <c r="A713" s="194">
        <v>529999</v>
      </c>
      <c r="B713" s="195" t="s">
        <v>1348</v>
      </c>
      <c r="C713" s="195" t="s">
        <v>1121</v>
      </c>
      <c r="D713" s="195" t="s">
        <v>690</v>
      </c>
      <c r="E713" s="196">
        <v>3316751.34</v>
      </c>
      <c r="F713" s="159">
        <v>3316751.34</v>
      </c>
      <c r="G713" s="158">
        <v>3545140.27</v>
      </c>
      <c r="H713" s="196">
        <v>3899278.95</v>
      </c>
      <c r="I713" s="198">
        <v>582527.61</v>
      </c>
      <c r="K713" s="170" t="str">
        <f t="shared" si="20"/>
        <v>529</v>
      </c>
    </row>
    <row r="714" spans="1:11" x14ac:dyDescent="0.3">
      <c r="A714" s="194">
        <v>530000</v>
      </c>
      <c r="B714" s="195" t="s">
        <v>304</v>
      </c>
      <c r="C714" s="195" t="s">
        <v>1121</v>
      </c>
      <c r="D714" s="195" t="s">
        <v>687</v>
      </c>
      <c r="E714" s="196">
        <v>0</v>
      </c>
      <c r="F714" s="159">
        <v>0</v>
      </c>
      <c r="G714" s="157">
        <v>0</v>
      </c>
      <c r="H714" s="196">
        <v>0</v>
      </c>
      <c r="I714" s="198">
        <v>0</v>
      </c>
      <c r="K714" s="170" t="str">
        <f t="shared" si="20"/>
        <v>530</v>
      </c>
    </row>
    <row r="715" spans="1:11" x14ac:dyDescent="0.3">
      <c r="A715" s="194">
        <v>531000</v>
      </c>
      <c r="B715" s="195" t="s">
        <v>1349</v>
      </c>
      <c r="C715" s="195" t="s">
        <v>1121</v>
      </c>
      <c r="D715" s="195" t="s">
        <v>687</v>
      </c>
      <c r="E715" s="196">
        <v>0</v>
      </c>
      <c r="F715" s="159">
        <v>0</v>
      </c>
      <c r="G715" s="158">
        <v>0</v>
      </c>
      <c r="H715" s="196">
        <v>0</v>
      </c>
      <c r="I715" s="198">
        <v>0</v>
      </c>
      <c r="K715" s="170" t="str">
        <f t="shared" si="20"/>
        <v>531</v>
      </c>
    </row>
    <row r="716" spans="1:11" x14ac:dyDescent="0.3">
      <c r="A716" s="194">
        <v>531100</v>
      </c>
      <c r="B716" s="195" t="s">
        <v>1349</v>
      </c>
      <c r="C716" s="195" t="s">
        <v>1121</v>
      </c>
      <c r="D716" s="195" t="s">
        <v>686</v>
      </c>
      <c r="E716" s="196">
        <v>9455.25</v>
      </c>
      <c r="F716" s="159">
        <v>9455.25</v>
      </c>
      <c r="G716" s="157">
        <v>9059.5499999999993</v>
      </c>
      <c r="H716" s="196">
        <v>9455.25</v>
      </c>
      <c r="I716" s="198">
        <v>0</v>
      </c>
      <c r="K716" s="170" t="str">
        <f t="shared" si="20"/>
        <v>531</v>
      </c>
    </row>
    <row r="717" spans="1:11" x14ac:dyDescent="0.3">
      <c r="A717" s="194">
        <v>531999</v>
      </c>
      <c r="B717" s="195" t="s">
        <v>1350</v>
      </c>
      <c r="C717" s="195" t="s">
        <v>1121</v>
      </c>
      <c r="D717" s="195" t="s">
        <v>690</v>
      </c>
      <c r="E717" s="196">
        <v>9455.25</v>
      </c>
      <c r="F717" s="159">
        <v>9455.25</v>
      </c>
      <c r="G717" s="158">
        <v>9059.5499999999993</v>
      </c>
      <c r="H717" s="196">
        <v>9455.25</v>
      </c>
      <c r="I717" s="198">
        <v>0</v>
      </c>
      <c r="K717" s="170" t="str">
        <f t="shared" si="20"/>
        <v>531</v>
      </c>
    </row>
    <row r="718" spans="1:11" x14ac:dyDescent="0.3">
      <c r="A718" s="194">
        <v>532000</v>
      </c>
      <c r="B718" s="195" t="s">
        <v>1351</v>
      </c>
      <c r="C718" s="195" t="s">
        <v>1121</v>
      </c>
      <c r="D718" s="195" t="s">
        <v>687</v>
      </c>
      <c r="E718" s="196">
        <v>0</v>
      </c>
      <c r="F718" s="159">
        <v>0</v>
      </c>
      <c r="G718" s="157">
        <v>0</v>
      </c>
      <c r="H718" s="196">
        <v>0</v>
      </c>
      <c r="I718" s="198">
        <v>0</v>
      </c>
      <c r="K718" s="170" t="str">
        <f t="shared" si="20"/>
        <v>532</v>
      </c>
    </row>
    <row r="719" spans="1:11" x14ac:dyDescent="0.3">
      <c r="A719" s="194">
        <v>532999</v>
      </c>
      <c r="B719" s="195" t="s">
        <v>1352</v>
      </c>
      <c r="C719" s="195" t="s">
        <v>1121</v>
      </c>
      <c r="D719" s="195" t="s">
        <v>690</v>
      </c>
      <c r="E719" s="196">
        <v>0</v>
      </c>
      <c r="F719" s="159">
        <v>0</v>
      </c>
      <c r="G719" s="158">
        <v>0</v>
      </c>
      <c r="H719" s="196">
        <v>0</v>
      </c>
      <c r="I719" s="198">
        <v>0</v>
      </c>
      <c r="K719" s="170" t="str">
        <f t="shared" si="20"/>
        <v>532</v>
      </c>
    </row>
    <row r="720" spans="1:11" x14ac:dyDescent="0.3">
      <c r="A720" s="194">
        <v>538000</v>
      </c>
      <c r="B720" s="195" t="s">
        <v>949</v>
      </c>
      <c r="C720" s="195" t="s">
        <v>1121</v>
      </c>
      <c r="D720" s="195" t="s">
        <v>687</v>
      </c>
      <c r="E720" s="196">
        <v>0</v>
      </c>
      <c r="F720" s="159">
        <v>0</v>
      </c>
      <c r="G720" s="157">
        <v>0</v>
      </c>
      <c r="H720" s="196">
        <v>0</v>
      </c>
      <c r="I720" s="198">
        <v>0</v>
      </c>
      <c r="K720" s="170" t="str">
        <f t="shared" si="20"/>
        <v>538</v>
      </c>
    </row>
    <row r="721" spans="1:11" x14ac:dyDescent="0.3">
      <c r="A721" s="194">
        <v>538100</v>
      </c>
      <c r="B721" s="195" t="s">
        <v>1353</v>
      </c>
      <c r="C721" s="195" t="s">
        <v>1121</v>
      </c>
      <c r="D721" s="195" t="s">
        <v>686</v>
      </c>
      <c r="E721" s="196">
        <v>16.5</v>
      </c>
      <c r="F721" s="159">
        <v>16.5</v>
      </c>
      <c r="G721" s="158">
        <v>16.5</v>
      </c>
      <c r="H721" s="196">
        <v>16.5</v>
      </c>
      <c r="I721" s="198">
        <v>0</v>
      </c>
      <c r="K721" s="170" t="str">
        <f t="shared" si="20"/>
        <v>538</v>
      </c>
    </row>
    <row r="722" spans="1:11" x14ac:dyDescent="0.3">
      <c r="A722" s="194">
        <v>538300</v>
      </c>
      <c r="B722" s="195" t="s">
        <v>949</v>
      </c>
      <c r="C722" s="195" t="s">
        <v>1121</v>
      </c>
      <c r="D722" s="195" t="s">
        <v>686</v>
      </c>
      <c r="E722" s="196">
        <v>1107.92</v>
      </c>
      <c r="F722" s="159">
        <v>1107.92</v>
      </c>
      <c r="G722" s="157">
        <v>1346.9</v>
      </c>
      <c r="H722" s="196">
        <v>1107.92</v>
      </c>
      <c r="I722" s="198">
        <v>0</v>
      </c>
      <c r="K722" s="170" t="str">
        <f t="shared" si="20"/>
        <v>538</v>
      </c>
    </row>
    <row r="723" spans="1:11" x14ac:dyDescent="0.3">
      <c r="A723" s="194">
        <v>538500</v>
      </c>
      <c r="B723" s="195" t="s">
        <v>1354</v>
      </c>
      <c r="C723" s="195" t="s">
        <v>1121</v>
      </c>
      <c r="D723" s="195" t="s">
        <v>686</v>
      </c>
      <c r="E723" s="196">
        <v>4089.89</v>
      </c>
      <c r="F723" s="159">
        <v>4089.89</v>
      </c>
      <c r="G723" s="158">
        <v>4089.89</v>
      </c>
      <c r="H723" s="196">
        <v>4089.89</v>
      </c>
      <c r="I723" s="198">
        <v>0</v>
      </c>
      <c r="K723" s="170" t="str">
        <f t="shared" si="20"/>
        <v>538</v>
      </c>
    </row>
    <row r="724" spans="1:11" x14ac:dyDescent="0.3">
      <c r="A724" s="194">
        <v>538900</v>
      </c>
      <c r="B724" s="195" t="s">
        <v>1355</v>
      </c>
      <c r="C724" s="195" t="s">
        <v>1121</v>
      </c>
      <c r="D724" s="195" t="s">
        <v>686</v>
      </c>
      <c r="E724" s="196">
        <v>0</v>
      </c>
      <c r="F724" s="159">
        <v>0</v>
      </c>
      <c r="G724" s="157">
        <v>0</v>
      </c>
      <c r="H724" s="196">
        <v>0</v>
      </c>
      <c r="I724" s="198">
        <v>0</v>
      </c>
      <c r="K724" s="170" t="str">
        <f t="shared" si="20"/>
        <v>538</v>
      </c>
    </row>
    <row r="725" spans="1:11" x14ac:dyDescent="0.3">
      <c r="A725" s="194">
        <v>538999</v>
      </c>
      <c r="B725" s="195" t="s">
        <v>1356</v>
      </c>
      <c r="C725" s="195" t="s">
        <v>1121</v>
      </c>
      <c r="D725" s="195" t="s">
        <v>690</v>
      </c>
      <c r="E725" s="196">
        <v>5214.3100000000004</v>
      </c>
      <c r="F725" s="159">
        <v>5214.3100000000004</v>
      </c>
      <c r="G725" s="158">
        <v>5453.29</v>
      </c>
      <c r="H725" s="196">
        <v>5214.3100000000004</v>
      </c>
      <c r="I725" s="198">
        <v>0</v>
      </c>
      <c r="K725" s="170" t="str">
        <f t="shared" si="20"/>
        <v>538</v>
      </c>
    </row>
    <row r="726" spans="1:11" x14ac:dyDescent="0.3">
      <c r="A726" s="194">
        <v>539999</v>
      </c>
      <c r="B726" s="195" t="s">
        <v>1357</v>
      </c>
      <c r="C726" s="195" t="s">
        <v>1121</v>
      </c>
      <c r="D726" s="195" t="s">
        <v>690</v>
      </c>
      <c r="E726" s="196">
        <v>14669.56</v>
      </c>
      <c r="F726" s="159">
        <v>14669.56</v>
      </c>
      <c r="G726" s="157">
        <v>14512.84</v>
      </c>
      <c r="H726" s="196">
        <v>14669.56</v>
      </c>
      <c r="I726" s="198">
        <v>0</v>
      </c>
      <c r="K726" s="170" t="str">
        <f t="shared" si="20"/>
        <v>539</v>
      </c>
    </row>
    <row r="727" spans="1:11" x14ac:dyDescent="0.3">
      <c r="A727" s="194">
        <v>540000</v>
      </c>
      <c r="B727" s="195" t="s">
        <v>1358</v>
      </c>
      <c r="C727" s="195" t="s">
        <v>1121</v>
      </c>
      <c r="D727" s="195" t="s">
        <v>687</v>
      </c>
      <c r="E727" s="196">
        <v>0</v>
      </c>
      <c r="F727" s="159">
        <v>0</v>
      </c>
      <c r="G727" s="158">
        <v>0</v>
      </c>
      <c r="H727" s="196">
        <v>0</v>
      </c>
      <c r="I727" s="198">
        <v>0</v>
      </c>
      <c r="K727" s="170" t="str">
        <f t="shared" si="20"/>
        <v>540</v>
      </c>
    </row>
    <row r="728" spans="1:11" x14ac:dyDescent="0.3">
      <c r="A728" s="194">
        <v>541000</v>
      </c>
      <c r="B728" s="195" t="s">
        <v>1359</v>
      </c>
      <c r="C728" s="195" t="s">
        <v>1121</v>
      </c>
      <c r="D728" s="195" t="s">
        <v>687</v>
      </c>
      <c r="E728" s="196">
        <v>0</v>
      </c>
      <c r="F728" s="159">
        <v>0</v>
      </c>
      <c r="G728" s="157">
        <v>0</v>
      </c>
      <c r="H728" s="196">
        <v>0</v>
      </c>
      <c r="I728" s="198">
        <v>0</v>
      </c>
      <c r="K728" s="170" t="str">
        <f t="shared" si="20"/>
        <v>541</v>
      </c>
    </row>
    <row r="729" spans="1:11" x14ac:dyDescent="0.3">
      <c r="A729" s="194">
        <v>541082</v>
      </c>
      <c r="B729" s="195" t="s">
        <v>1360</v>
      </c>
      <c r="C729" s="195" t="s">
        <v>1121</v>
      </c>
      <c r="D729" s="195" t="s">
        <v>686</v>
      </c>
      <c r="E729" s="196">
        <v>242.35</v>
      </c>
      <c r="F729" s="159">
        <v>242.35</v>
      </c>
      <c r="G729" s="158">
        <v>242.35</v>
      </c>
      <c r="H729" s="196">
        <v>242.35</v>
      </c>
      <c r="I729" s="198">
        <v>0</v>
      </c>
      <c r="K729" s="170" t="str">
        <f t="shared" si="20"/>
        <v>541</v>
      </c>
    </row>
    <row r="730" spans="1:11" x14ac:dyDescent="0.3">
      <c r="A730" s="194">
        <v>541084</v>
      </c>
      <c r="B730" s="195" t="s">
        <v>1361</v>
      </c>
      <c r="C730" s="195" t="s">
        <v>1121</v>
      </c>
      <c r="D730" s="195" t="s">
        <v>686</v>
      </c>
      <c r="E730" s="196">
        <v>0</v>
      </c>
      <c r="F730" s="159">
        <v>0</v>
      </c>
      <c r="G730" s="157">
        <v>0</v>
      </c>
      <c r="H730" s="196">
        <v>0</v>
      </c>
      <c r="I730" s="198">
        <v>0</v>
      </c>
      <c r="K730" s="170" t="str">
        <f t="shared" si="20"/>
        <v>541</v>
      </c>
    </row>
    <row r="731" spans="1:11" x14ac:dyDescent="0.3">
      <c r="A731" s="194">
        <v>541401</v>
      </c>
      <c r="B731" s="195" t="s">
        <v>1362</v>
      </c>
      <c r="C731" s="195" t="s">
        <v>1121</v>
      </c>
      <c r="D731" s="195" t="s">
        <v>686</v>
      </c>
      <c r="E731" s="196">
        <v>6126710.79</v>
      </c>
      <c r="F731" s="159">
        <v>6126710.79</v>
      </c>
      <c r="G731" s="158">
        <v>6587983.7800000003</v>
      </c>
      <c r="H731" s="196">
        <v>6126962.6900000004</v>
      </c>
      <c r="I731" s="198">
        <v>251.9</v>
      </c>
      <c r="K731" s="170" t="str">
        <f t="shared" si="20"/>
        <v>541</v>
      </c>
    </row>
    <row r="732" spans="1:11" x14ac:dyDescent="0.3">
      <c r="A732" s="194">
        <v>541402</v>
      </c>
      <c r="B732" s="195" t="s">
        <v>1363</v>
      </c>
      <c r="C732" s="195" t="s">
        <v>1121</v>
      </c>
      <c r="D732" s="195" t="s">
        <v>686</v>
      </c>
      <c r="E732" s="196">
        <v>264188.18</v>
      </c>
      <c r="F732" s="159">
        <v>264188.18</v>
      </c>
      <c r="G732" s="157">
        <v>264188.18</v>
      </c>
      <c r="H732" s="196">
        <v>264188.18</v>
      </c>
      <c r="I732" s="198">
        <v>0</v>
      </c>
      <c r="K732" s="170" t="str">
        <f t="shared" si="20"/>
        <v>541</v>
      </c>
    </row>
    <row r="733" spans="1:11" x14ac:dyDescent="0.3">
      <c r="A733" s="194">
        <v>541404</v>
      </c>
      <c r="B733" s="195" t="s">
        <v>1364</v>
      </c>
      <c r="C733" s="195" t="s">
        <v>1121</v>
      </c>
      <c r="D733" s="195" t="s">
        <v>686</v>
      </c>
      <c r="E733" s="196">
        <v>30429.13</v>
      </c>
      <c r="F733" s="159">
        <v>30429.13</v>
      </c>
      <c r="G733" s="158">
        <v>30429.13</v>
      </c>
      <c r="H733" s="196">
        <v>30429.13</v>
      </c>
      <c r="I733" s="198">
        <v>0</v>
      </c>
      <c r="K733" s="170" t="str">
        <f t="shared" si="20"/>
        <v>541</v>
      </c>
    </row>
    <row r="734" spans="1:11" x14ac:dyDescent="0.3">
      <c r="A734" s="194">
        <v>541420</v>
      </c>
      <c r="B734" s="195" t="s">
        <v>1365</v>
      </c>
      <c r="C734" s="195" t="s">
        <v>1121</v>
      </c>
      <c r="D734" s="195" t="s">
        <v>686</v>
      </c>
      <c r="E734" s="196">
        <v>0</v>
      </c>
      <c r="F734" s="159">
        <v>0</v>
      </c>
      <c r="G734" s="157">
        <v>0</v>
      </c>
      <c r="H734" s="196">
        <v>0</v>
      </c>
      <c r="I734" s="198">
        <v>0</v>
      </c>
      <c r="K734" s="170" t="str">
        <f t="shared" si="20"/>
        <v>541</v>
      </c>
    </row>
    <row r="735" spans="1:11" x14ac:dyDescent="0.3">
      <c r="A735" s="194">
        <v>541430</v>
      </c>
      <c r="B735" s="195" t="s">
        <v>1366</v>
      </c>
      <c r="C735" s="195" t="s">
        <v>1121</v>
      </c>
      <c r="D735" s="195" t="s">
        <v>686</v>
      </c>
      <c r="E735" s="196">
        <v>0</v>
      </c>
      <c r="F735" s="159">
        <v>0</v>
      </c>
      <c r="G735" s="158">
        <v>0</v>
      </c>
      <c r="H735" s="196">
        <v>0</v>
      </c>
      <c r="I735" s="198">
        <v>0</v>
      </c>
      <c r="K735" s="170" t="str">
        <f t="shared" si="20"/>
        <v>541</v>
      </c>
    </row>
    <row r="736" spans="1:11" x14ac:dyDescent="0.3">
      <c r="A736" s="194">
        <v>541480</v>
      </c>
      <c r="B736" s="195" t="s">
        <v>1367</v>
      </c>
      <c r="C736" s="195" t="s">
        <v>1121</v>
      </c>
      <c r="D736" s="195" t="s">
        <v>686</v>
      </c>
      <c r="E736" s="196">
        <v>0</v>
      </c>
      <c r="F736" s="159">
        <v>0</v>
      </c>
      <c r="G736" s="157">
        <v>0</v>
      </c>
      <c r="H736" s="196">
        <v>0</v>
      </c>
      <c r="I736" s="198">
        <v>0</v>
      </c>
      <c r="K736" s="170" t="str">
        <f t="shared" si="20"/>
        <v>541</v>
      </c>
    </row>
    <row r="737" spans="1:11" x14ac:dyDescent="0.3">
      <c r="A737" s="194">
        <v>541500</v>
      </c>
      <c r="B737" s="195" t="s">
        <v>1368</v>
      </c>
      <c r="C737" s="195" t="s">
        <v>1121</v>
      </c>
      <c r="D737" s="195" t="s">
        <v>686</v>
      </c>
      <c r="E737" s="196">
        <v>0</v>
      </c>
      <c r="F737" s="159">
        <v>0</v>
      </c>
      <c r="G737" s="158">
        <v>0</v>
      </c>
      <c r="H737" s="196">
        <v>0</v>
      </c>
      <c r="I737" s="198">
        <v>0</v>
      </c>
      <c r="K737" s="170" t="str">
        <f t="shared" si="20"/>
        <v>541</v>
      </c>
    </row>
    <row r="738" spans="1:11" x14ac:dyDescent="0.3">
      <c r="A738" s="194">
        <v>541601</v>
      </c>
      <c r="B738" s="195" t="s">
        <v>1369</v>
      </c>
      <c r="C738" s="195" t="s">
        <v>1121</v>
      </c>
      <c r="D738" s="195" t="s">
        <v>686</v>
      </c>
      <c r="E738" s="196">
        <v>-974132.84</v>
      </c>
      <c r="F738" s="159">
        <v>-974132.84</v>
      </c>
      <c r="G738" s="157">
        <v>-1057249.6100000001</v>
      </c>
      <c r="H738" s="196">
        <v>48760.29</v>
      </c>
      <c r="I738" s="198">
        <v>1022893.13</v>
      </c>
      <c r="K738" s="170" t="str">
        <f t="shared" si="20"/>
        <v>541</v>
      </c>
    </row>
    <row r="739" spans="1:11" x14ac:dyDescent="0.3">
      <c r="A739" s="194">
        <v>541602</v>
      </c>
      <c r="B739" s="195" t="s">
        <v>1370</v>
      </c>
      <c r="C739" s="195" t="s">
        <v>1121</v>
      </c>
      <c r="D739" s="195" t="s">
        <v>686</v>
      </c>
      <c r="E739" s="196">
        <v>0</v>
      </c>
      <c r="F739" s="159">
        <v>0</v>
      </c>
      <c r="G739" s="158">
        <v>0</v>
      </c>
      <c r="H739" s="196">
        <v>0</v>
      </c>
      <c r="I739" s="198">
        <v>0</v>
      </c>
      <c r="K739" s="170" t="str">
        <f t="shared" si="20"/>
        <v>541</v>
      </c>
    </row>
    <row r="740" spans="1:11" x14ac:dyDescent="0.3">
      <c r="A740" s="194">
        <v>541603</v>
      </c>
      <c r="B740" s="195" t="s">
        <v>1371</v>
      </c>
      <c r="C740" s="195" t="s">
        <v>1121</v>
      </c>
      <c r="D740" s="195" t="s">
        <v>686</v>
      </c>
      <c r="E740" s="196">
        <v>-81617.64</v>
      </c>
      <c r="F740" s="159">
        <v>-81617.64</v>
      </c>
      <c r="G740" s="157">
        <v>-81617.64</v>
      </c>
      <c r="H740" s="196">
        <v>116281.60000000001</v>
      </c>
      <c r="I740" s="198">
        <v>197899.24</v>
      </c>
      <c r="K740" s="170" t="str">
        <f t="shared" si="20"/>
        <v>541</v>
      </c>
    </row>
    <row r="741" spans="1:11" x14ac:dyDescent="0.3">
      <c r="A741" s="194">
        <v>541701</v>
      </c>
      <c r="B741" s="195" t="s">
        <v>1372</v>
      </c>
      <c r="C741" s="195" t="s">
        <v>1121</v>
      </c>
      <c r="D741" s="195" t="s">
        <v>686</v>
      </c>
      <c r="E741" s="196">
        <v>0</v>
      </c>
      <c r="F741" s="159">
        <v>0</v>
      </c>
      <c r="G741" s="158">
        <v>0</v>
      </c>
      <c r="H741" s="196">
        <v>0</v>
      </c>
      <c r="I741" s="198">
        <v>0</v>
      </c>
      <c r="K741" s="170" t="str">
        <f t="shared" si="20"/>
        <v>541</v>
      </c>
    </row>
    <row r="742" spans="1:11" x14ac:dyDescent="0.3">
      <c r="A742" s="194">
        <v>541999</v>
      </c>
      <c r="B742" s="195" t="s">
        <v>1373</v>
      </c>
      <c r="C742" s="195" t="s">
        <v>1121</v>
      </c>
      <c r="D742" s="195" t="s">
        <v>690</v>
      </c>
      <c r="E742" s="196">
        <v>5365819.97</v>
      </c>
      <c r="F742" s="159">
        <v>5365819.97</v>
      </c>
      <c r="G742" s="157">
        <v>5743976.1900000004</v>
      </c>
      <c r="H742" s="196">
        <v>6586864.2400000002</v>
      </c>
      <c r="I742" s="198">
        <v>1221044.27</v>
      </c>
      <c r="K742" s="170" t="str">
        <f t="shared" si="20"/>
        <v>541</v>
      </c>
    </row>
    <row r="743" spans="1:11" x14ac:dyDescent="0.3">
      <c r="A743" s="194">
        <v>542000</v>
      </c>
      <c r="B743" s="195" t="s">
        <v>1374</v>
      </c>
      <c r="C743" s="195" t="s">
        <v>1121</v>
      </c>
      <c r="D743" s="195" t="s">
        <v>687</v>
      </c>
      <c r="E743" s="196">
        <v>0</v>
      </c>
      <c r="F743" s="159">
        <v>0</v>
      </c>
      <c r="G743" s="158">
        <v>0</v>
      </c>
      <c r="H743" s="196">
        <v>0</v>
      </c>
      <c r="I743" s="198">
        <v>0</v>
      </c>
      <c r="K743" s="170" t="str">
        <f t="shared" si="20"/>
        <v>542</v>
      </c>
    </row>
    <row r="744" spans="1:11" x14ac:dyDescent="0.3">
      <c r="A744" s="194">
        <v>542100</v>
      </c>
      <c r="B744" s="195" t="s">
        <v>1374</v>
      </c>
      <c r="C744" s="195" t="s">
        <v>1121</v>
      </c>
      <c r="D744" s="195" t="s">
        <v>686</v>
      </c>
      <c r="E744" s="196">
        <v>0</v>
      </c>
      <c r="F744" s="159">
        <v>0</v>
      </c>
      <c r="G744" s="157">
        <v>0</v>
      </c>
      <c r="H744" s="196">
        <v>0</v>
      </c>
      <c r="I744" s="198">
        <v>0</v>
      </c>
      <c r="K744" s="170" t="str">
        <f t="shared" si="20"/>
        <v>542</v>
      </c>
    </row>
    <row r="745" spans="1:11" x14ac:dyDescent="0.3">
      <c r="A745" s="194">
        <v>542710</v>
      </c>
      <c r="B745" s="195" t="s">
        <v>1375</v>
      </c>
      <c r="C745" s="195" t="s">
        <v>1121</v>
      </c>
      <c r="D745" s="195" t="s">
        <v>687</v>
      </c>
      <c r="E745" s="196">
        <v>0</v>
      </c>
      <c r="F745" s="159">
        <v>0</v>
      </c>
      <c r="G745" s="158">
        <v>0</v>
      </c>
      <c r="H745" s="196">
        <v>0</v>
      </c>
      <c r="I745" s="198">
        <v>0</v>
      </c>
      <c r="K745" s="170" t="str">
        <f t="shared" si="20"/>
        <v>542</v>
      </c>
    </row>
    <row r="746" spans="1:11" x14ac:dyDescent="0.3">
      <c r="A746" s="194">
        <v>542719</v>
      </c>
      <c r="B746" s="195" t="s">
        <v>1376</v>
      </c>
      <c r="C746" s="195" t="s">
        <v>1121</v>
      </c>
      <c r="D746" s="195" t="s">
        <v>690</v>
      </c>
      <c r="E746" s="196">
        <v>0</v>
      </c>
      <c r="F746" s="159">
        <v>0</v>
      </c>
      <c r="G746" s="157">
        <v>0</v>
      </c>
      <c r="H746" s="196">
        <v>0</v>
      </c>
      <c r="I746" s="198">
        <v>0</v>
      </c>
      <c r="K746" s="170" t="str">
        <f t="shared" si="20"/>
        <v>542</v>
      </c>
    </row>
    <row r="747" spans="1:11" x14ac:dyDescent="0.3">
      <c r="A747" s="194">
        <v>542720</v>
      </c>
      <c r="B747" s="195" t="s">
        <v>1377</v>
      </c>
      <c r="C747" s="195" t="s">
        <v>1121</v>
      </c>
      <c r="D747" s="195" t="s">
        <v>687</v>
      </c>
      <c r="E747" s="196">
        <v>0</v>
      </c>
      <c r="F747" s="159">
        <v>0</v>
      </c>
      <c r="G747" s="158">
        <v>0</v>
      </c>
      <c r="H747" s="196">
        <v>0</v>
      </c>
      <c r="I747" s="198">
        <v>0</v>
      </c>
      <c r="K747" s="170" t="str">
        <f t="shared" si="20"/>
        <v>542</v>
      </c>
    </row>
    <row r="748" spans="1:11" x14ac:dyDescent="0.3">
      <c r="A748" s="194">
        <v>542729</v>
      </c>
      <c r="B748" s="195" t="s">
        <v>1378</v>
      </c>
      <c r="C748" s="195" t="s">
        <v>1121</v>
      </c>
      <c r="D748" s="195" t="s">
        <v>690</v>
      </c>
      <c r="E748" s="196">
        <v>0</v>
      </c>
      <c r="F748" s="159">
        <v>0</v>
      </c>
      <c r="G748" s="157">
        <v>0</v>
      </c>
      <c r="H748" s="196">
        <v>0</v>
      </c>
      <c r="I748" s="198">
        <v>0</v>
      </c>
      <c r="K748" s="170" t="str">
        <f t="shared" si="20"/>
        <v>542</v>
      </c>
    </row>
    <row r="749" spans="1:11" x14ac:dyDescent="0.3">
      <c r="A749" s="194">
        <v>542999</v>
      </c>
      <c r="B749" s="195" t="s">
        <v>1379</v>
      </c>
      <c r="C749" s="195" t="s">
        <v>1121</v>
      </c>
      <c r="D749" s="195" t="s">
        <v>690</v>
      </c>
      <c r="E749" s="196">
        <v>0</v>
      </c>
      <c r="F749" s="159">
        <v>0</v>
      </c>
      <c r="G749" s="158">
        <v>0</v>
      </c>
      <c r="H749" s="196">
        <v>0</v>
      </c>
      <c r="I749" s="198">
        <v>0</v>
      </c>
      <c r="K749" s="170" t="str">
        <f t="shared" si="20"/>
        <v>542</v>
      </c>
    </row>
    <row r="750" spans="1:11" x14ac:dyDescent="0.3">
      <c r="A750" s="194">
        <v>543000</v>
      </c>
      <c r="B750" s="195" t="s">
        <v>1380</v>
      </c>
      <c r="C750" s="195" t="s">
        <v>1121</v>
      </c>
      <c r="D750" s="195" t="s">
        <v>687</v>
      </c>
      <c r="E750" s="196">
        <v>0</v>
      </c>
      <c r="F750" s="159">
        <v>0</v>
      </c>
      <c r="G750" s="157">
        <v>0</v>
      </c>
      <c r="H750" s="196">
        <v>0</v>
      </c>
      <c r="I750" s="198">
        <v>0</v>
      </c>
      <c r="K750" s="170" t="str">
        <f t="shared" si="20"/>
        <v>543</v>
      </c>
    </row>
    <row r="751" spans="1:11" x14ac:dyDescent="0.3">
      <c r="A751" s="194">
        <v>543100</v>
      </c>
      <c r="B751" s="195" t="s">
        <v>1380</v>
      </c>
      <c r="C751" s="195" t="s">
        <v>1121</v>
      </c>
      <c r="D751" s="195" t="s">
        <v>686</v>
      </c>
      <c r="E751" s="196">
        <v>1200</v>
      </c>
      <c r="F751" s="159">
        <v>1200</v>
      </c>
      <c r="G751" s="158">
        <v>1200</v>
      </c>
      <c r="H751" s="196">
        <v>1200</v>
      </c>
      <c r="I751" s="198">
        <v>0</v>
      </c>
      <c r="K751" s="170" t="str">
        <f t="shared" si="20"/>
        <v>543</v>
      </c>
    </row>
    <row r="752" spans="1:11" x14ac:dyDescent="0.3">
      <c r="A752" s="194">
        <v>543999</v>
      </c>
      <c r="B752" s="195" t="s">
        <v>1381</v>
      </c>
      <c r="C752" s="195" t="s">
        <v>1121</v>
      </c>
      <c r="D752" s="195" t="s">
        <v>690</v>
      </c>
      <c r="E752" s="196">
        <v>1200</v>
      </c>
      <c r="F752" s="159">
        <v>1200</v>
      </c>
      <c r="G752" s="157">
        <v>1200</v>
      </c>
      <c r="H752" s="196">
        <v>1200</v>
      </c>
      <c r="I752" s="198">
        <v>0</v>
      </c>
      <c r="K752" s="170" t="str">
        <f t="shared" si="20"/>
        <v>543</v>
      </c>
    </row>
    <row r="753" spans="1:11" x14ac:dyDescent="0.3">
      <c r="A753" s="194">
        <v>544000</v>
      </c>
      <c r="B753" s="195" t="s">
        <v>274</v>
      </c>
      <c r="C753" s="195" t="s">
        <v>1121</v>
      </c>
      <c r="D753" s="195" t="s">
        <v>687</v>
      </c>
      <c r="E753" s="196">
        <v>0</v>
      </c>
      <c r="F753" s="159">
        <v>0</v>
      </c>
      <c r="G753" s="158">
        <v>0</v>
      </c>
      <c r="H753" s="196">
        <v>0</v>
      </c>
      <c r="I753" s="198">
        <v>0</v>
      </c>
      <c r="K753" s="170" t="str">
        <f t="shared" si="20"/>
        <v>544</v>
      </c>
    </row>
    <row r="754" spans="1:11" x14ac:dyDescent="0.3">
      <c r="A754" s="194">
        <v>544100</v>
      </c>
      <c r="B754" s="195" t="s">
        <v>1382</v>
      </c>
      <c r="C754" s="195" t="s">
        <v>1121</v>
      </c>
      <c r="D754" s="195" t="s">
        <v>686</v>
      </c>
      <c r="E754" s="196">
        <v>0</v>
      </c>
      <c r="F754" s="159">
        <v>0</v>
      </c>
      <c r="G754" s="157">
        <v>0</v>
      </c>
      <c r="H754" s="196">
        <v>0</v>
      </c>
      <c r="I754" s="198">
        <v>0</v>
      </c>
      <c r="K754" s="170" t="str">
        <f t="shared" si="20"/>
        <v>544</v>
      </c>
    </row>
    <row r="755" spans="1:11" x14ac:dyDescent="0.3">
      <c r="A755" s="194">
        <v>544300</v>
      </c>
      <c r="B755" s="195" t="s">
        <v>1383</v>
      </c>
      <c r="C755" s="195" t="s">
        <v>1121</v>
      </c>
      <c r="D755" s="195" t="s">
        <v>686</v>
      </c>
      <c r="E755" s="196">
        <v>7.04</v>
      </c>
      <c r="F755" s="159">
        <v>7.04</v>
      </c>
      <c r="G755" s="158">
        <v>7.04</v>
      </c>
      <c r="H755" s="196">
        <v>7.04</v>
      </c>
      <c r="I755" s="198">
        <v>0</v>
      </c>
      <c r="K755" s="170" t="str">
        <f t="shared" si="20"/>
        <v>544</v>
      </c>
    </row>
    <row r="756" spans="1:11" x14ac:dyDescent="0.3">
      <c r="A756" s="194">
        <v>544999</v>
      </c>
      <c r="B756" s="195" t="s">
        <v>1384</v>
      </c>
      <c r="C756" s="195" t="s">
        <v>1121</v>
      </c>
      <c r="D756" s="195" t="s">
        <v>690</v>
      </c>
      <c r="E756" s="196">
        <v>7.04</v>
      </c>
      <c r="F756" s="159">
        <v>7.04</v>
      </c>
      <c r="G756" s="157">
        <v>7.04</v>
      </c>
      <c r="H756" s="196">
        <v>7.04</v>
      </c>
      <c r="I756" s="198">
        <v>0</v>
      </c>
      <c r="K756" s="170" t="str">
        <f t="shared" si="20"/>
        <v>544</v>
      </c>
    </row>
    <row r="757" spans="1:11" x14ac:dyDescent="0.3">
      <c r="A757" s="194">
        <v>545000</v>
      </c>
      <c r="B757" s="195" t="s">
        <v>1385</v>
      </c>
      <c r="C757" s="195" t="s">
        <v>1121</v>
      </c>
      <c r="D757" s="195" t="s">
        <v>687</v>
      </c>
      <c r="E757" s="196">
        <v>0</v>
      </c>
      <c r="F757" s="159">
        <v>0</v>
      </c>
      <c r="G757" s="158">
        <v>0</v>
      </c>
      <c r="H757" s="196">
        <v>0</v>
      </c>
      <c r="I757" s="198">
        <v>0</v>
      </c>
      <c r="K757" s="170" t="str">
        <f t="shared" si="20"/>
        <v>545</v>
      </c>
    </row>
    <row r="758" spans="1:11" x14ac:dyDescent="0.3">
      <c r="A758" s="194">
        <v>545100</v>
      </c>
      <c r="B758" s="195" t="s">
        <v>1386</v>
      </c>
      <c r="C758" s="195" t="s">
        <v>1121</v>
      </c>
      <c r="D758" s="195" t="s">
        <v>686</v>
      </c>
      <c r="E758" s="196">
        <v>730</v>
      </c>
      <c r="F758" s="159">
        <v>730</v>
      </c>
      <c r="G758" s="157">
        <v>730</v>
      </c>
      <c r="H758" s="196">
        <v>730</v>
      </c>
      <c r="I758" s="198">
        <v>0</v>
      </c>
      <c r="K758" s="170" t="str">
        <f t="shared" si="20"/>
        <v>545</v>
      </c>
    </row>
    <row r="759" spans="1:11" x14ac:dyDescent="0.3">
      <c r="A759" s="194">
        <v>545999</v>
      </c>
      <c r="B759" s="195" t="s">
        <v>1387</v>
      </c>
      <c r="C759" s="195" t="s">
        <v>1121</v>
      </c>
      <c r="D759" s="195" t="s">
        <v>690</v>
      </c>
      <c r="E759" s="196">
        <v>730</v>
      </c>
      <c r="F759" s="159">
        <v>730</v>
      </c>
      <c r="G759" s="158">
        <v>730</v>
      </c>
      <c r="H759" s="196">
        <v>730</v>
      </c>
      <c r="I759" s="198">
        <v>0</v>
      </c>
      <c r="K759" s="170" t="str">
        <f t="shared" si="20"/>
        <v>545</v>
      </c>
    </row>
    <row r="760" spans="1:11" x14ac:dyDescent="0.3">
      <c r="A760" s="194">
        <v>546000</v>
      </c>
      <c r="B760" s="195" t="s">
        <v>1388</v>
      </c>
      <c r="C760" s="195" t="s">
        <v>1121</v>
      </c>
      <c r="D760" s="195" t="s">
        <v>687</v>
      </c>
      <c r="E760" s="196">
        <v>0</v>
      </c>
      <c r="F760" s="159">
        <v>0</v>
      </c>
      <c r="G760" s="157">
        <v>0</v>
      </c>
      <c r="H760" s="196">
        <v>0</v>
      </c>
      <c r="I760" s="198">
        <v>0</v>
      </c>
      <c r="K760" s="170" t="str">
        <f t="shared" si="20"/>
        <v>546</v>
      </c>
    </row>
    <row r="761" spans="1:11" x14ac:dyDescent="0.3">
      <c r="A761" s="194">
        <v>546100</v>
      </c>
      <c r="B761" s="195" t="s">
        <v>1389</v>
      </c>
      <c r="C761" s="195" t="s">
        <v>1121</v>
      </c>
      <c r="D761" s="195" t="s">
        <v>686</v>
      </c>
      <c r="E761" s="196">
        <v>1363.59</v>
      </c>
      <c r="F761" s="159">
        <v>1363.59</v>
      </c>
      <c r="G761" s="158">
        <v>1363.59</v>
      </c>
      <c r="H761" s="196">
        <v>1363.59</v>
      </c>
      <c r="I761" s="198">
        <v>0</v>
      </c>
      <c r="K761" s="170" t="str">
        <f t="shared" si="20"/>
        <v>546</v>
      </c>
    </row>
    <row r="762" spans="1:11" x14ac:dyDescent="0.3">
      <c r="A762" s="194">
        <v>546200</v>
      </c>
      <c r="B762" s="195" t="s">
        <v>275</v>
      </c>
      <c r="C762" s="195" t="s">
        <v>1121</v>
      </c>
      <c r="D762" s="195" t="s">
        <v>686</v>
      </c>
      <c r="E762" s="196">
        <v>0</v>
      </c>
      <c r="F762" s="159">
        <v>0</v>
      </c>
      <c r="G762" s="157">
        <v>0</v>
      </c>
      <c r="H762" s="196">
        <v>0</v>
      </c>
      <c r="I762" s="198">
        <v>0</v>
      </c>
      <c r="K762" s="170" t="str">
        <f t="shared" si="20"/>
        <v>546</v>
      </c>
    </row>
    <row r="763" spans="1:11" x14ac:dyDescent="0.3">
      <c r="A763" s="194">
        <v>546300</v>
      </c>
      <c r="B763" s="195" t="s">
        <v>1390</v>
      </c>
      <c r="C763" s="195" t="s">
        <v>1121</v>
      </c>
      <c r="D763" s="195" t="s">
        <v>686</v>
      </c>
      <c r="E763" s="196">
        <v>2936.27</v>
      </c>
      <c r="F763" s="159">
        <v>2936.27</v>
      </c>
      <c r="G763" s="158">
        <v>2936.27</v>
      </c>
      <c r="H763" s="196">
        <v>2936.27</v>
      </c>
      <c r="I763" s="198">
        <v>0</v>
      </c>
      <c r="K763" s="170" t="str">
        <f t="shared" si="20"/>
        <v>546</v>
      </c>
    </row>
    <row r="764" spans="1:11" x14ac:dyDescent="0.3">
      <c r="A764" s="194">
        <v>546999</v>
      </c>
      <c r="B764" s="195" t="s">
        <v>1391</v>
      </c>
      <c r="C764" s="195" t="s">
        <v>1121</v>
      </c>
      <c r="D764" s="195" t="s">
        <v>690</v>
      </c>
      <c r="E764" s="196">
        <v>4299.8599999999997</v>
      </c>
      <c r="F764" s="159">
        <v>4299.8599999999997</v>
      </c>
      <c r="G764" s="157">
        <v>4299.8599999999997</v>
      </c>
      <c r="H764" s="196">
        <v>4299.8599999999997</v>
      </c>
      <c r="I764" s="198">
        <v>0</v>
      </c>
      <c r="K764" s="170" t="str">
        <f t="shared" si="20"/>
        <v>546</v>
      </c>
    </row>
    <row r="765" spans="1:11" x14ac:dyDescent="0.3">
      <c r="A765" s="194">
        <v>547000</v>
      </c>
      <c r="B765" s="195" t="s">
        <v>1392</v>
      </c>
      <c r="C765" s="195" t="s">
        <v>1121</v>
      </c>
      <c r="D765" s="195" t="s">
        <v>687</v>
      </c>
      <c r="E765" s="196">
        <v>0</v>
      </c>
      <c r="F765" s="159">
        <v>0</v>
      </c>
      <c r="G765" s="158">
        <v>0</v>
      </c>
      <c r="H765" s="196">
        <v>0</v>
      </c>
      <c r="I765" s="198">
        <v>0</v>
      </c>
      <c r="K765" s="170" t="str">
        <f t="shared" si="20"/>
        <v>547</v>
      </c>
    </row>
    <row r="766" spans="1:11" x14ac:dyDescent="0.3">
      <c r="A766" s="194">
        <v>547100</v>
      </c>
      <c r="B766" s="195" t="s">
        <v>1392</v>
      </c>
      <c r="C766" s="195" t="s">
        <v>1121</v>
      </c>
      <c r="D766" s="195" t="s">
        <v>686</v>
      </c>
      <c r="E766" s="196">
        <v>0</v>
      </c>
      <c r="F766" s="159">
        <v>0</v>
      </c>
      <c r="G766" s="157">
        <v>0</v>
      </c>
      <c r="H766" s="196">
        <v>0</v>
      </c>
      <c r="I766" s="198">
        <v>0</v>
      </c>
      <c r="K766" s="170" t="str">
        <f t="shared" si="20"/>
        <v>547</v>
      </c>
    </row>
    <row r="767" spans="1:11" x14ac:dyDescent="0.3">
      <c r="A767" s="194">
        <v>547999</v>
      </c>
      <c r="B767" s="195" t="s">
        <v>1393</v>
      </c>
      <c r="C767" s="195" t="s">
        <v>1121</v>
      </c>
      <c r="D767" s="195" t="s">
        <v>690</v>
      </c>
      <c r="E767" s="196">
        <v>0</v>
      </c>
      <c r="F767" s="159">
        <v>0</v>
      </c>
      <c r="G767" s="158">
        <v>0</v>
      </c>
      <c r="H767" s="196">
        <v>0</v>
      </c>
      <c r="I767" s="198">
        <v>0</v>
      </c>
      <c r="K767" s="170" t="str">
        <f t="shared" si="20"/>
        <v>547</v>
      </c>
    </row>
    <row r="768" spans="1:11" x14ac:dyDescent="0.3">
      <c r="A768" s="194">
        <v>548000</v>
      </c>
      <c r="B768" s="195" t="s">
        <v>1394</v>
      </c>
      <c r="C768" s="195" t="s">
        <v>1121</v>
      </c>
      <c r="D768" s="195" t="s">
        <v>687</v>
      </c>
      <c r="E768" s="196">
        <v>0</v>
      </c>
      <c r="F768" s="159">
        <v>0</v>
      </c>
      <c r="G768" s="157">
        <v>0</v>
      </c>
      <c r="H768" s="196">
        <v>0</v>
      </c>
      <c r="I768" s="198">
        <v>0</v>
      </c>
      <c r="K768" s="170" t="str">
        <f t="shared" si="20"/>
        <v>548</v>
      </c>
    </row>
    <row r="769" spans="1:11" x14ac:dyDescent="0.3">
      <c r="A769" s="194">
        <v>548100</v>
      </c>
      <c r="B769" s="195" t="s">
        <v>1395</v>
      </c>
      <c r="C769" s="195" t="s">
        <v>1121</v>
      </c>
      <c r="D769" s="195" t="s">
        <v>686</v>
      </c>
      <c r="E769" s="196">
        <v>24.35</v>
      </c>
      <c r="F769" s="159">
        <v>24.35</v>
      </c>
      <c r="G769" s="158">
        <v>24.38</v>
      </c>
      <c r="H769" s="196">
        <v>26.48</v>
      </c>
      <c r="I769" s="198">
        <v>2.13</v>
      </c>
      <c r="K769" s="170" t="str">
        <f t="shared" si="20"/>
        <v>548</v>
      </c>
    </row>
    <row r="770" spans="1:11" x14ac:dyDescent="0.3">
      <c r="A770" s="194">
        <v>548120</v>
      </c>
      <c r="B770" s="195" t="s">
        <v>1396</v>
      </c>
      <c r="C770" s="195" t="s">
        <v>1121</v>
      </c>
      <c r="D770" s="195" t="s">
        <v>686</v>
      </c>
      <c r="E770" s="196">
        <v>638</v>
      </c>
      <c r="F770" s="159">
        <v>638</v>
      </c>
      <c r="G770" s="157">
        <v>638</v>
      </c>
      <c r="H770" s="196">
        <v>638</v>
      </c>
      <c r="I770" s="198">
        <v>0</v>
      </c>
      <c r="K770" s="170" t="str">
        <f t="shared" si="20"/>
        <v>548</v>
      </c>
    </row>
    <row r="771" spans="1:11" x14ac:dyDescent="0.3">
      <c r="A771" s="194">
        <v>548200</v>
      </c>
      <c r="B771" s="195" t="s">
        <v>1397</v>
      </c>
      <c r="C771" s="195" t="s">
        <v>1121</v>
      </c>
      <c r="D771" s="195" t="s">
        <v>686</v>
      </c>
      <c r="E771" s="196">
        <v>120020.17</v>
      </c>
      <c r="F771" s="159">
        <v>120020.17</v>
      </c>
      <c r="G771" s="158">
        <v>139019.59</v>
      </c>
      <c r="H771" s="196">
        <v>134356.39000000001</v>
      </c>
      <c r="I771" s="198">
        <v>14336.22</v>
      </c>
      <c r="K771" s="170" t="str">
        <f t="shared" ref="K771:K834" si="21">IF(A771&lt;100000,CONCATENATE(0,LEFT(A771,2)),LEFT(A771,3))</f>
        <v>548</v>
      </c>
    </row>
    <row r="772" spans="1:11" x14ac:dyDescent="0.3">
      <c r="A772" s="194">
        <v>548310</v>
      </c>
      <c r="B772" s="195" t="s">
        <v>1398</v>
      </c>
      <c r="C772" s="195" t="s">
        <v>1121</v>
      </c>
      <c r="D772" s="195" t="s">
        <v>686</v>
      </c>
      <c r="E772" s="196">
        <v>12108.3</v>
      </c>
      <c r="F772" s="159">
        <v>12108.3</v>
      </c>
      <c r="G772" s="157">
        <v>13108.3</v>
      </c>
      <c r="H772" s="196">
        <v>21108.3</v>
      </c>
      <c r="I772" s="198">
        <v>9000</v>
      </c>
      <c r="K772" s="170" t="str">
        <f t="shared" si="21"/>
        <v>548</v>
      </c>
    </row>
    <row r="773" spans="1:11" x14ac:dyDescent="0.3">
      <c r="A773" s="194">
        <v>548320</v>
      </c>
      <c r="B773" s="195" t="s">
        <v>110</v>
      </c>
      <c r="C773" s="195" t="s">
        <v>1121</v>
      </c>
      <c r="D773" s="195" t="s">
        <v>686</v>
      </c>
      <c r="E773" s="196">
        <v>4256.95</v>
      </c>
      <c r="F773" s="159">
        <v>4256.95</v>
      </c>
      <c r="G773" s="158">
        <v>4503.87</v>
      </c>
      <c r="H773" s="196">
        <v>4256.95</v>
      </c>
      <c r="I773" s="198">
        <v>0</v>
      </c>
      <c r="K773" s="170" t="str">
        <f t="shared" si="21"/>
        <v>548</v>
      </c>
    </row>
    <row r="774" spans="1:11" x14ac:dyDescent="0.3">
      <c r="A774" s="194">
        <v>548330</v>
      </c>
      <c r="B774" s="195" t="s">
        <v>1399</v>
      </c>
      <c r="C774" s="195" t="s">
        <v>1121</v>
      </c>
      <c r="D774" s="195" t="s">
        <v>686</v>
      </c>
      <c r="E774" s="196">
        <v>3572.69</v>
      </c>
      <c r="F774" s="159">
        <v>3572.69</v>
      </c>
      <c r="G774" s="157">
        <v>3875.81</v>
      </c>
      <c r="H774" s="196">
        <v>3572.69</v>
      </c>
      <c r="I774" s="198">
        <v>0</v>
      </c>
      <c r="K774" s="170" t="str">
        <f t="shared" si="21"/>
        <v>548</v>
      </c>
    </row>
    <row r="775" spans="1:11" x14ac:dyDescent="0.3">
      <c r="A775" s="194">
        <v>548340</v>
      </c>
      <c r="B775" s="195" t="s">
        <v>1400</v>
      </c>
      <c r="C775" s="195" t="s">
        <v>1121</v>
      </c>
      <c r="D775" s="195" t="s">
        <v>686</v>
      </c>
      <c r="E775" s="196">
        <v>563.35</v>
      </c>
      <c r="F775" s="159">
        <v>563.35</v>
      </c>
      <c r="G775" s="158">
        <v>1461.92</v>
      </c>
      <c r="H775" s="196">
        <v>4463.3500000000004</v>
      </c>
      <c r="I775" s="198">
        <v>3900</v>
      </c>
      <c r="K775" s="170" t="str">
        <f t="shared" si="21"/>
        <v>548</v>
      </c>
    </row>
    <row r="776" spans="1:11" x14ac:dyDescent="0.3">
      <c r="A776" s="194">
        <v>548350</v>
      </c>
      <c r="B776" s="195" t="s">
        <v>1401</v>
      </c>
      <c r="C776" s="195" t="s">
        <v>1121</v>
      </c>
      <c r="D776" s="195" t="s">
        <v>686</v>
      </c>
      <c r="E776" s="196">
        <v>10914.02</v>
      </c>
      <c r="F776" s="159">
        <v>10914.02</v>
      </c>
      <c r="G776" s="157">
        <v>11831.44</v>
      </c>
      <c r="H776" s="196">
        <v>10914.02</v>
      </c>
      <c r="I776" s="198">
        <v>0</v>
      </c>
      <c r="K776" s="170" t="str">
        <f t="shared" si="21"/>
        <v>548</v>
      </c>
    </row>
    <row r="777" spans="1:11" x14ac:dyDescent="0.3">
      <c r="A777" s="194">
        <v>548700</v>
      </c>
      <c r="B777" s="195" t="s">
        <v>1402</v>
      </c>
      <c r="C777" s="195" t="s">
        <v>1121</v>
      </c>
      <c r="D777" s="195" t="s">
        <v>686</v>
      </c>
      <c r="E777" s="196">
        <v>0</v>
      </c>
      <c r="F777" s="159">
        <v>0</v>
      </c>
      <c r="G777" s="158">
        <v>0</v>
      </c>
      <c r="H777" s="196">
        <v>0</v>
      </c>
      <c r="I777" s="198">
        <v>0</v>
      </c>
      <c r="K777" s="170" t="str">
        <f t="shared" si="21"/>
        <v>548</v>
      </c>
    </row>
    <row r="778" spans="1:11" x14ac:dyDescent="0.3">
      <c r="A778" s="194">
        <v>548800</v>
      </c>
      <c r="B778" s="195" t="s">
        <v>1403</v>
      </c>
      <c r="C778" s="195" t="s">
        <v>1121</v>
      </c>
      <c r="D778" s="195" t="s">
        <v>686</v>
      </c>
      <c r="E778" s="196">
        <v>9462.2999999999993</v>
      </c>
      <c r="F778" s="159">
        <v>9462.2999999999993</v>
      </c>
      <c r="G778" s="157">
        <v>9762.2999999999993</v>
      </c>
      <c r="H778" s="196">
        <v>10277.58</v>
      </c>
      <c r="I778" s="198">
        <v>815.28</v>
      </c>
      <c r="K778" s="170" t="str">
        <f t="shared" si="21"/>
        <v>548</v>
      </c>
    </row>
    <row r="779" spans="1:11" x14ac:dyDescent="0.3">
      <c r="A779" s="194">
        <v>548805</v>
      </c>
      <c r="B779" s="195" t="s">
        <v>1404</v>
      </c>
      <c r="C779" s="195" t="s">
        <v>1121</v>
      </c>
      <c r="D779" s="195" t="s">
        <v>686</v>
      </c>
      <c r="E779" s="196">
        <v>600</v>
      </c>
      <c r="F779" s="159">
        <v>600</v>
      </c>
      <c r="G779" s="158">
        <v>600</v>
      </c>
      <c r="H779" s="196">
        <v>600</v>
      </c>
      <c r="I779" s="198">
        <v>0</v>
      </c>
      <c r="K779" s="170" t="str">
        <f t="shared" si="21"/>
        <v>548</v>
      </c>
    </row>
    <row r="780" spans="1:11" x14ac:dyDescent="0.3">
      <c r="A780" s="194">
        <v>548810</v>
      </c>
      <c r="B780" s="195" t="s">
        <v>1405</v>
      </c>
      <c r="C780" s="195" t="s">
        <v>1121</v>
      </c>
      <c r="D780" s="195" t="s">
        <v>686</v>
      </c>
      <c r="E780" s="196">
        <v>0</v>
      </c>
      <c r="F780" s="159">
        <v>0</v>
      </c>
      <c r="G780" s="157">
        <v>0</v>
      </c>
      <c r="H780" s="196">
        <v>0</v>
      </c>
      <c r="I780" s="198">
        <v>0</v>
      </c>
      <c r="K780" s="170" t="str">
        <f t="shared" si="21"/>
        <v>548</v>
      </c>
    </row>
    <row r="781" spans="1:11" x14ac:dyDescent="0.3">
      <c r="A781" s="194">
        <v>548820</v>
      </c>
      <c r="B781" s="195" t="s">
        <v>1406</v>
      </c>
      <c r="C781" s="195" t="s">
        <v>1121</v>
      </c>
      <c r="D781" s="195" t="s">
        <v>686</v>
      </c>
      <c r="E781" s="196">
        <v>0</v>
      </c>
      <c r="F781" s="159">
        <v>0</v>
      </c>
      <c r="G781" s="158">
        <v>0</v>
      </c>
      <c r="H781" s="196">
        <v>0</v>
      </c>
      <c r="I781" s="198">
        <v>0</v>
      </c>
      <c r="K781" s="170" t="str">
        <f t="shared" si="21"/>
        <v>548</v>
      </c>
    </row>
    <row r="782" spans="1:11" x14ac:dyDescent="0.3">
      <c r="A782" s="194">
        <v>548900</v>
      </c>
      <c r="B782" s="195" t="s">
        <v>1407</v>
      </c>
      <c r="C782" s="195" t="s">
        <v>1121</v>
      </c>
      <c r="D782" s="195" t="s">
        <v>686</v>
      </c>
      <c r="E782" s="196">
        <v>7302.79</v>
      </c>
      <c r="F782" s="159">
        <v>7302.79</v>
      </c>
      <c r="G782" s="157">
        <v>7021.63</v>
      </c>
      <c r="H782" s="196">
        <v>7302.79</v>
      </c>
      <c r="I782" s="198">
        <v>0</v>
      </c>
      <c r="K782" s="170" t="str">
        <f t="shared" si="21"/>
        <v>548</v>
      </c>
    </row>
    <row r="783" spans="1:11" x14ac:dyDescent="0.3">
      <c r="A783" s="194">
        <v>548950</v>
      </c>
      <c r="B783" s="195" t="s">
        <v>1408</v>
      </c>
      <c r="C783" s="195" t="s">
        <v>1121</v>
      </c>
      <c r="D783" s="195" t="s">
        <v>686</v>
      </c>
      <c r="E783" s="196">
        <v>0</v>
      </c>
      <c r="F783" s="159">
        <v>0</v>
      </c>
      <c r="G783" s="158">
        <v>0</v>
      </c>
      <c r="H783" s="196">
        <v>0</v>
      </c>
      <c r="I783" s="198">
        <v>0</v>
      </c>
      <c r="K783" s="170" t="str">
        <f t="shared" si="21"/>
        <v>548</v>
      </c>
    </row>
    <row r="784" spans="1:11" x14ac:dyDescent="0.3">
      <c r="A784" s="194">
        <v>548990</v>
      </c>
      <c r="B784" s="195" t="s">
        <v>1409</v>
      </c>
      <c r="C784" s="195" t="s">
        <v>1121</v>
      </c>
      <c r="D784" s="195" t="s">
        <v>686</v>
      </c>
      <c r="E784" s="196">
        <v>557.17999999999995</v>
      </c>
      <c r="F784" s="159">
        <v>557.17999999999995</v>
      </c>
      <c r="G784" s="157">
        <v>557.17999999999995</v>
      </c>
      <c r="H784" s="196">
        <v>557.17999999999995</v>
      </c>
      <c r="I784" s="198">
        <v>0</v>
      </c>
      <c r="K784" s="170" t="str">
        <f t="shared" si="21"/>
        <v>548</v>
      </c>
    </row>
    <row r="785" spans="1:11" x14ac:dyDescent="0.3">
      <c r="A785" s="194">
        <v>548999</v>
      </c>
      <c r="B785" s="195" t="s">
        <v>1410</v>
      </c>
      <c r="C785" s="195" t="s">
        <v>1121</v>
      </c>
      <c r="D785" s="195" t="s">
        <v>690</v>
      </c>
      <c r="E785" s="196">
        <v>170020.1</v>
      </c>
      <c r="F785" s="159">
        <v>170020.1</v>
      </c>
      <c r="G785" s="158">
        <v>192404.42</v>
      </c>
      <c r="H785" s="196">
        <v>198073.73</v>
      </c>
      <c r="I785" s="198">
        <v>28053.63</v>
      </c>
      <c r="K785" s="170" t="str">
        <f t="shared" si="21"/>
        <v>548</v>
      </c>
    </row>
    <row r="786" spans="1:11" x14ac:dyDescent="0.3">
      <c r="A786" s="194">
        <v>549000</v>
      </c>
      <c r="B786" s="195" t="s">
        <v>1411</v>
      </c>
      <c r="C786" s="195" t="s">
        <v>1121</v>
      </c>
      <c r="D786" s="195" t="s">
        <v>687</v>
      </c>
      <c r="E786" s="196">
        <v>0</v>
      </c>
      <c r="F786" s="159">
        <v>0</v>
      </c>
      <c r="G786" s="157">
        <v>0</v>
      </c>
      <c r="H786" s="196">
        <v>0</v>
      </c>
      <c r="I786" s="198">
        <v>0</v>
      </c>
      <c r="K786" s="170" t="str">
        <f t="shared" si="21"/>
        <v>549</v>
      </c>
    </row>
    <row r="787" spans="1:11" x14ac:dyDescent="0.3">
      <c r="A787" s="194">
        <v>549100</v>
      </c>
      <c r="B787" s="195" t="s">
        <v>1412</v>
      </c>
      <c r="C787" s="195" t="s">
        <v>1121</v>
      </c>
      <c r="D787" s="195" t="s">
        <v>686</v>
      </c>
      <c r="E787" s="196">
        <v>0</v>
      </c>
      <c r="F787" s="159">
        <v>0</v>
      </c>
      <c r="G787" s="158">
        <v>0</v>
      </c>
      <c r="H787" s="196">
        <v>0</v>
      </c>
      <c r="I787" s="198">
        <v>0</v>
      </c>
      <c r="K787" s="170" t="str">
        <f t="shared" si="21"/>
        <v>549</v>
      </c>
    </row>
    <row r="788" spans="1:11" x14ac:dyDescent="0.3">
      <c r="A788" s="194">
        <v>549300</v>
      </c>
      <c r="B788" s="195" t="s">
        <v>1413</v>
      </c>
      <c r="C788" s="195" t="s">
        <v>1121</v>
      </c>
      <c r="D788" s="195" t="s">
        <v>686</v>
      </c>
      <c r="E788" s="196">
        <v>0</v>
      </c>
      <c r="F788" s="159">
        <v>0</v>
      </c>
      <c r="G788" s="157">
        <v>0</v>
      </c>
      <c r="H788" s="196">
        <v>0</v>
      </c>
      <c r="I788" s="198">
        <v>0</v>
      </c>
      <c r="K788" s="170" t="str">
        <f t="shared" si="21"/>
        <v>549</v>
      </c>
    </row>
    <row r="789" spans="1:11" x14ac:dyDescent="0.3">
      <c r="A789" s="194">
        <v>549800</v>
      </c>
      <c r="B789" s="195" t="s">
        <v>1414</v>
      </c>
      <c r="C789" s="195" t="s">
        <v>1121</v>
      </c>
      <c r="D789" s="195" t="s">
        <v>686</v>
      </c>
      <c r="E789" s="196">
        <v>0</v>
      </c>
      <c r="F789" s="159">
        <v>0</v>
      </c>
      <c r="G789" s="158">
        <v>0</v>
      </c>
      <c r="H789" s="196">
        <v>0</v>
      </c>
      <c r="I789" s="198">
        <v>0</v>
      </c>
      <c r="K789" s="170" t="str">
        <f t="shared" si="21"/>
        <v>549</v>
      </c>
    </row>
    <row r="790" spans="1:11" x14ac:dyDescent="0.3">
      <c r="A790" s="194">
        <v>549998</v>
      </c>
      <c r="B790" s="195" t="s">
        <v>1415</v>
      </c>
      <c r="C790" s="195" t="s">
        <v>1121</v>
      </c>
      <c r="D790" s="195" t="s">
        <v>690</v>
      </c>
      <c r="E790" s="196">
        <v>0</v>
      </c>
      <c r="F790" s="159">
        <v>0</v>
      </c>
      <c r="G790" s="157">
        <v>0</v>
      </c>
      <c r="H790" s="196">
        <v>0</v>
      </c>
      <c r="I790" s="198">
        <v>0</v>
      </c>
      <c r="K790" s="170" t="str">
        <f t="shared" si="21"/>
        <v>549</v>
      </c>
    </row>
    <row r="791" spans="1:11" x14ac:dyDescent="0.3">
      <c r="A791" s="194">
        <v>549999</v>
      </c>
      <c r="B791" s="195" t="s">
        <v>1416</v>
      </c>
      <c r="C791" s="195" t="s">
        <v>1121</v>
      </c>
      <c r="D791" s="195" t="s">
        <v>690</v>
      </c>
      <c r="E791" s="196">
        <v>5542076.9699999997</v>
      </c>
      <c r="F791" s="159">
        <v>5542076.9699999997</v>
      </c>
      <c r="G791" s="158">
        <v>5942617.5099999998</v>
      </c>
      <c r="H791" s="196">
        <v>6791174.8700000001</v>
      </c>
      <c r="I791" s="198">
        <v>1249097.8999999999</v>
      </c>
      <c r="K791" s="170" t="str">
        <f t="shared" si="21"/>
        <v>549</v>
      </c>
    </row>
    <row r="792" spans="1:11" x14ac:dyDescent="0.3">
      <c r="A792" s="194">
        <v>550000</v>
      </c>
      <c r="B792" s="195" t="s">
        <v>1417</v>
      </c>
      <c r="C792" s="195" t="s">
        <v>1121</v>
      </c>
      <c r="D792" s="195" t="s">
        <v>687</v>
      </c>
      <c r="E792" s="196">
        <v>0</v>
      </c>
      <c r="F792" s="159">
        <v>0</v>
      </c>
      <c r="G792" s="157">
        <v>0</v>
      </c>
      <c r="H792" s="196">
        <v>0</v>
      </c>
      <c r="I792" s="198">
        <v>0</v>
      </c>
      <c r="K792" s="170" t="str">
        <f t="shared" si="21"/>
        <v>550</v>
      </c>
    </row>
    <row r="793" spans="1:11" x14ac:dyDescent="0.3">
      <c r="A793" s="194">
        <v>551000</v>
      </c>
      <c r="B793" s="195" t="s">
        <v>1418</v>
      </c>
      <c r="C793" s="195" t="s">
        <v>1121</v>
      </c>
      <c r="D793" s="195" t="s">
        <v>687</v>
      </c>
      <c r="E793" s="196">
        <v>0</v>
      </c>
      <c r="F793" s="159">
        <v>0</v>
      </c>
      <c r="G793" s="158">
        <v>0</v>
      </c>
      <c r="H793" s="196">
        <v>0</v>
      </c>
      <c r="I793" s="198">
        <v>0</v>
      </c>
      <c r="K793" s="170" t="str">
        <f t="shared" si="21"/>
        <v>551</v>
      </c>
    </row>
    <row r="794" spans="1:11" x14ac:dyDescent="0.3">
      <c r="A794" s="194">
        <v>551073</v>
      </c>
      <c r="B794" s="195" t="s">
        <v>1419</v>
      </c>
      <c r="C794" s="195" t="s">
        <v>1121</v>
      </c>
      <c r="D794" s="195" t="s">
        <v>686</v>
      </c>
      <c r="E794" s="196">
        <v>971.42</v>
      </c>
      <c r="F794" s="159">
        <v>971.42</v>
      </c>
      <c r="G794" s="157">
        <v>1046.25</v>
      </c>
      <c r="H794" s="196">
        <v>971.42</v>
      </c>
      <c r="I794" s="198">
        <v>0</v>
      </c>
      <c r="K794" s="170" t="str">
        <f t="shared" si="21"/>
        <v>551</v>
      </c>
    </row>
    <row r="795" spans="1:11" x14ac:dyDescent="0.3">
      <c r="A795" s="194">
        <v>551081</v>
      </c>
      <c r="B795" s="195" t="s">
        <v>1420</v>
      </c>
      <c r="C795" s="195" t="s">
        <v>1121</v>
      </c>
      <c r="D795" s="195" t="s">
        <v>686</v>
      </c>
      <c r="E795" s="196">
        <v>1051.8599999999999</v>
      </c>
      <c r="F795" s="159">
        <v>1051.8599999999999</v>
      </c>
      <c r="G795" s="158">
        <v>1139.51</v>
      </c>
      <c r="H795" s="196">
        <v>1051.8599999999999</v>
      </c>
      <c r="I795" s="198">
        <v>0</v>
      </c>
      <c r="K795" s="170" t="str">
        <f t="shared" si="21"/>
        <v>551</v>
      </c>
    </row>
    <row r="796" spans="1:11" x14ac:dyDescent="0.3">
      <c r="A796" s="194">
        <v>551089</v>
      </c>
      <c r="B796" s="195" t="s">
        <v>1421</v>
      </c>
      <c r="C796" s="195" t="s">
        <v>1121</v>
      </c>
      <c r="D796" s="195" t="s">
        <v>686</v>
      </c>
      <c r="E796" s="196">
        <v>157.06</v>
      </c>
      <c r="F796" s="159">
        <v>157.06</v>
      </c>
      <c r="G796" s="157">
        <v>172.46</v>
      </c>
      <c r="H796" s="196">
        <v>157.06</v>
      </c>
      <c r="I796" s="198">
        <v>0</v>
      </c>
      <c r="K796" s="170" t="str">
        <f t="shared" si="21"/>
        <v>551</v>
      </c>
    </row>
    <row r="797" spans="1:11" x14ac:dyDescent="0.3">
      <c r="A797" s="194">
        <v>551401</v>
      </c>
      <c r="B797" s="195" t="s">
        <v>1422</v>
      </c>
      <c r="C797" s="195" t="s">
        <v>1121</v>
      </c>
      <c r="D797" s="195" t="s">
        <v>686</v>
      </c>
      <c r="E797" s="196">
        <v>322035.74</v>
      </c>
      <c r="F797" s="159">
        <v>322035.74</v>
      </c>
      <c r="G797" s="158">
        <v>350578.67</v>
      </c>
      <c r="H797" s="196">
        <v>322789.78000000003</v>
      </c>
      <c r="I797" s="198">
        <v>754.04</v>
      </c>
      <c r="K797" s="170" t="str">
        <f t="shared" si="21"/>
        <v>551</v>
      </c>
    </row>
    <row r="798" spans="1:11" x14ac:dyDescent="0.3">
      <c r="A798" s="194">
        <v>551402</v>
      </c>
      <c r="B798" s="195" t="s">
        <v>1423</v>
      </c>
      <c r="C798" s="195" t="s">
        <v>1121</v>
      </c>
      <c r="D798" s="195" t="s">
        <v>686</v>
      </c>
      <c r="E798" s="196">
        <v>76383.48</v>
      </c>
      <c r="F798" s="159">
        <v>76383.48</v>
      </c>
      <c r="G798" s="157">
        <v>83664.73</v>
      </c>
      <c r="H798" s="196">
        <v>76383.48</v>
      </c>
      <c r="I798" s="198">
        <v>0</v>
      </c>
      <c r="K798" s="170" t="str">
        <f t="shared" si="21"/>
        <v>551</v>
      </c>
    </row>
    <row r="799" spans="1:11" x14ac:dyDescent="0.3">
      <c r="A799" s="194">
        <v>551404</v>
      </c>
      <c r="B799" s="195" t="s">
        <v>1424</v>
      </c>
      <c r="C799" s="195" t="s">
        <v>1121</v>
      </c>
      <c r="D799" s="195" t="s">
        <v>686</v>
      </c>
      <c r="E799" s="196">
        <v>30861.38</v>
      </c>
      <c r="F799" s="159">
        <v>30861.38</v>
      </c>
      <c r="G799" s="158">
        <v>32978.019999999997</v>
      </c>
      <c r="H799" s="196">
        <v>30861.38</v>
      </c>
      <c r="I799" s="198">
        <v>0</v>
      </c>
      <c r="K799" s="170" t="str">
        <f t="shared" si="21"/>
        <v>551</v>
      </c>
    </row>
    <row r="800" spans="1:11" x14ac:dyDescent="0.3">
      <c r="A800" s="194">
        <v>551601</v>
      </c>
      <c r="B800" s="195" t="s">
        <v>1425</v>
      </c>
      <c r="C800" s="195" t="s">
        <v>1121</v>
      </c>
      <c r="D800" s="195" t="s">
        <v>686</v>
      </c>
      <c r="E800" s="196">
        <v>0</v>
      </c>
      <c r="F800" s="159">
        <v>0</v>
      </c>
      <c r="G800" s="157">
        <v>0</v>
      </c>
      <c r="H800" s="196">
        <v>0</v>
      </c>
      <c r="I800" s="198">
        <v>0</v>
      </c>
      <c r="K800" s="170" t="str">
        <f t="shared" si="21"/>
        <v>551</v>
      </c>
    </row>
    <row r="801" spans="1:11" x14ac:dyDescent="0.3">
      <c r="A801" s="194">
        <v>551603</v>
      </c>
      <c r="B801" s="195" t="s">
        <v>1426</v>
      </c>
      <c r="C801" s="195" t="s">
        <v>1121</v>
      </c>
      <c r="D801" s="195" t="s">
        <v>686</v>
      </c>
      <c r="E801" s="196">
        <v>54459.55</v>
      </c>
      <c r="F801" s="159">
        <v>54459.55</v>
      </c>
      <c r="G801" s="158">
        <v>58913.75</v>
      </c>
      <c r="H801" s="196">
        <v>54459.55</v>
      </c>
      <c r="I801" s="198">
        <v>0</v>
      </c>
      <c r="K801" s="170" t="str">
        <f t="shared" si="21"/>
        <v>551</v>
      </c>
    </row>
    <row r="802" spans="1:11" x14ac:dyDescent="0.3">
      <c r="A802" s="194">
        <v>551604</v>
      </c>
      <c r="B802" s="195" t="s">
        <v>1427</v>
      </c>
      <c r="C802" s="195" t="s">
        <v>1121</v>
      </c>
      <c r="D802" s="195" t="s">
        <v>686</v>
      </c>
      <c r="E802" s="196">
        <v>583.16</v>
      </c>
      <c r="F802" s="159">
        <v>583.16</v>
      </c>
      <c r="G802" s="157">
        <v>599.13</v>
      </c>
      <c r="H802" s="196">
        <v>583.16</v>
      </c>
      <c r="I802" s="198">
        <v>0</v>
      </c>
      <c r="K802" s="170" t="str">
        <f t="shared" si="21"/>
        <v>551</v>
      </c>
    </row>
    <row r="803" spans="1:11" x14ac:dyDescent="0.3">
      <c r="A803" s="194">
        <v>551605</v>
      </c>
      <c r="B803" s="195" t="s">
        <v>1428</v>
      </c>
      <c r="C803" s="195" t="s">
        <v>1121</v>
      </c>
      <c r="D803" s="195" t="s">
        <v>686</v>
      </c>
      <c r="E803" s="196">
        <v>0</v>
      </c>
      <c r="F803" s="159">
        <v>0</v>
      </c>
      <c r="G803" s="158">
        <v>0</v>
      </c>
      <c r="H803" s="196">
        <v>0</v>
      </c>
      <c r="I803" s="198">
        <v>0</v>
      </c>
      <c r="K803" s="170" t="str">
        <f t="shared" si="21"/>
        <v>551</v>
      </c>
    </row>
    <row r="804" spans="1:11" x14ac:dyDescent="0.3">
      <c r="A804" s="194">
        <v>551701</v>
      </c>
      <c r="B804" s="195" t="s">
        <v>1429</v>
      </c>
      <c r="C804" s="195" t="s">
        <v>1121</v>
      </c>
      <c r="D804" s="195" t="s">
        <v>686</v>
      </c>
      <c r="E804" s="196">
        <v>3638.07</v>
      </c>
      <c r="F804" s="159">
        <v>3638.07</v>
      </c>
      <c r="G804" s="157">
        <v>4088.12</v>
      </c>
      <c r="H804" s="196">
        <v>3638.07</v>
      </c>
      <c r="I804" s="198">
        <v>0</v>
      </c>
      <c r="K804" s="170" t="str">
        <f t="shared" si="21"/>
        <v>551</v>
      </c>
    </row>
    <row r="805" spans="1:11" x14ac:dyDescent="0.3">
      <c r="A805" s="194">
        <v>551702</v>
      </c>
      <c r="B805" s="195" t="s">
        <v>1430</v>
      </c>
      <c r="C805" s="195" t="s">
        <v>1121</v>
      </c>
      <c r="D805" s="195" t="s">
        <v>686</v>
      </c>
      <c r="E805" s="196">
        <v>18475.63</v>
      </c>
      <c r="F805" s="159">
        <v>18475.63</v>
      </c>
      <c r="G805" s="158">
        <v>20063.060000000001</v>
      </c>
      <c r="H805" s="196">
        <v>18475.63</v>
      </c>
      <c r="I805" s="198">
        <v>0</v>
      </c>
      <c r="K805" s="170" t="str">
        <f t="shared" si="21"/>
        <v>551</v>
      </c>
    </row>
    <row r="806" spans="1:11" x14ac:dyDescent="0.3">
      <c r="A806" s="194">
        <v>551703</v>
      </c>
      <c r="B806" s="195" t="s">
        <v>1431</v>
      </c>
      <c r="C806" s="195" t="s">
        <v>1121</v>
      </c>
      <c r="D806" s="195" t="s">
        <v>686</v>
      </c>
      <c r="E806" s="196">
        <v>15699.93</v>
      </c>
      <c r="F806" s="159">
        <v>15699.93</v>
      </c>
      <c r="G806" s="157">
        <v>17283.72</v>
      </c>
      <c r="H806" s="196">
        <v>15699.93</v>
      </c>
      <c r="I806" s="198">
        <v>0</v>
      </c>
      <c r="K806" s="170" t="str">
        <f t="shared" si="21"/>
        <v>551</v>
      </c>
    </row>
    <row r="807" spans="1:11" x14ac:dyDescent="0.3">
      <c r="A807" s="194">
        <v>551704</v>
      </c>
      <c r="B807" s="195" t="s">
        <v>1432</v>
      </c>
      <c r="C807" s="195" t="s">
        <v>1121</v>
      </c>
      <c r="D807" s="195" t="s">
        <v>686</v>
      </c>
      <c r="E807" s="196">
        <v>25527.38</v>
      </c>
      <c r="F807" s="159">
        <v>25527.38</v>
      </c>
      <c r="G807" s="158">
        <v>27696.639999999999</v>
      </c>
      <c r="H807" s="196">
        <v>25527.38</v>
      </c>
      <c r="I807" s="198">
        <v>0</v>
      </c>
      <c r="K807" s="170" t="str">
        <f t="shared" si="21"/>
        <v>551</v>
      </c>
    </row>
    <row r="808" spans="1:11" x14ac:dyDescent="0.3">
      <c r="A808" s="194">
        <v>551705</v>
      </c>
      <c r="B808" s="195" t="s">
        <v>1433</v>
      </c>
      <c r="C808" s="195" t="s">
        <v>1121</v>
      </c>
      <c r="D808" s="195" t="s">
        <v>686</v>
      </c>
      <c r="E808" s="196">
        <v>968.16</v>
      </c>
      <c r="F808" s="159">
        <v>968.16</v>
      </c>
      <c r="G808" s="157">
        <v>1048.8399999999999</v>
      </c>
      <c r="H808" s="196">
        <v>968.16</v>
      </c>
      <c r="I808" s="198">
        <v>0</v>
      </c>
      <c r="K808" s="170" t="str">
        <f t="shared" si="21"/>
        <v>551</v>
      </c>
    </row>
    <row r="809" spans="1:11" x14ac:dyDescent="0.3">
      <c r="A809" s="194">
        <v>551710</v>
      </c>
      <c r="B809" s="195" t="s">
        <v>1434</v>
      </c>
      <c r="C809" s="195" t="s">
        <v>1121</v>
      </c>
      <c r="D809" s="195" t="s">
        <v>686</v>
      </c>
      <c r="E809" s="196">
        <v>6231.67</v>
      </c>
      <c r="F809" s="159">
        <v>6231.67</v>
      </c>
      <c r="G809" s="158">
        <v>6742.95</v>
      </c>
      <c r="H809" s="196">
        <v>6231.67</v>
      </c>
      <c r="I809" s="198">
        <v>0</v>
      </c>
      <c r="K809" s="170" t="str">
        <f t="shared" si="21"/>
        <v>551</v>
      </c>
    </row>
    <row r="810" spans="1:11" x14ac:dyDescent="0.3">
      <c r="A810" s="194">
        <v>551999</v>
      </c>
      <c r="B810" s="195" t="s">
        <v>1435</v>
      </c>
      <c r="C810" s="195" t="s">
        <v>1121</v>
      </c>
      <c r="D810" s="195" t="s">
        <v>690</v>
      </c>
      <c r="E810" s="196">
        <v>557044.49</v>
      </c>
      <c r="F810" s="159">
        <v>557044.49</v>
      </c>
      <c r="G810" s="157">
        <v>606015.85</v>
      </c>
      <c r="H810" s="196">
        <v>557798.53</v>
      </c>
      <c r="I810" s="198">
        <v>754.04</v>
      </c>
      <c r="K810" s="170" t="str">
        <f t="shared" si="21"/>
        <v>551</v>
      </c>
    </row>
    <row r="811" spans="1:11" x14ac:dyDescent="0.3">
      <c r="A811" s="194">
        <v>553000</v>
      </c>
      <c r="B811" s="195" t="s">
        <v>1436</v>
      </c>
      <c r="C811" s="195" t="s">
        <v>1121</v>
      </c>
      <c r="D811" s="195" t="s">
        <v>687</v>
      </c>
      <c r="E811" s="196">
        <v>0</v>
      </c>
      <c r="F811" s="159">
        <v>0</v>
      </c>
      <c r="G811" s="158">
        <v>0</v>
      </c>
      <c r="H811" s="196">
        <v>0</v>
      </c>
      <c r="I811" s="198">
        <v>0</v>
      </c>
      <c r="K811" s="170" t="str">
        <f t="shared" si="21"/>
        <v>553</v>
      </c>
    </row>
    <row r="812" spans="1:11" x14ac:dyDescent="0.3">
      <c r="A812" s="194">
        <v>553100</v>
      </c>
      <c r="B812" s="195" t="s">
        <v>1436</v>
      </c>
      <c r="C812" s="195" t="s">
        <v>1121</v>
      </c>
      <c r="D812" s="195" t="s">
        <v>686</v>
      </c>
      <c r="E812" s="196">
        <v>0</v>
      </c>
      <c r="F812" s="159">
        <v>0</v>
      </c>
      <c r="G812" s="157">
        <v>0</v>
      </c>
      <c r="H812" s="196">
        <v>0</v>
      </c>
      <c r="I812" s="198">
        <v>0</v>
      </c>
      <c r="K812" s="170" t="str">
        <f t="shared" si="21"/>
        <v>553</v>
      </c>
    </row>
    <row r="813" spans="1:11" x14ac:dyDescent="0.3">
      <c r="A813" s="194">
        <v>553401</v>
      </c>
      <c r="B813" s="195" t="s">
        <v>1437</v>
      </c>
      <c r="C813" s="195" t="s">
        <v>1121</v>
      </c>
      <c r="D813" s="195" t="s">
        <v>686</v>
      </c>
      <c r="E813" s="196">
        <v>0</v>
      </c>
      <c r="F813" s="159">
        <v>0</v>
      </c>
      <c r="G813" s="158">
        <v>0</v>
      </c>
      <c r="H813" s="196">
        <v>0</v>
      </c>
      <c r="I813" s="198">
        <v>0</v>
      </c>
      <c r="K813" s="170" t="str">
        <f t="shared" si="21"/>
        <v>553</v>
      </c>
    </row>
    <row r="814" spans="1:11" x14ac:dyDescent="0.3">
      <c r="A814" s="194">
        <v>553402</v>
      </c>
      <c r="B814" s="195" t="s">
        <v>1438</v>
      </c>
      <c r="C814" s="195" t="s">
        <v>1121</v>
      </c>
      <c r="D814" s="195" t="s">
        <v>686</v>
      </c>
      <c r="E814" s="196">
        <v>0</v>
      </c>
      <c r="F814" s="159">
        <v>0</v>
      </c>
      <c r="G814" s="157">
        <v>0</v>
      </c>
      <c r="H814" s="196">
        <v>0</v>
      </c>
      <c r="I814" s="198">
        <v>0</v>
      </c>
      <c r="K814" s="170" t="str">
        <f t="shared" si="21"/>
        <v>553</v>
      </c>
    </row>
    <row r="815" spans="1:11" x14ac:dyDescent="0.3">
      <c r="A815" s="194">
        <v>553999</v>
      </c>
      <c r="B815" s="195" t="s">
        <v>1439</v>
      </c>
      <c r="C815" s="195" t="s">
        <v>1121</v>
      </c>
      <c r="D815" s="195" t="s">
        <v>690</v>
      </c>
      <c r="E815" s="196">
        <v>0</v>
      </c>
      <c r="F815" s="159">
        <v>0</v>
      </c>
      <c r="G815" s="158">
        <v>0</v>
      </c>
      <c r="H815" s="196">
        <v>0</v>
      </c>
      <c r="I815" s="198">
        <v>0</v>
      </c>
      <c r="K815" s="170" t="str">
        <f t="shared" si="21"/>
        <v>553</v>
      </c>
    </row>
    <row r="816" spans="1:11" x14ac:dyDescent="0.3">
      <c r="A816" s="194">
        <v>557000</v>
      </c>
      <c r="B816" s="195" t="s">
        <v>1440</v>
      </c>
      <c r="C816" s="195" t="s">
        <v>1121</v>
      </c>
      <c r="D816" s="195" t="s">
        <v>687</v>
      </c>
      <c r="E816" s="196">
        <v>0</v>
      </c>
      <c r="F816" s="159">
        <v>0</v>
      </c>
      <c r="G816" s="157">
        <v>0</v>
      </c>
      <c r="H816" s="196">
        <v>0</v>
      </c>
      <c r="I816" s="198">
        <v>0</v>
      </c>
      <c r="K816" s="170" t="str">
        <f t="shared" si="21"/>
        <v>557</v>
      </c>
    </row>
    <row r="817" spans="1:11" x14ac:dyDescent="0.3">
      <c r="A817" s="194">
        <v>557999</v>
      </c>
      <c r="B817" s="195" t="s">
        <v>1441</v>
      </c>
      <c r="C817" s="195" t="s">
        <v>1121</v>
      </c>
      <c r="D817" s="195" t="s">
        <v>690</v>
      </c>
      <c r="E817" s="196">
        <v>0</v>
      </c>
      <c r="F817" s="159">
        <v>0</v>
      </c>
      <c r="G817" s="158">
        <v>0</v>
      </c>
      <c r="H817" s="196">
        <v>0</v>
      </c>
      <c r="I817" s="198">
        <v>0</v>
      </c>
      <c r="K817" s="170" t="str">
        <f t="shared" si="21"/>
        <v>557</v>
      </c>
    </row>
    <row r="818" spans="1:11" x14ac:dyDescent="0.3">
      <c r="A818" s="194">
        <v>559000</v>
      </c>
      <c r="B818" s="195" t="s">
        <v>1442</v>
      </c>
      <c r="C818" s="195" t="s">
        <v>1121</v>
      </c>
      <c r="D818" s="195" t="s">
        <v>687</v>
      </c>
      <c r="E818" s="196">
        <v>0</v>
      </c>
      <c r="F818" s="159">
        <v>0</v>
      </c>
      <c r="G818" s="157">
        <v>0</v>
      </c>
      <c r="H818" s="196">
        <v>0</v>
      </c>
      <c r="I818" s="198">
        <v>0</v>
      </c>
      <c r="K818" s="170" t="str">
        <f t="shared" si="21"/>
        <v>559</v>
      </c>
    </row>
    <row r="819" spans="1:11" x14ac:dyDescent="0.3">
      <c r="A819" s="194">
        <v>559100</v>
      </c>
      <c r="B819" s="195" t="s">
        <v>1443</v>
      </c>
      <c r="C819" s="195" t="s">
        <v>1121</v>
      </c>
      <c r="D819" s="195" t="s">
        <v>686</v>
      </c>
      <c r="E819" s="196">
        <v>0</v>
      </c>
      <c r="F819" s="159">
        <v>0</v>
      </c>
      <c r="G819" s="158">
        <v>0</v>
      </c>
      <c r="H819" s="196">
        <v>0</v>
      </c>
      <c r="I819" s="198">
        <v>0</v>
      </c>
      <c r="K819" s="170" t="str">
        <f t="shared" si="21"/>
        <v>559</v>
      </c>
    </row>
    <row r="820" spans="1:11" x14ac:dyDescent="0.3">
      <c r="A820" s="194">
        <v>559998</v>
      </c>
      <c r="B820" s="195" t="s">
        <v>1444</v>
      </c>
      <c r="C820" s="195" t="s">
        <v>1121</v>
      </c>
      <c r="D820" s="195" t="s">
        <v>690</v>
      </c>
      <c r="E820" s="196">
        <v>0</v>
      </c>
      <c r="F820" s="159">
        <v>0</v>
      </c>
      <c r="G820" s="157">
        <v>0</v>
      </c>
      <c r="H820" s="196">
        <v>0</v>
      </c>
      <c r="I820" s="198">
        <v>0</v>
      </c>
      <c r="K820" s="170" t="str">
        <f t="shared" si="21"/>
        <v>559</v>
      </c>
    </row>
    <row r="821" spans="1:11" x14ac:dyDescent="0.3">
      <c r="A821" s="194">
        <v>559999</v>
      </c>
      <c r="B821" s="195" t="s">
        <v>1445</v>
      </c>
      <c r="C821" s="195" t="s">
        <v>1121</v>
      </c>
      <c r="D821" s="195" t="s">
        <v>690</v>
      </c>
      <c r="E821" s="196">
        <v>557044.49</v>
      </c>
      <c r="F821" s="159">
        <v>557044.49</v>
      </c>
      <c r="G821" s="158">
        <v>606015.85</v>
      </c>
      <c r="H821" s="196">
        <v>557798.53</v>
      </c>
      <c r="I821" s="198">
        <v>754.04</v>
      </c>
      <c r="K821" s="170" t="str">
        <f t="shared" si="21"/>
        <v>559</v>
      </c>
    </row>
    <row r="822" spans="1:11" x14ac:dyDescent="0.3">
      <c r="A822" s="194">
        <v>560000</v>
      </c>
      <c r="B822" s="195" t="s">
        <v>1446</v>
      </c>
      <c r="C822" s="195" t="s">
        <v>1121</v>
      </c>
      <c r="D822" s="195" t="s">
        <v>687</v>
      </c>
      <c r="E822" s="196">
        <v>0</v>
      </c>
      <c r="F822" s="159">
        <v>0</v>
      </c>
      <c r="G822" s="157">
        <v>0</v>
      </c>
      <c r="H822" s="196">
        <v>0</v>
      </c>
      <c r="I822" s="198">
        <v>0</v>
      </c>
      <c r="K822" s="170" t="str">
        <f t="shared" si="21"/>
        <v>560</v>
      </c>
    </row>
    <row r="823" spans="1:11" x14ac:dyDescent="0.3">
      <c r="A823" s="194">
        <v>561000</v>
      </c>
      <c r="B823" s="195" t="s">
        <v>1447</v>
      </c>
      <c r="C823" s="195" t="s">
        <v>1121</v>
      </c>
      <c r="D823" s="195" t="s">
        <v>687</v>
      </c>
      <c r="E823" s="196">
        <v>0</v>
      </c>
      <c r="F823" s="159">
        <v>0</v>
      </c>
      <c r="G823" s="158">
        <v>0</v>
      </c>
      <c r="H823" s="196">
        <v>0</v>
      </c>
      <c r="I823" s="198">
        <v>0</v>
      </c>
      <c r="K823" s="170" t="str">
        <f t="shared" si="21"/>
        <v>561</v>
      </c>
    </row>
    <row r="824" spans="1:11" x14ac:dyDescent="0.3">
      <c r="A824" s="194">
        <v>561999</v>
      </c>
      <c r="B824" s="195" t="s">
        <v>1448</v>
      </c>
      <c r="C824" s="195" t="s">
        <v>1121</v>
      </c>
      <c r="D824" s="195" t="s">
        <v>690</v>
      </c>
      <c r="E824" s="196">
        <v>0</v>
      </c>
      <c r="F824" s="159">
        <v>0</v>
      </c>
      <c r="G824" s="157">
        <v>0</v>
      </c>
      <c r="H824" s="196">
        <v>0</v>
      </c>
      <c r="I824" s="198">
        <v>0</v>
      </c>
      <c r="K824" s="170" t="str">
        <f t="shared" si="21"/>
        <v>561</v>
      </c>
    </row>
    <row r="825" spans="1:11" x14ac:dyDescent="0.3">
      <c r="A825" s="194">
        <v>562000</v>
      </c>
      <c r="B825" s="195" t="s">
        <v>1449</v>
      </c>
      <c r="C825" s="195" t="s">
        <v>1121</v>
      </c>
      <c r="D825" s="195" t="s">
        <v>687</v>
      </c>
      <c r="E825" s="196">
        <v>0</v>
      </c>
      <c r="F825" s="159">
        <v>0</v>
      </c>
      <c r="G825" s="158">
        <v>0</v>
      </c>
      <c r="H825" s="196">
        <v>0</v>
      </c>
      <c r="I825" s="198">
        <v>0</v>
      </c>
      <c r="K825" s="170" t="str">
        <f t="shared" si="21"/>
        <v>562</v>
      </c>
    </row>
    <row r="826" spans="1:11" x14ac:dyDescent="0.3">
      <c r="A826" s="194">
        <v>562100</v>
      </c>
      <c r="B826" s="195" t="s">
        <v>1450</v>
      </c>
      <c r="C826" s="195" t="s">
        <v>1121</v>
      </c>
      <c r="D826" s="195" t="s">
        <v>686</v>
      </c>
      <c r="E826" s="196">
        <v>1407.92</v>
      </c>
      <c r="F826" s="159">
        <v>1407.92</v>
      </c>
      <c r="G826" s="157">
        <v>2235.21</v>
      </c>
      <c r="H826" s="196">
        <v>1407.92</v>
      </c>
      <c r="I826" s="198">
        <v>0</v>
      </c>
      <c r="K826" s="170" t="str">
        <f t="shared" si="21"/>
        <v>562</v>
      </c>
    </row>
    <row r="827" spans="1:11" x14ac:dyDescent="0.3">
      <c r="A827" s="194">
        <v>562200</v>
      </c>
      <c r="B827" s="195" t="s">
        <v>1451</v>
      </c>
      <c r="C827" s="195" t="s">
        <v>1121</v>
      </c>
      <c r="D827" s="195" t="s">
        <v>686</v>
      </c>
      <c r="E827" s="196">
        <v>52007.92</v>
      </c>
      <c r="F827" s="159">
        <v>52007.92</v>
      </c>
      <c r="G827" s="158">
        <v>54861.17</v>
      </c>
      <c r="H827" s="196">
        <v>52007.92</v>
      </c>
      <c r="I827" s="198">
        <v>0</v>
      </c>
      <c r="K827" s="170" t="str">
        <f t="shared" si="21"/>
        <v>562</v>
      </c>
    </row>
    <row r="828" spans="1:11" x14ac:dyDescent="0.3">
      <c r="A828" s="194">
        <v>562300</v>
      </c>
      <c r="B828" s="195" t="s">
        <v>1452</v>
      </c>
      <c r="C828" s="195" t="s">
        <v>1121</v>
      </c>
      <c r="D828" s="195" t="s">
        <v>686</v>
      </c>
      <c r="E828" s="196">
        <v>0</v>
      </c>
      <c r="F828" s="159">
        <v>0</v>
      </c>
      <c r="G828" s="157">
        <v>0</v>
      </c>
      <c r="H828" s="196">
        <v>0</v>
      </c>
      <c r="I828" s="198">
        <v>0</v>
      </c>
      <c r="K828" s="170" t="str">
        <f t="shared" si="21"/>
        <v>562</v>
      </c>
    </row>
    <row r="829" spans="1:11" x14ac:dyDescent="0.3">
      <c r="A829" s="194">
        <v>562999</v>
      </c>
      <c r="B829" s="195" t="s">
        <v>1453</v>
      </c>
      <c r="C829" s="195" t="s">
        <v>1121</v>
      </c>
      <c r="D829" s="195" t="s">
        <v>690</v>
      </c>
      <c r="E829" s="196">
        <v>53415.839999999997</v>
      </c>
      <c r="F829" s="159">
        <v>53415.839999999997</v>
      </c>
      <c r="G829" s="158">
        <v>57096.38</v>
      </c>
      <c r="H829" s="196">
        <v>53415.839999999997</v>
      </c>
      <c r="I829" s="198">
        <v>0</v>
      </c>
      <c r="K829" s="170" t="str">
        <f t="shared" si="21"/>
        <v>562</v>
      </c>
    </row>
    <row r="830" spans="1:11" x14ac:dyDescent="0.3">
      <c r="A830" s="194">
        <v>563000</v>
      </c>
      <c r="B830" s="195" t="s">
        <v>1454</v>
      </c>
      <c r="C830" s="195" t="s">
        <v>1121</v>
      </c>
      <c r="D830" s="195" t="s">
        <v>687</v>
      </c>
      <c r="E830" s="196">
        <v>0</v>
      </c>
      <c r="F830" s="159">
        <v>0</v>
      </c>
      <c r="G830" s="157">
        <v>0</v>
      </c>
      <c r="H830" s="196">
        <v>0</v>
      </c>
      <c r="I830" s="198">
        <v>0</v>
      </c>
      <c r="K830" s="170" t="str">
        <f t="shared" si="21"/>
        <v>563</v>
      </c>
    </row>
    <row r="831" spans="1:11" x14ac:dyDescent="0.3">
      <c r="A831" s="194">
        <v>563100</v>
      </c>
      <c r="B831" s="195" t="s">
        <v>1455</v>
      </c>
      <c r="C831" s="195" t="s">
        <v>1121</v>
      </c>
      <c r="D831" s="195" t="s">
        <v>686</v>
      </c>
      <c r="E831" s="196">
        <v>15081.69</v>
      </c>
      <c r="F831" s="159">
        <v>15081.69</v>
      </c>
      <c r="G831" s="158">
        <v>16937.650000000001</v>
      </c>
      <c r="H831" s="196">
        <v>15045.32</v>
      </c>
      <c r="I831" s="198">
        <v>-36.369999999999997</v>
      </c>
      <c r="K831" s="170" t="str">
        <f t="shared" si="21"/>
        <v>563</v>
      </c>
    </row>
    <row r="832" spans="1:11" x14ac:dyDescent="0.3">
      <c r="A832" s="194">
        <v>563600</v>
      </c>
      <c r="B832" s="195" t="s">
        <v>1456</v>
      </c>
      <c r="C832" s="195" t="s">
        <v>1121</v>
      </c>
      <c r="D832" s="195" t="s">
        <v>686</v>
      </c>
      <c r="E832" s="196">
        <v>163.71</v>
      </c>
      <c r="F832" s="159">
        <v>163.71</v>
      </c>
      <c r="G832" s="157">
        <v>163.71</v>
      </c>
      <c r="H832" s="196">
        <v>164.61</v>
      </c>
      <c r="I832" s="198">
        <v>0.9</v>
      </c>
      <c r="K832" s="170" t="str">
        <f t="shared" si="21"/>
        <v>563</v>
      </c>
    </row>
    <row r="833" spans="1:11" x14ac:dyDescent="0.3">
      <c r="A833" s="194">
        <v>563999</v>
      </c>
      <c r="B833" s="195" t="s">
        <v>1457</v>
      </c>
      <c r="C833" s="195" t="s">
        <v>1121</v>
      </c>
      <c r="D833" s="195" t="s">
        <v>690</v>
      </c>
      <c r="E833" s="196">
        <v>15245.4</v>
      </c>
      <c r="F833" s="159">
        <v>15245.4</v>
      </c>
      <c r="G833" s="158">
        <v>17101.36</v>
      </c>
      <c r="H833" s="196">
        <v>15209.93</v>
      </c>
      <c r="I833" s="198">
        <v>-35.47</v>
      </c>
      <c r="K833" s="170" t="str">
        <f t="shared" si="21"/>
        <v>563</v>
      </c>
    </row>
    <row r="834" spans="1:11" x14ac:dyDescent="0.3">
      <c r="A834" s="194">
        <v>568000</v>
      </c>
      <c r="B834" s="195" t="s">
        <v>1458</v>
      </c>
      <c r="C834" s="195" t="s">
        <v>1121</v>
      </c>
      <c r="D834" s="195" t="s">
        <v>687</v>
      </c>
      <c r="E834" s="196">
        <v>0</v>
      </c>
      <c r="F834" s="159">
        <v>0</v>
      </c>
      <c r="G834" s="157">
        <v>0</v>
      </c>
      <c r="H834" s="196">
        <v>0</v>
      </c>
      <c r="I834" s="198">
        <v>0</v>
      </c>
      <c r="K834" s="170" t="str">
        <f t="shared" si="21"/>
        <v>568</v>
      </c>
    </row>
    <row r="835" spans="1:11" x14ac:dyDescent="0.3">
      <c r="A835" s="194">
        <v>568300</v>
      </c>
      <c r="B835" s="195" t="s">
        <v>1459</v>
      </c>
      <c r="C835" s="195" t="s">
        <v>1121</v>
      </c>
      <c r="D835" s="195" t="s">
        <v>686</v>
      </c>
      <c r="E835" s="196">
        <v>2751.45</v>
      </c>
      <c r="F835" s="159">
        <v>2751.45</v>
      </c>
      <c r="G835" s="158">
        <v>2925.85</v>
      </c>
      <c r="H835" s="196">
        <v>2754.25</v>
      </c>
      <c r="I835" s="198">
        <v>2.8</v>
      </c>
      <c r="K835" s="170" t="str">
        <f t="shared" ref="K835:K898" si="22">IF(A835&lt;100000,CONCATENATE(0,LEFT(A835,2)),LEFT(A835,3))</f>
        <v>568</v>
      </c>
    </row>
    <row r="836" spans="1:11" x14ac:dyDescent="0.3">
      <c r="A836" s="194">
        <v>568350</v>
      </c>
      <c r="B836" s="195" t="s">
        <v>1460</v>
      </c>
      <c r="C836" s="195" t="s">
        <v>1121</v>
      </c>
      <c r="D836" s="195" t="s">
        <v>686</v>
      </c>
      <c r="E836" s="196">
        <v>14548.61</v>
      </c>
      <c r="F836" s="159">
        <v>14548.61</v>
      </c>
      <c r="G836" s="157">
        <v>15357.38</v>
      </c>
      <c r="H836" s="196">
        <v>15824.66</v>
      </c>
      <c r="I836" s="198">
        <v>1276.05</v>
      </c>
      <c r="K836" s="170" t="str">
        <f t="shared" si="22"/>
        <v>568</v>
      </c>
    </row>
    <row r="837" spans="1:11" x14ac:dyDescent="0.3">
      <c r="A837" s="194">
        <v>568400</v>
      </c>
      <c r="B837" s="195" t="s">
        <v>1461</v>
      </c>
      <c r="C837" s="195" t="s">
        <v>1121</v>
      </c>
      <c r="D837" s="195" t="s">
        <v>686</v>
      </c>
      <c r="E837" s="196">
        <v>0</v>
      </c>
      <c r="F837" s="159">
        <v>0</v>
      </c>
      <c r="G837" s="158">
        <v>0</v>
      </c>
      <c r="H837" s="196">
        <v>0</v>
      </c>
      <c r="I837" s="198">
        <v>0</v>
      </c>
      <c r="K837" s="170" t="str">
        <f t="shared" si="22"/>
        <v>568</v>
      </c>
    </row>
    <row r="838" spans="1:11" x14ac:dyDescent="0.3">
      <c r="A838" s="194">
        <v>568410</v>
      </c>
      <c r="B838" s="195" t="s">
        <v>1462</v>
      </c>
      <c r="C838" s="195" t="s">
        <v>1121</v>
      </c>
      <c r="D838" s="195" t="s">
        <v>686</v>
      </c>
      <c r="E838" s="196">
        <v>0</v>
      </c>
      <c r="F838" s="159">
        <v>0</v>
      </c>
      <c r="G838" s="157">
        <v>0</v>
      </c>
      <c r="H838" s="196">
        <v>0</v>
      </c>
      <c r="I838" s="198">
        <v>0</v>
      </c>
      <c r="K838" s="170" t="str">
        <f t="shared" si="22"/>
        <v>568</v>
      </c>
    </row>
    <row r="839" spans="1:11" x14ac:dyDescent="0.3">
      <c r="A839" s="194">
        <v>568500</v>
      </c>
      <c r="B839" s="195" t="s">
        <v>1463</v>
      </c>
      <c r="C839" s="195" t="s">
        <v>1121</v>
      </c>
      <c r="D839" s="195" t="s">
        <v>686</v>
      </c>
      <c r="E839" s="196">
        <v>0</v>
      </c>
      <c r="F839" s="159">
        <v>0</v>
      </c>
      <c r="G839" s="158">
        <v>0</v>
      </c>
      <c r="H839" s="196">
        <v>0</v>
      </c>
      <c r="I839" s="198">
        <v>0</v>
      </c>
      <c r="K839" s="170" t="str">
        <f t="shared" si="22"/>
        <v>568</v>
      </c>
    </row>
    <row r="840" spans="1:11" x14ac:dyDescent="0.3">
      <c r="A840" s="194">
        <v>568700</v>
      </c>
      <c r="B840" s="195" t="s">
        <v>1464</v>
      </c>
      <c r="C840" s="195" t="s">
        <v>1121</v>
      </c>
      <c r="D840" s="195" t="s">
        <v>686</v>
      </c>
      <c r="E840" s="196">
        <v>0</v>
      </c>
      <c r="F840" s="159">
        <v>0</v>
      </c>
      <c r="G840" s="157">
        <v>0</v>
      </c>
      <c r="H840" s="196">
        <v>0</v>
      </c>
      <c r="I840" s="198">
        <v>0</v>
      </c>
      <c r="K840" s="170" t="str">
        <f t="shared" si="22"/>
        <v>568</v>
      </c>
    </row>
    <row r="841" spans="1:11" x14ac:dyDescent="0.3">
      <c r="A841" s="194">
        <v>568760</v>
      </c>
      <c r="B841" s="195" t="s">
        <v>1465</v>
      </c>
      <c r="C841" s="195" t="s">
        <v>1121</v>
      </c>
      <c r="D841" s="195" t="s">
        <v>686</v>
      </c>
      <c r="E841" s="196">
        <v>0</v>
      </c>
      <c r="F841" s="159">
        <v>0</v>
      </c>
      <c r="G841" s="158">
        <v>0</v>
      </c>
      <c r="H841" s="196">
        <v>0</v>
      </c>
      <c r="I841" s="198">
        <v>0</v>
      </c>
      <c r="K841" s="170" t="str">
        <f t="shared" si="22"/>
        <v>568</v>
      </c>
    </row>
    <row r="842" spans="1:11" x14ac:dyDescent="0.3">
      <c r="A842" s="194">
        <v>568999</v>
      </c>
      <c r="B842" s="195" t="s">
        <v>1466</v>
      </c>
      <c r="C842" s="195" t="s">
        <v>1121</v>
      </c>
      <c r="D842" s="195" t="s">
        <v>690</v>
      </c>
      <c r="E842" s="196">
        <v>17300.060000000001</v>
      </c>
      <c r="F842" s="159">
        <v>17300.060000000001</v>
      </c>
      <c r="G842" s="157">
        <v>18283.23</v>
      </c>
      <c r="H842" s="196">
        <v>18578.91</v>
      </c>
      <c r="I842" s="198">
        <v>1278.8499999999999</v>
      </c>
      <c r="K842" s="170" t="str">
        <f t="shared" si="22"/>
        <v>568</v>
      </c>
    </row>
    <row r="843" spans="1:11" x14ac:dyDescent="0.3">
      <c r="A843" s="194">
        <v>569000</v>
      </c>
      <c r="B843" s="195" t="s">
        <v>1467</v>
      </c>
      <c r="C843" s="195" t="s">
        <v>1121</v>
      </c>
      <c r="D843" s="195" t="s">
        <v>687</v>
      </c>
      <c r="E843" s="196">
        <v>0</v>
      </c>
      <c r="F843" s="159">
        <v>0</v>
      </c>
      <c r="G843" s="158">
        <v>0</v>
      </c>
      <c r="H843" s="196">
        <v>0</v>
      </c>
      <c r="I843" s="198">
        <v>0</v>
      </c>
      <c r="K843" s="170" t="str">
        <f t="shared" si="22"/>
        <v>569</v>
      </c>
    </row>
    <row r="844" spans="1:11" x14ac:dyDescent="0.3">
      <c r="A844" s="194">
        <v>569998</v>
      </c>
      <c r="B844" s="195" t="s">
        <v>1468</v>
      </c>
      <c r="C844" s="195" t="s">
        <v>1121</v>
      </c>
      <c r="D844" s="195" t="s">
        <v>690</v>
      </c>
      <c r="E844" s="196">
        <v>0</v>
      </c>
      <c r="F844" s="159">
        <v>0</v>
      </c>
      <c r="G844" s="157">
        <v>0</v>
      </c>
      <c r="H844" s="196">
        <v>0</v>
      </c>
      <c r="I844" s="198">
        <v>0</v>
      </c>
      <c r="K844" s="170" t="str">
        <f t="shared" si="22"/>
        <v>569</v>
      </c>
    </row>
    <row r="845" spans="1:11" x14ac:dyDescent="0.3">
      <c r="A845" s="194">
        <v>569999</v>
      </c>
      <c r="B845" s="195" t="s">
        <v>1469</v>
      </c>
      <c r="C845" s="195" t="s">
        <v>1121</v>
      </c>
      <c r="D845" s="195" t="s">
        <v>690</v>
      </c>
      <c r="E845" s="196">
        <v>85961.3</v>
      </c>
      <c r="F845" s="159">
        <v>85961.3</v>
      </c>
      <c r="G845" s="158">
        <v>92480.97</v>
      </c>
      <c r="H845" s="196">
        <v>87204.68</v>
      </c>
      <c r="I845" s="198">
        <v>1243.3800000000001</v>
      </c>
      <c r="K845" s="170" t="str">
        <f t="shared" si="22"/>
        <v>569</v>
      </c>
    </row>
    <row r="846" spans="1:11" x14ac:dyDescent="0.3">
      <c r="A846" s="194">
        <v>580000</v>
      </c>
      <c r="B846" s="195" t="s">
        <v>1470</v>
      </c>
      <c r="C846" s="195" t="s">
        <v>1121</v>
      </c>
      <c r="D846" s="195" t="s">
        <v>687</v>
      </c>
      <c r="E846" s="196">
        <v>0</v>
      </c>
      <c r="F846" s="159">
        <v>0</v>
      </c>
      <c r="G846" s="157">
        <v>0</v>
      </c>
      <c r="H846" s="196">
        <v>0</v>
      </c>
      <c r="I846" s="198">
        <v>0</v>
      </c>
      <c r="K846" s="170" t="str">
        <f t="shared" si="22"/>
        <v>580</v>
      </c>
    </row>
    <row r="847" spans="1:11" x14ac:dyDescent="0.3">
      <c r="A847" s="194">
        <v>582000</v>
      </c>
      <c r="B847" s="195" t="s">
        <v>1471</v>
      </c>
      <c r="C847" s="195" t="s">
        <v>1121</v>
      </c>
      <c r="D847" s="195" t="s">
        <v>687</v>
      </c>
      <c r="E847" s="196">
        <v>0</v>
      </c>
      <c r="F847" s="159">
        <v>0</v>
      </c>
      <c r="G847" s="158">
        <v>0</v>
      </c>
      <c r="H847" s="196">
        <v>0</v>
      </c>
      <c r="I847" s="198">
        <v>0</v>
      </c>
      <c r="K847" s="170" t="str">
        <f t="shared" si="22"/>
        <v>582</v>
      </c>
    </row>
    <row r="848" spans="1:11" x14ac:dyDescent="0.3">
      <c r="A848" s="194">
        <v>582999</v>
      </c>
      <c r="B848" s="195" t="s">
        <v>1472</v>
      </c>
      <c r="C848" s="195" t="s">
        <v>1121</v>
      </c>
      <c r="D848" s="195" t="s">
        <v>690</v>
      </c>
      <c r="E848" s="196">
        <v>0</v>
      </c>
      <c r="F848" s="159">
        <v>0</v>
      </c>
      <c r="G848" s="157">
        <v>0</v>
      </c>
      <c r="H848" s="196">
        <v>0</v>
      </c>
      <c r="I848" s="198">
        <v>0</v>
      </c>
      <c r="K848" s="170" t="str">
        <f t="shared" si="22"/>
        <v>582</v>
      </c>
    </row>
    <row r="849" spans="1:11" x14ac:dyDescent="0.3">
      <c r="A849" s="194">
        <v>588000</v>
      </c>
      <c r="B849" s="195" t="s">
        <v>1473</v>
      </c>
      <c r="C849" s="195" t="s">
        <v>1121</v>
      </c>
      <c r="D849" s="195" t="s">
        <v>687</v>
      </c>
      <c r="E849" s="196">
        <v>0</v>
      </c>
      <c r="F849" s="159">
        <v>0</v>
      </c>
      <c r="G849" s="158">
        <v>0</v>
      </c>
      <c r="H849" s="196">
        <v>0</v>
      </c>
      <c r="I849" s="198">
        <v>0</v>
      </c>
      <c r="K849" s="170" t="str">
        <f t="shared" si="22"/>
        <v>588</v>
      </c>
    </row>
    <row r="850" spans="1:11" x14ac:dyDescent="0.3">
      <c r="A850" s="194">
        <v>588200</v>
      </c>
      <c r="B850" s="195" t="s">
        <v>1473</v>
      </c>
      <c r="C850" s="195" t="s">
        <v>1121</v>
      </c>
      <c r="D850" s="195" t="s">
        <v>686</v>
      </c>
      <c r="E850" s="196">
        <v>0</v>
      </c>
      <c r="F850" s="159">
        <v>0</v>
      </c>
      <c r="G850" s="157">
        <v>0</v>
      </c>
      <c r="H850" s="196">
        <v>0</v>
      </c>
      <c r="I850" s="198">
        <v>0</v>
      </c>
      <c r="K850" s="170" t="str">
        <f t="shared" si="22"/>
        <v>588</v>
      </c>
    </row>
    <row r="851" spans="1:11" x14ac:dyDescent="0.3">
      <c r="A851" s="194">
        <v>588999</v>
      </c>
      <c r="B851" s="195" t="s">
        <v>1474</v>
      </c>
      <c r="C851" s="195" t="s">
        <v>1121</v>
      </c>
      <c r="D851" s="195" t="s">
        <v>690</v>
      </c>
      <c r="E851" s="196">
        <v>0</v>
      </c>
      <c r="F851" s="159">
        <v>0</v>
      </c>
      <c r="G851" s="158">
        <v>0</v>
      </c>
      <c r="H851" s="196">
        <v>0</v>
      </c>
      <c r="I851" s="198">
        <v>0</v>
      </c>
      <c r="K851" s="170" t="str">
        <f t="shared" si="22"/>
        <v>588</v>
      </c>
    </row>
    <row r="852" spans="1:11" x14ac:dyDescent="0.3">
      <c r="A852" s="194">
        <v>589000</v>
      </c>
      <c r="B852" s="195" t="s">
        <v>1475</v>
      </c>
      <c r="C852" s="195" t="s">
        <v>1121</v>
      </c>
      <c r="D852" s="195" t="s">
        <v>687</v>
      </c>
      <c r="E852" s="196">
        <v>0</v>
      </c>
      <c r="F852" s="159">
        <v>0</v>
      </c>
      <c r="G852" s="157">
        <v>0</v>
      </c>
      <c r="H852" s="196">
        <v>0</v>
      </c>
      <c r="I852" s="198">
        <v>0</v>
      </c>
      <c r="K852" s="170" t="str">
        <f t="shared" si="22"/>
        <v>589</v>
      </c>
    </row>
    <row r="853" spans="1:11" x14ac:dyDescent="0.3">
      <c r="A853" s="194">
        <v>589998</v>
      </c>
      <c r="B853" s="195" t="s">
        <v>1476</v>
      </c>
      <c r="C853" s="195" t="s">
        <v>1121</v>
      </c>
      <c r="D853" s="195" t="s">
        <v>690</v>
      </c>
      <c r="E853" s="196">
        <v>0</v>
      </c>
      <c r="F853" s="159">
        <v>0</v>
      </c>
      <c r="G853" s="158">
        <v>0</v>
      </c>
      <c r="H853" s="196">
        <v>0</v>
      </c>
      <c r="I853" s="198">
        <v>0</v>
      </c>
      <c r="K853" s="170" t="str">
        <f t="shared" si="22"/>
        <v>589</v>
      </c>
    </row>
    <row r="854" spans="1:11" x14ac:dyDescent="0.3">
      <c r="A854" s="194">
        <v>589999</v>
      </c>
      <c r="B854" s="195" t="s">
        <v>1477</v>
      </c>
      <c r="C854" s="195" t="s">
        <v>1121</v>
      </c>
      <c r="D854" s="195" t="s">
        <v>690</v>
      </c>
      <c r="E854" s="196">
        <v>0</v>
      </c>
      <c r="F854" s="159">
        <v>0</v>
      </c>
      <c r="G854" s="157">
        <v>0</v>
      </c>
      <c r="H854" s="196">
        <v>0</v>
      </c>
      <c r="I854" s="198">
        <v>0</v>
      </c>
      <c r="K854" s="170" t="str">
        <f t="shared" si="22"/>
        <v>589</v>
      </c>
    </row>
    <row r="855" spans="1:11" x14ac:dyDescent="0.3">
      <c r="A855" s="194">
        <v>590000</v>
      </c>
      <c r="B855" s="195" t="s">
        <v>1478</v>
      </c>
      <c r="C855" s="195" t="s">
        <v>1121</v>
      </c>
      <c r="D855" s="195" t="s">
        <v>687</v>
      </c>
      <c r="E855" s="196">
        <v>0</v>
      </c>
      <c r="F855" s="159">
        <v>0</v>
      </c>
      <c r="G855" s="158">
        <v>0</v>
      </c>
      <c r="H855" s="196">
        <v>0</v>
      </c>
      <c r="I855" s="198">
        <v>0</v>
      </c>
      <c r="K855" s="170" t="str">
        <f t="shared" si="22"/>
        <v>590</v>
      </c>
    </row>
    <row r="856" spans="1:11" x14ac:dyDescent="0.3">
      <c r="A856" s="194">
        <v>591000</v>
      </c>
      <c r="B856" s="195" t="s">
        <v>1479</v>
      </c>
      <c r="C856" s="195" t="s">
        <v>1121</v>
      </c>
      <c r="D856" s="195" t="s">
        <v>687</v>
      </c>
      <c r="E856" s="196">
        <v>0</v>
      </c>
      <c r="F856" s="159">
        <v>0</v>
      </c>
      <c r="G856" s="157">
        <v>0</v>
      </c>
      <c r="H856" s="196">
        <v>0</v>
      </c>
      <c r="I856" s="198">
        <v>0</v>
      </c>
      <c r="K856" s="170" t="str">
        <f t="shared" si="22"/>
        <v>591</v>
      </c>
    </row>
    <row r="857" spans="1:11" x14ac:dyDescent="0.3">
      <c r="A857" s="194">
        <v>591100</v>
      </c>
      <c r="B857" s="195" t="s">
        <v>1480</v>
      </c>
      <c r="C857" s="195" t="s">
        <v>1121</v>
      </c>
      <c r="D857" s="195" t="s">
        <v>686</v>
      </c>
      <c r="E857" s="196">
        <v>0</v>
      </c>
      <c r="F857" s="159">
        <v>0</v>
      </c>
      <c r="G857" s="158">
        <v>0</v>
      </c>
      <c r="H857" s="196">
        <v>0</v>
      </c>
      <c r="I857" s="198">
        <v>0</v>
      </c>
      <c r="K857" s="170" t="str">
        <f t="shared" si="22"/>
        <v>591</v>
      </c>
    </row>
    <row r="858" spans="1:11" x14ac:dyDescent="0.3">
      <c r="A858" s="194">
        <v>591200</v>
      </c>
      <c r="B858" s="195" t="s">
        <v>1481</v>
      </c>
      <c r="C858" s="195" t="s">
        <v>1121</v>
      </c>
      <c r="D858" s="195" t="s">
        <v>686</v>
      </c>
      <c r="E858" s="196">
        <v>228884.91</v>
      </c>
      <c r="F858" s="159">
        <v>228884.91</v>
      </c>
      <c r="G858" s="157">
        <v>228884.91</v>
      </c>
      <c r="H858" s="196">
        <v>390788.4</v>
      </c>
      <c r="I858" s="198">
        <v>161903.49</v>
      </c>
      <c r="K858" s="170" t="str">
        <f t="shared" si="22"/>
        <v>591</v>
      </c>
    </row>
    <row r="859" spans="1:11" x14ac:dyDescent="0.3">
      <c r="A859" s="194">
        <v>591999</v>
      </c>
      <c r="B859" s="195" t="s">
        <v>1482</v>
      </c>
      <c r="C859" s="195" t="s">
        <v>1121</v>
      </c>
      <c r="D859" s="195" t="s">
        <v>690</v>
      </c>
      <c r="E859" s="196">
        <v>228884.91</v>
      </c>
      <c r="F859" s="159">
        <v>228884.91</v>
      </c>
      <c r="G859" s="158">
        <v>228884.91</v>
      </c>
      <c r="H859" s="196">
        <v>390788.4</v>
      </c>
      <c r="I859" s="198">
        <v>161903.49</v>
      </c>
      <c r="K859" s="170" t="str">
        <f t="shared" si="22"/>
        <v>591</v>
      </c>
    </row>
    <row r="860" spans="1:11" x14ac:dyDescent="0.3">
      <c r="A860" s="194">
        <v>592000</v>
      </c>
      <c r="B860" s="195" t="s">
        <v>1483</v>
      </c>
      <c r="C860" s="195" t="s">
        <v>1121</v>
      </c>
      <c r="D860" s="195" t="s">
        <v>687</v>
      </c>
      <c r="E860" s="196">
        <v>0</v>
      </c>
      <c r="F860" s="159">
        <v>0</v>
      </c>
      <c r="G860" s="157">
        <v>0</v>
      </c>
      <c r="H860" s="196">
        <v>0</v>
      </c>
      <c r="I860" s="198">
        <v>0</v>
      </c>
      <c r="K860" s="170" t="str">
        <f t="shared" si="22"/>
        <v>592</v>
      </c>
    </row>
    <row r="861" spans="1:11" x14ac:dyDescent="0.3">
      <c r="A861" s="194">
        <v>592104</v>
      </c>
      <c r="B861" s="195" t="s">
        <v>1484</v>
      </c>
      <c r="C861" s="195" t="s">
        <v>1121</v>
      </c>
      <c r="D861" s="195" t="s">
        <v>686</v>
      </c>
      <c r="E861" s="196">
        <v>-23421.96</v>
      </c>
      <c r="F861" s="159">
        <v>-23421.96</v>
      </c>
      <c r="G861" s="158">
        <v>-23421.96</v>
      </c>
      <c r="H861" s="196">
        <v>31378.84</v>
      </c>
      <c r="I861" s="198">
        <v>54800.800000000003</v>
      </c>
      <c r="K861" s="170" t="str">
        <f t="shared" si="22"/>
        <v>592</v>
      </c>
    </row>
    <row r="862" spans="1:11" x14ac:dyDescent="0.3">
      <c r="A862" s="194">
        <v>592999</v>
      </c>
      <c r="B862" s="195" t="s">
        <v>1485</v>
      </c>
      <c r="C862" s="195" t="s">
        <v>1121</v>
      </c>
      <c r="D862" s="195" t="s">
        <v>690</v>
      </c>
      <c r="E862" s="196">
        <v>-23421.96</v>
      </c>
      <c r="F862" s="159">
        <v>-23421.96</v>
      </c>
      <c r="G862" s="157">
        <v>-23421.96</v>
      </c>
      <c r="H862" s="196">
        <v>31378.84</v>
      </c>
      <c r="I862" s="198">
        <v>54800.800000000003</v>
      </c>
      <c r="K862" s="170" t="str">
        <f t="shared" si="22"/>
        <v>592</v>
      </c>
    </row>
    <row r="863" spans="1:11" x14ac:dyDescent="0.3">
      <c r="A863" s="194">
        <v>593000</v>
      </c>
      <c r="B863" s="195" t="s">
        <v>1486</v>
      </c>
      <c r="C863" s="195" t="s">
        <v>1121</v>
      </c>
      <c r="D863" s="195" t="s">
        <v>687</v>
      </c>
      <c r="E863" s="196">
        <v>0</v>
      </c>
      <c r="F863" s="159">
        <v>0</v>
      </c>
      <c r="G863" s="158">
        <v>0</v>
      </c>
      <c r="H863" s="196">
        <v>0</v>
      </c>
      <c r="I863" s="198">
        <v>0</v>
      </c>
      <c r="K863" s="170" t="str">
        <f t="shared" si="22"/>
        <v>593</v>
      </c>
    </row>
    <row r="864" spans="1:11" x14ac:dyDescent="0.3">
      <c r="A864" s="194">
        <v>593999</v>
      </c>
      <c r="B864" s="195" t="s">
        <v>1487</v>
      </c>
      <c r="C864" s="195" t="s">
        <v>1121</v>
      </c>
      <c r="D864" s="195" t="s">
        <v>690</v>
      </c>
      <c r="E864" s="196">
        <v>0</v>
      </c>
      <c r="F864" s="159">
        <v>0</v>
      </c>
      <c r="G864" s="157">
        <v>0</v>
      </c>
      <c r="H864" s="196">
        <v>0</v>
      </c>
      <c r="I864" s="198">
        <v>0</v>
      </c>
      <c r="K864" s="170" t="str">
        <f t="shared" si="22"/>
        <v>593</v>
      </c>
    </row>
    <row r="865" spans="1:11" x14ac:dyDescent="0.3">
      <c r="A865" s="194">
        <v>594000</v>
      </c>
      <c r="B865" s="195" t="s">
        <v>1488</v>
      </c>
      <c r="C865" s="195" t="s">
        <v>1121</v>
      </c>
      <c r="D865" s="195" t="s">
        <v>687</v>
      </c>
      <c r="E865" s="196">
        <v>0</v>
      </c>
      <c r="F865" s="159">
        <v>0</v>
      </c>
      <c r="G865" s="158">
        <v>0</v>
      </c>
      <c r="H865" s="196">
        <v>0</v>
      </c>
      <c r="I865" s="198">
        <v>0</v>
      </c>
      <c r="K865" s="170" t="str">
        <f t="shared" si="22"/>
        <v>594</v>
      </c>
    </row>
    <row r="866" spans="1:11" x14ac:dyDescent="0.3">
      <c r="A866" s="194">
        <v>594999</v>
      </c>
      <c r="B866" s="195" t="s">
        <v>1489</v>
      </c>
      <c r="C866" s="195" t="s">
        <v>1121</v>
      </c>
      <c r="D866" s="195" t="s">
        <v>690</v>
      </c>
      <c r="E866" s="196">
        <v>0</v>
      </c>
      <c r="F866" s="159">
        <v>0</v>
      </c>
      <c r="G866" s="157">
        <v>0</v>
      </c>
      <c r="H866" s="196">
        <v>0</v>
      </c>
      <c r="I866" s="198">
        <v>0</v>
      </c>
      <c r="K866" s="170" t="str">
        <f t="shared" si="22"/>
        <v>594</v>
      </c>
    </row>
    <row r="867" spans="1:11" x14ac:dyDescent="0.3">
      <c r="A867" s="194">
        <v>595000</v>
      </c>
      <c r="B867" s="195" t="s">
        <v>1490</v>
      </c>
      <c r="C867" s="195" t="s">
        <v>1121</v>
      </c>
      <c r="D867" s="195" t="s">
        <v>687</v>
      </c>
      <c r="E867" s="196">
        <v>0</v>
      </c>
      <c r="F867" s="159">
        <v>0</v>
      </c>
      <c r="G867" s="158">
        <v>0</v>
      </c>
      <c r="H867" s="196">
        <v>0</v>
      </c>
      <c r="I867" s="198">
        <v>0</v>
      </c>
      <c r="K867" s="170" t="str">
        <f t="shared" si="22"/>
        <v>595</v>
      </c>
    </row>
    <row r="868" spans="1:11" x14ac:dyDescent="0.3">
      <c r="A868" s="194">
        <v>595100</v>
      </c>
      <c r="B868" s="195" t="s">
        <v>1490</v>
      </c>
      <c r="C868" s="195" t="s">
        <v>1121</v>
      </c>
      <c r="D868" s="195" t="s">
        <v>686</v>
      </c>
      <c r="E868" s="196">
        <v>0</v>
      </c>
      <c r="F868" s="159">
        <v>0</v>
      </c>
      <c r="G868" s="157">
        <v>0</v>
      </c>
      <c r="H868" s="196">
        <v>0</v>
      </c>
      <c r="I868" s="198">
        <v>0</v>
      </c>
      <c r="K868" s="170" t="str">
        <f t="shared" si="22"/>
        <v>595</v>
      </c>
    </row>
    <row r="869" spans="1:11" x14ac:dyDescent="0.3">
      <c r="A869" s="194">
        <v>595999</v>
      </c>
      <c r="B869" s="195" t="s">
        <v>1491</v>
      </c>
      <c r="C869" s="195" t="s">
        <v>1121</v>
      </c>
      <c r="D869" s="195" t="s">
        <v>690</v>
      </c>
      <c r="E869" s="196">
        <v>0</v>
      </c>
      <c r="F869" s="159">
        <v>0</v>
      </c>
      <c r="G869" s="158">
        <v>0</v>
      </c>
      <c r="H869" s="196">
        <v>0</v>
      </c>
      <c r="I869" s="198">
        <v>0</v>
      </c>
      <c r="K869" s="170" t="str">
        <f t="shared" si="22"/>
        <v>595</v>
      </c>
    </row>
    <row r="870" spans="1:11" x14ac:dyDescent="0.3">
      <c r="A870" s="194">
        <v>598999</v>
      </c>
      <c r="B870" s="195" t="s">
        <v>1492</v>
      </c>
      <c r="C870" s="195" t="s">
        <v>1121</v>
      </c>
      <c r="D870" s="195" t="s">
        <v>690</v>
      </c>
      <c r="E870" s="196">
        <v>205462.95</v>
      </c>
      <c r="F870" s="159">
        <v>205462.95</v>
      </c>
      <c r="G870" s="157">
        <v>205462.95</v>
      </c>
      <c r="H870" s="196">
        <v>422167.24</v>
      </c>
      <c r="I870" s="198">
        <v>216704.29</v>
      </c>
      <c r="K870" s="170" t="str">
        <f t="shared" si="22"/>
        <v>598</v>
      </c>
    </row>
    <row r="871" spans="1:11" x14ac:dyDescent="0.3">
      <c r="A871" s="194">
        <v>599999</v>
      </c>
      <c r="B871" s="195" t="s">
        <v>1493</v>
      </c>
      <c r="C871" s="195" t="s">
        <v>1121</v>
      </c>
      <c r="D871" s="195" t="s">
        <v>1494</v>
      </c>
      <c r="E871" s="196">
        <v>49013264.789999999</v>
      </c>
      <c r="F871" s="159">
        <v>49013264.789999999</v>
      </c>
      <c r="G871" s="158">
        <v>53423372.43</v>
      </c>
      <c r="H871" s="196">
        <v>64668507.130000003</v>
      </c>
      <c r="I871" s="198">
        <v>15655242.34</v>
      </c>
      <c r="K871" s="170" t="str">
        <f t="shared" si="22"/>
        <v>599</v>
      </c>
    </row>
    <row r="872" spans="1:11" x14ac:dyDescent="0.3">
      <c r="A872" s="194">
        <v>600000</v>
      </c>
      <c r="B872" s="195" t="s">
        <v>352</v>
      </c>
      <c r="C872" s="195" t="s">
        <v>1121</v>
      </c>
      <c r="D872" s="195" t="s">
        <v>687</v>
      </c>
      <c r="E872" s="196">
        <v>0</v>
      </c>
      <c r="F872" s="159">
        <v>0</v>
      </c>
      <c r="G872" s="157">
        <v>0</v>
      </c>
      <c r="H872" s="196">
        <v>0</v>
      </c>
      <c r="I872" s="198">
        <v>0</v>
      </c>
      <c r="K872" s="170" t="str">
        <f t="shared" si="22"/>
        <v>600</v>
      </c>
    </row>
    <row r="873" spans="1:11" x14ac:dyDescent="0.3">
      <c r="A873" s="194">
        <v>602000</v>
      </c>
      <c r="B873" s="195" t="s">
        <v>1495</v>
      </c>
      <c r="C873" s="195" t="s">
        <v>1121</v>
      </c>
      <c r="D873" s="195" t="s">
        <v>687</v>
      </c>
      <c r="E873" s="196">
        <v>0</v>
      </c>
      <c r="F873" s="159">
        <v>0</v>
      </c>
      <c r="G873" s="158">
        <v>0</v>
      </c>
      <c r="H873" s="196">
        <v>0</v>
      </c>
      <c r="I873" s="198">
        <v>0</v>
      </c>
      <c r="K873" s="170" t="str">
        <f t="shared" si="22"/>
        <v>602</v>
      </c>
    </row>
    <row r="874" spans="1:11" x14ac:dyDescent="0.3">
      <c r="A874" s="194">
        <v>602100</v>
      </c>
      <c r="B874" s="195" t="s">
        <v>1496</v>
      </c>
      <c r="C874" s="195" t="s">
        <v>1121</v>
      </c>
      <c r="D874" s="195" t="s">
        <v>687</v>
      </c>
      <c r="E874" s="196">
        <v>0</v>
      </c>
      <c r="F874" s="159">
        <v>0</v>
      </c>
      <c r="G874" s="157">
        <v>0</v>
      </c>
      <c r="H874" s="196">
        <v>0</v>
      </c>
      <c r="I874" s="198">
        <v>0</v>
      </c>
      <c r="K874" s="170" t="str">
        <f t="shared" si="22"/>
        <v>602</v>
      </c>
    </row>
    <row r="875" spans="1:11" x14ac:dyDescent="0.3">
      <c r="A875" s="194">
        <v>602111</v>
      </c>
      <c r="B875" s="195" t="s">
        <v>1497</v>
      </c>
      <c r="C875" s="195" t="s">
        <v>1121</v>
      </c>
      <c r="D875" s="195" t="s">
        <v>686</v>
      </c>
      <c r="E875" s="196">
        <v>-50</v>
      </c>
      <c r="F875" s="159">
        <v>-50</v>
      </c>
      <c r="G875" s="158">
        <v>-50</v>
      </c>
      <c r="H875" s="196">
        <v>0</v>
      </c>
      <c r="I875" s="198">
        <v>50</v>
      </c>
      <c r="K875" s="170" t="str">
        <f t="shared" si="22"/>
        <v>602</v>
      </c>
    </row>
    <row r="876" spans="1:11" x14ac:dyDescent="0.3">
      <c r="A876" s="194">
        <v>602112</v>
      </c>
      <c r="B876" s="195" t="s">
        <v>1497</v>
      </c>
      <c r="C876" s="195" t="s">
        <v>1121</v>
      </c>
      <c r="D876" s="195" t="s">
        <v>686</v>
      </c>
      <c r="E876" s="196">
        <v>-43483.74</v>
      </c>
      <c r="F876" s="159">
        <v>-43483.74</v>
      </c>
      <c r="G876" s="157">
        <v>-43483.74</v>
      </c>
      <c r="H876" s="196">
        <v>0</v>
      </c>
      <c r="I876" s="198">
        <v>43483.74</v>
      </c>
      <c r="K876" s="170" t="str">
        <f t="shared" si="22"/>
        <v>602</v>
      </c>
    </row>
    <row r="877" spans="1:11" x14ac:dyDescent="0.3">
      <c r="A877" s="194">
        <v>602121</v>
      </c>
      <c r="B877" s="195" t="s">
        <v>1498</v>
      </c>
      <c r="C877" s="195" t="s">
        <v>1121</v>
      </c>
      <c r="D877" s="195" t="s">
        <v>686</v>
      </c>
      <c r="E877" s="196">
        <v>-116208.2</v>
      </c>
      <c r="F877" s="159">
        <v>-116208.2</v>
      </c>
      <c r="G877" s="158">
        <v>-118202.9</v>
      </c>
      <c r="H877" s="196">
        <v>2065</v>
      </c>
      <c r="I877" s="198">
        <v>118273.2</v>
      </c>
      <c r="K877" s="170" t="str">
        <f t="shared" si="22"/>
        <v>602</v>
      </c>
    </row>
    <row r="878" spans="1:11" x14ac:dyDescent="0.3">
      <c r="A878" s="194">
        <v>602123</v>
      </c>
      <c r="B878" s="195" t="s">
        <v>1499</v>
      </c>
      <c r="C878" s="195" t="s">
        <v>1121</v>
      </c>
      <c r="D878" s="195" t="s">
        <v>686</v>
      </c>
      <c r="E878" s="196">
        <v>-277.18</v>
      </c>
      <c r="F878" s="159">
        <v>-277.18</v>
      </c>
      <c r="G878" s="157">
        <v>-277.18</v>
      </c>
      <c r="H878" s="196">
        <v>0</v>
      </c>
      <c r="I878" s="198">
        <v>277.18</v>
      </c>
      <c r="K878" s="170" t="str">
        <f t="shared" si="22"/>
        <v>602</v>
      </c>
    </row>
    <row r="879" spans="1:11" x14ac:dyDescent="0.3">
      <c r="A879" s="194">
        <v>602126</v>
      </c>
      <c r="B879" s="195" t="s">
        <v>1500</v>
      </c>
      <c r="C879" s="195" t="s">
        <v>1121</v>
      </c>
      <c r="D879" s="195" t="s">
        <v>686</v>
      </c>
      <c r="E879" s="196">
        <v>-238871.4</v>
      </c>
      <c r="F879" s="159">
        <v>-238871.4</v>
      </c>
      <c r="G879" s="158">
        <v>-262366.01</v>
      </c>
      <c r="H879" s="196">
        <v>7001.64</v>
      </c>
      <c r="I879" s="198">
        <v>245873.04</v>
      </c>
      <c r="K879" s="170" t="str">
        <f t="shared" si="22"/>
        <v>602</v>
      </c>
    </row>
    <row r="880" spans="1:11" x14ac:dyDescent="0.3">
      <c r="A880" s="194">
        <v>602127</v>
      </c>
      <c r="B880" s="195" t="s">
        <v>1501</v>
      </c>
      <c r="C880" s="195" t="s">
        <v>1121</v>
      </c>
      <c r="D880" s="195" t="s">
        <v>686</v>
      </c>
      <c r="E880" s="196">
        <v>-331.05</v>
      </c>
      <c r="F880" s="159">
        <v>-331.05</v>
      </c>
      <c r="G880" s="157">
        <v>-365.44</v>
      </c>
      <c r="H880" s="196">
        <v>4.4400000000000004</v>
      </c>
      <c r="I880" s="198">
        <v>335.49</v>
      </c>
      <c r="K880" s="170" t="str">
        <f t="shared" si="22"/>
        <v>602</v>
      </c>
    </row>
    <row r="881" spans="1:11" x14ac:dyDescent="0.3">
      <c r="A881" s="194">
        <v>602131</v>
      </c>
      <c r="B881" s="195" t="s">
        <v>1502</v>
      </c>
      <c r="C881" s="195" t="s">
        <v>1121</v>
      </c>
      <c r="D881" s="195" t="s">
        <v>686</v>
      </c>
      <c r="E881" s="196">
        <v>0</v>
      </c>
      <c r="F881" s="159">
        <v>0</v>
      </c>
      <c r="G881" s="158">
        <v>0</v>
      </c>
      <c r="H881" s="196">
        <v>0</v>
      </c>
      <c r="I881" s="198">
        <v>0</v>
      </c>
      <c r="K881" s="170" t="str">
        <f t="shared" si="22"/>
        <v>602</v>
      </c>
    </row>
    <row r="882" spans="1:11" x14ac:dyDescent="0.3">
      <c r="A882" s="194">
        <v>602170</v>
      </c>
      <c r="B882" s="195" t="s">
        <v>1503</v>
      </c>
      <c r="C882" s="195" t="s">
        <v>1121</v>
      </c>
      <c r="D882" s="195" t="s">
        <v>686</v>
      </c>
      <c r="E882" s="196">
        <v>-51.7</v>
      </c>
      <c r="F882" s="159">
        <v>-51.7</v>
      </c>
      <c r="G882" s="157">
        <v>-51.7</v>
      </c>
      <c r="H882" s="196">
        <v>0</v>
      </c>
      <c r="I882" s="198">
        <v>51.7</v>
      </c>
      <c r="K882" s="170" t="str">
        <f t="shared" si="22"/>
        <v>602</v>
      </c>
    </row>
    <row r="883" spans="1:11" x14ac:dyDescent="0.3">
      <c r="A883" s="194">
        <v>602180</v>
      </c>
      <c r="B883" s="195" t="s">
        <v>1504</v>
      </c>
      <c r="C883" s="195" t="s">
        <v>1121</v>
      </c>
      <c r="D883" s="195" t="s">
        <v>686</v>
      </c>
      <c r="E883" s="196">
        <v>476.11</v>
      </c>
      <c r="F883" s="159">
        <v>476.11</v>
      </c>
      <c r="G883" s="158">
        <v>476.11</v>
      </c>
      <c r="H883" s="196">
        <v>476.11</v>
      </c>
      <c r="I883" s="198">
        <v>0</v>
      </c>
      <c r="K883" s="170" t="str">
        <f t="shared" si="22"/>
        <v>602</v>
      </c>
    </row>
    <row r="884" spans="1:11" x14ac:dyDescent="0.3">
      <c r="A884" s="194">
        <v>602185</v>
      </c>
      <c r="B884" s="195" t="s">
        <v>1505</v>
      </c>
      <c r="C884" s="195" t="s">
        <v>1121</v>
      </c>
      <c r="D884" s="195" t="s">
        <v>686</v>
      </c>
      <c r="E884" s="196">
        <v>0</v>
      </c>
      <c r="F884" s="159">
        <v>0</v>
      </c>
      <c r="G884" s="157">
        <v>0</v>
      </c>
      <c r="H884" s="196">
        <v>0</v>
      </c>
      <c r="I884" s="198">
        <v>0</v>
      </c>
      <c r="K884" s="170" t="str">
        <f t="shared" si="22"/>
        <v>602</v>
      </c>
    </row>
    <row r="885" spans="1:11" x14ac:dyDescent="0.3">
      <c r="A885" s="194">
        <v>602190</v>
      </c>
      <c r="B885" s="195" t="s">
        <v>1506</v>
      </c>
      <c r="C885" s="195" t="s">
        <v>1121</v>
      </c>
      <c r="D885" s="195" t="s">
        <v>686</v>
      </c>
      <c r="E885" s="196">
        <v>-465.82</v>
      </c>
      <c r="F885" s="159">
        <v>-465.82</v>
      </c>
      <c r="G885" s="158">
        <v>-503.33</v>
      </c>
      <c r="H885" s="196">
        <v>0</v>
      </c>
      <c r="I885" s="198">
        <v>465.82</v>
      </c>
      <c r="K885" s="170" t="str">
        <f t="shared" si="22"/>
        <v>602</v>
      </c>
    </row>
    <row r="886" spans="1:11" x14ac:dyDescent="0.3">
      <c r="A886" s="194">
        <v>602199</v>
      </c>
      <c r="B886" s="195" t="s">
        <v>1507</v>
      </c>
      <c r="C886" s="195" t="s">
        <v>1121</v>
      </c>
      <c r="D886" s="195" t="s">
        <v>690</v>
      </c>
      <c r="E886" s="196">
        <v>-399262.98</v>
      </c>
      <c r="F886" s="159">
        <v>-399262.98</v>
      </c>
      <c r="G886" s="157">
        <v>-424824.19</v>
      </c>
      <c r="H886" s="196">
        <v>9547.19</v>
      </c>
      <c r="I886" s="198">
        <v>408810.17</v>
      </c>
      <c r="K886" s="170" t="str">
        <f t="shared" si="22"/>
        <v>602</v>
      </c>
    </row>
    <row r="887" spans="1:11" x14ac:dyDescent="0.3">
      <c r="A887" s="194">
        <v>602200</v>
      </c>
      <c r="B887" s="195" t="s">
        <v>1508</v>
      </c>
      <c r="C887" s="195" t="s">
        <v>1121</v>
      </c>
      <c r="D887" s="195" t="s">
        <v>686</v>
      </c>
      <c r="E887" s="196">
        <v>-1376131.06</v>
      </c>
      <c r="F887" s="159">
        <v>-1376131.06</v>
      </c>
      <c r="G887" s="158">
        <v>-1486543.3</v>
      </c>
      <c r="H887" s="196">
        <v>13960.33</v>
      </c>
      <c r="I887" s="198">
        <v>1390091.39</v>
      </c>
      <c r="K887" s="170" t="str">
        <f t="shared" si="22"/>
        <v>602</v>
      </c>
    </row>
    <row r="888" spans="1:11" x14ac:dyDescent="0.3">
      <c r="A888" s="194">
        <v>602202</v>
      </c>
      <c r="B888" s="195" t="s">
        <v>1509</v>
      </c>
      <c r="C888" s="195" t="s">
        <v>1121</v>
      </c>
      <c r="D888" s="195" t="s">
        <v>686</v>
      </c>
      <c r="E888" s="196">
        <v>0</v>
      </c>
      <c r="F888" s="159">
        <v>0</v>
      </c>
      <c r="G888" s="157">
        <v>0</v>
      </c>
      <c r="H888" s="196">
        <v>0</v>
      </c>
      <c r="I888" s="198">
        <v>0</v>
      </c>
      <c r="K888" s="170" t="str">
        <f t="shared" si="22"/>
        <v>602</v>
      </c>
    </row>
    <row r="889" spans="1:11" x14ac:dyDescent="0.3">
      <c r="A889" s="194">
        <v>602205</v>
      </c>
      <c r="B889" s="195" t="s">
        <v>1510</v>
      </c>
      <c r="C889" s="195" t="s">
        <v>1121</v>
      </c>
      <c r="D889" s="195" t="s">
        <v>686</v>
      </c>
      <c r="E889" s="196">
        <v>71015.179999999993</v>
      </c>
      <c r="F889" s="159">
        <v>71015.179999999993</v>
      </c>
      <c r="G889" s="158">
        <v>77470.86</v>
      </c>
      <c r="H889" s="196">
        <v>75196.740000000005</v>
      </c>
      <c r="I889" s="198">
        <v>4181.5600000000004</v>
      </c>
      <c r="K889" s="170" t="str">
        <f t="shared" si="22"/>
        <v>602</v>
      </c>
    </row>
    <row r="890" spans="1:11" x14ac:dyDescent="0.3">
      <c r="A890" s="194">
        <v>602206</v>
      </c>
      <c r="B890" s="195" t="s">
        <v>1511</v>
      </c>
      <c r="C890" s="195" t="s">
        <v>1121</v>
      </c>
      <c r="D890" s="195" t="s">
        <v>686</v>
      </c>
      <c r="E890" s="196">
        <v>0</v>
      </c>
      <c r="F890" s="159">
        <v>0</v>
      </c>
      <c r="G890" s="157">
        <v>0</v>
      </c>
      <c r="H890" s="196">
        <v>0</v>
      </c>
      <c r="I890" s="198">
        <v>0</v>
      </c>
      <c r="K890" s="170" t="str">
        <f t="shared" si="22"/>
        <v>602</v>
      </c>
    </row>
    <row r="891" spans="1:11" x14ac:dyDescent="0.3">
      <c r="A891" s="194">
        <v>602260</v>
      </c>
      <c r="B891" s="195" t="s">
        <v>1512</v>
      </c>
      <c r="C891" s="195" t="s">
        <v>1121</v>
      </c>
      <c r="D891" s="195" t="s">
        <v>686</v>
      </c>
      <c r="E891" s="196">
        <v>0</v>
      </c>
      <c r="F891" s="159">
        <v>0</v>
      </c>
      <c r="G891" s="158">
        <v>0</v>
      </c>
      <c r="H891" s="196">
        <v>0</v>
      </c>
      <c r="I891" s="198">
        <v>0</v>
      </c>
      <c r="K891" s="170" t="str">
        <f t="shared" si="22"/>
        <v>602</v>
      </c>
    </row>
    <row r="892" spans="1:11" x14ac:dyDescent="0.3">
      <c r="A892" s="194">
        <v>602270</v>
      </c>
      <c r="B892" s="195" t="s">
        <v>1513</v>
      </c>
      <c r="C892" s="195" t="s">
        <v>1121</v>
      </c>
      <c r="D892" s="195" t="s">
        <v>686</v>
      </c>
      <c r="E892" s="196">
        <v>0</v>
      </c>
      <c r="F892" s="159">
        <v>0</v>
      </c>
      <c r="G892" s="157">
        <v>0</v>
      </c>
      <c r="H892" s="196">
        <v>0</v>
      </c>
      <c r="I892" s="198">
        <v>0</v>
      </c>
      <c r="K892" s="170" t="str">
        <f t="shared" si="22"/>
        <v>602</v>
      </c>
    </row>
    <row r="893" spans="1:11" x14ac:dyDescent="0.3">
      <c r="A893" s="194">
        <v>602303</v>
      </c>
      <c r="B893" s="195" t="s">
        <v>1514</v>
      </c>
      <c r="C893" s="195" t="s">
        <v>1121</v>
      </c>
      <c r="D893" s="195" t="s">
        <v>686</v>
      </c>
      <c r="E893" s="196">
        <v>0</v>
      </c>
      <c r="F893" s="159">
        <v>0</v>
      </c>
      <c r="G893" s="158">
        <v>0</v>
      </c>
      <c r="H893" s="196">
        <v>0</v>
      </c>
      <c r="I893" s="198">
        <v>0</v>
      </c>
      <c r="K893" s="170" t="str">
        <f t="shared" si="22"/>
        <v>602</v>
      </c>
    </row>
    <row r="894" spans="1:11" x14ac:dyDescent="0.3">
      <c r="A894" s="194">
        <v>602310</v>
      </c>
      <c r="B894" s="195" t="s">
        <v>1515</v>
      </c>
      <c r="C894" s="195" t="s">
        <v>1121</v>
      </c>
      <c r="D894" s="195" t="s">
        <v>686</v>
      </c>
      <c r="E894" s="196">
        <v>-198889.42</v>
      </c>
      <c r="F894" s="159">
        <v>-198889.42</v>
      </c>
      <c r="G894" s="157">
        <v>-213272.94</v>
      </c>
      <c r="H894" s="196">
        <v>0</v>
      </c>
      <c r="I894" s="198">
        <v>198889.42</v>
      </c>
      <c r="K894" s="170" t="str">
        <f t="shared" si="22"/>
        <v>602</v>
      </c>
    </row>
    <row r="895" spans="1:11" x14ac:dyDescent="0.3">
      <c r="A895" s="194">
        <v>602320</v>
      </c>
      <c r="B895" s="195" t="s">
        <v>1516</v>
      </c>
      <c r="C895" s="195" t="s">
        <v>1121</v>
      </c>
      <c r="D895" s="195" t="s">
        <v>686</v>
      </c>
      <c r="E895" s="196">
        <v>-209959.05</v>
      </c>
      <c r="F895" s="159">
        <v>-209959.05</v>
      </c>
      <c r="G895" s="158">
        <v>-234968.41</v>
      </c>
      <c r="H895" s="196">
        <v>0</v>
      </c>
      <c r="I895" s="198">
        <v>209959.05</v>
      </c>
      <c r="K895" s="170" t="str">
        <f t="shared" si="22"/>
        <v>602</v>
      </c>
    </row>
    <row r="896" spans="1:11" x14ac:dyDescent="0.3">
      <c r="A896" s="194">
        <v>602400</v>
      </c>
      <c r="B896" s="195" t="s">
        <v>1517</v>
      </c>
      <c r="C896" s="195" t="s">
        <v>1121</v>
      </c>
      <c r="D896" s="195" t="s">
        <v>686</v>
      </c>
      <c r="E896" s="196">
        <v>-55261.73</v>
      </c>
      <c r="F896" s="159">
        <v>-55261.73</v>
      </c>
      <c r="G896" s="157">
        <v>-59591.11</v>
      </c>
      <c r="H896" s="196">
        <v>3208.33</v>
      </c>
      <c r="I896" s="198">
        <v>58470.06</v>
      </c>
      <c r="K896" s="170" t="str">
        <f t="shared" si="22"/>
        <v>602</v>
      </c>
    </row>
    <row r="897" spans="1:11" x14ac:dyDescent="0.3">
      <c r="A897" s="194">
        <v>602410</v>
      </c>
      <c r="B897" s="195" t="s">
        <v>1518</v>
      </c>
      <c r="C897" s="195" t="s">
        <v>1121</v>
      </c>
      <c r="D897" s="195" t="s">
        <v>686</v>
      </c>
      <c r="E897" s="196">
        <v>-22158.94</v>
      </c>
      <c r="F897" s="159">
        <v>-22158.94</v>
      </c>
      <c r="G897" s="158">
        <v>-22575.61</v>
      </c>
      <c r="H897" s="196">
        <v>0</v>
      </c>
      <c r="I897" s="198">
        <v>22158.94</v>
      </c>
      <c r="K897" s="170" t="str">
        <f t="shared" si="22"/>
        <v>602</v>
      </c>
    </row>
    <row r="898" spans="1:11" x14ac:dyDescent="0.3">
      <c r="A898" s="194">
        <v>602411</v>
      </c>
      <c r="B898" s="195" t="s">
        <v>1519</v>
      </c>
      <c r="C898" s="195" t="s">
        <v>1121</v>
      </c>
      <c r="D898" s="195" t="s">
        <v>686</v>
      </c>
      <c r="E898" s="196">
        <v>-6910.96</v>
      </c>
      <c r="F898" s="159">
        <v>-6910.96</v>
      </c>
      <c r="G898" s="157">
        <v>-6910.96</v>
      </c>
      <c r="H898" s="196">
        <v>0</v>
      </c>
      <c r="I898" s="198">
        <v>6910.96</v>
      </c>
      <c r="K898" s="170" t="str">
        <f t="shared" si="22"/>
        <v>602</v>
      </c>
    </row>
    <row r="899" spans="1:11" x14ac:dyDescent="0.3">
      <c r="A899" s="194">
        <v>602500</v>
      </c>
      <c r="B899" s="195" t="s">
        <v>1520</v>
      </c>
      <c r="C899" s="195" t="s">
        <v>1121</v>
      </c>
      <c r="D899" s="195" t="s">
        <v>686</v>
      </c>
      <c r="E899" s="196">
        <v>-83490.080000000002</v>
      </c>
      <c r="F899" s="159">
        <v>-83490.080000000002</v>
      </c>
      <c r="G899" s="158">
        <v>-87243.43</v>
      </c>
      <c r="H899" s="196">
        <v>83604.58</v>
      </c>
      <c r="I899" s="198">
        <v>167094.66</v>
      </c>
      <c r="K899" s="170" t="str">
        <f t="shared" ref="K899:K962" si="23">IF(A899&lt;100000,CONCATENATE(0,LEFT(A899,2)),LEFT(A899,3))</f>
        <v>602</v>
      </c>
    </row>
    <row r="900" spans="1:11" x14ac:dyDescent="0.3">
      <c r="A900" s="194">
        <v>602501</v>
      </c>
      <c r="B900" s="195" t="s">
        <v>1521</v>
      </c>
      <c r="C900" s="195" t="s">
        <v>1121</v>
      </c>
      <c r="D900" s="195" t="s">
        <v>686</v>
      </c>
      <c r="E900" s="196">
        <v>-197726.92</v>
      </c>
      <c r="F900" s="159">
        <v>-197726.92</v>
      </c>
      <c r="G900" s="157">
        <v>-218528.16</v>
      </c>
      <c r="H900" s="196">
        <v>173000</v>
      </c>
      <c r="I900" s="198">
        <v>370726.92</v>
      </c>
      <c r="K900" s="170" t="str">
        <f t="shared" si="23"/>
        <v>602</v>
      </c>
    </row>
    <row r="901" spans="1:11" x14ac:dyDescent="0.3">
      <c r="A901" s="194">
        <v>602502</v>
      </c>
      <c r="B901" s="195" t="s">
        <v>1522</v>
      </c>
      <c r="C901" s="195" t="s">
        <v>1121</v>
      </c>
      <c r="D901" s="195" t="s">
        <v>686</v>
      </c>
      <c r="E901" s="196">
        <v>-71109.649999999994</v>
      </c>
      <c r="F901" s="159">
        <v>-71109.649999999994</v>
      </c>
      <c r="G901" s="158">
        <v>-71109.649999999994</v>
      </c>
      <c r="H901" s="196">
        <v>1605.72</v>
      </c>
      <c r="I901" s="198">
        <v>72715.37</v>
      </c>
      <c r="K901" s="170" t="str">
        <f t="shared" si="23"/>
        <v>602</v>
      </c>
    </row>
    <row r="902" spans="1:11" x14ac:dyDescent="0.3">
      <c r="A902" s="194">
        <v>602550</v>
      </c>
      <c r="B902" s="195" t="s">
        <v>1523</v>
      </c>
      <c r="C902" s="195" t="s">
        <v>1121</v>
      </c>
      <c r="D902" s="195" t="s">
        <v>686</v>
      </c>
      <c r="E902" s="196">
        <v>-137218.14000000001</v>
      </c>
      <c r="F902" s="159">
        <v>-137218.14000000001</v>
      </c>
      <c r="G902" s="157">
        <v>-148616.82999999999</v>
      </c>
      <c r="H902" s="196">
        <v>-30672.09</v>
      </c>
      <c r="I902" s="198">
        <v>106546.05</v>
      </c>
      <c r="K902" s="170" t="str">
        <f t="shared" si="23"/>
        <v>602</v>
      </c>
    </row>
    <row r="903" spans="1:11" x14ac:dyDescent="0.3">
      <c r="A903" s="194">
        <v>602560</v>
      </c>
      <c r="B903" s="195" t="s">
        <v>1524</v>
      </c>
      <c r="C903" s="195" t="s">
        <v>1121</v>
      </c>
      <c r="D903" s="195" t="s">
        <v>686</v>
      </c>
      <c r="E903" s="196">
        <v>0</v>
      </c>
      <c r="F903" s="159">
        <v>0</v>
      </c>
      <c r="G903" s="158">
        <v>0</v>
      </c>
      <c r="H903" s="196">
        <v>0</v>
      </c>
      <c r="I903" s="198">
        <v>0</v>
      </c>
      <c r="K903" s="170" t="str">
        <f t="shared" si="23"/>
        <v>602</v>
      </c>
    </row>
    <row r="904" spans="1:11" x14ac:dyDescent="0.3">
      <c r="A904" s="194">
        <v>602620</v>
      </c>
      <c r="B904" s="195" t="s">
        <v>1525</v>
      </c>
      <c r="C904" s="195" t="s">
        <v>1121</v>
      </c>
      <c r="D904" s="195" t="s">
        <v>686</v>
      </c>
      <c r="E904" s="196">
        <v>-92550.7</v>
      </c>
      <c r="F904" s="159">
        <v>-92550.7</v>
      </c>
      <c r="G904" s="157">
        <v>-100761.7</v>
      </c>
      <c r="H904" s="196">
        <v>0</v>
      </c>
      <c r="I904" s="198">
        <v>92550.7</v>
      </c>
      <c r="K904" s="170" t="str">
        <f t="shared" si="23"/>
        <v>602</v>
      </c>
    </row>
    <row r="905" spans="1:11" x14ac:dyDescent="0.3">
      <c r="A905" s="194">
        <v>602700</v>
      </c>
      <c r="B905" s="195" t="s">
        <v>1526</v>
      </c>
      <c r="C905" s="195" t="s">
        <v>1121</v>
      </c>
      <c r="D905" s="195" t="s">
        <v>686</v>
      </c>
      <c r="E905" s="196">
        <v>-53937.63</v>
      </c>
      <c r="F905" s="159">
        <v>-53937.63</v>
      </c>
      <c r="G905" s="158">
        <v>-58641.919999999998</v>
      </c>
      <c r="H905" s="196">
        <v>44465.99</v>
      </c>
      <c r="I905" s="198">
        <v>98403.62</v>
      </c>
      <c r="K905" s="170" t="str">
        <f t="shared" si="23"/>
        <v>602</v>
      </c>
    </row>
    <row r="906" spans="1:11" x14ac:dyDescent="0.3">
      <c r="A906" s="194">
        <v>602705</v>
      </c>
      <c r="B906" s="195" t="s">
        <v>1527</v>
      </c>
      <c r="C906" s="195" t="s">
        <v>1121</v>
      </c>
      <c r="D906" s="195" t="s">
        <v>686</v>
      </c>
      <c r="E906" s="196">
        <v>-913.5</v>
      </c>
      <c r="F906" s="159">
        <v>-913.5</v>
      </c>
      <c r="G906" s="157">
        <v>-1108.5</v>
      </c>
      <c r="H906" s="196">
        <v>40.700000000000003</v>
      </c>
      <c r="I906" s="198">
        <v>954.2</v>
      </c>
      <c r="K906" s="170" t="str">
        <f t="shared" si="23"/>
        <v>602</v>
      </c>
    </row>
    <row r="907" spans="1:11" x14ac:dyDescent="0.3">
      <c r="A907" s="194">
        <v>602710</v>
      </c>
      <c r="B907" s="195" t="s">
        <v>1528</v>
      </c>
      <c r="C907" s="195" t="s">
        <v>1121</v>
      </c>
      <c r="D907" s="195" t="s">
        <v>686</v>
      </c>
      <c r="E907" s="196">
        <v>-20647.259999999998</v>
      </c>
      <c r="F907" s="159">
        <v>-20647.259999999998</v>
      </c>
      <c r="G907" s="158">
        <v>-20647.259999999998</v>
      </c>
      <c r="H907" s="196">
        <v>26565</v>
      </c>
      <c r="I907" s="198">
        <v>47212.26</v>
      </c>
      <c r="K907" s="170" t="str">
        <f t="shared" si="23"/>
        <v>602</v>
      </c>
    </row>
    <row r="908" spans="1:11" x14ac:dyDescent="0.3">
      <c r="A908" s="194">
        <v>602720</v>
      </c>
      <c r="B908" s="195" t="s">
        <v>1529</v>
      </c>
      <c r="C908" s="195" t="s">
        <v>1121</v>
      </c>
      <c r="D908" s="195" t="s">
        <v>686</v>
      </c>
      <c r="E908" s="196">
        <v>0</v>
      </c>
      <c r="F908" s="159">
        <v>0</v>
      </c>
      <c r="G908" s="157">
        <v>0</v>
      </c>
      <c r="H908" s="196">
        <v>0</v>
      </c>
      <c r="I908" s="198">
        <v>0</v>
      </c>
      <c r="K908" s="170" t="str">
        <f t="shared" si="23"/>
        <v>602</v>
      </c>
    </row>
    <row r="909" spans="1:11" x14ac:dyDescent="0.3">
      <c r="A909" s="194">
        <v>602800</v>
      </c>
      <c r="B909" s="195" t="s">
        <v>1530</v>
      </c>
      <c r="C909" s="195" t="s">
        <v>1121</v>
      </c>
      <c r="D909" s="195" t="s">
        <v>686</v>
      </c>
      <c r="E909" s="196">
        <v>0</v>
      </c>
      <c r="F909" s="159">
        <v>0</v>
      </c>
      <c r="G909" s="158">
        <v>0</v>
      </c>
      <c r="H909" s="196">
        <v>0</v>
      </c>
      <c r="I909" s="198">
        <v>0</v>
      </c>
      <c r="K909" s="170" t="str">
        <f t="shared" si="23"/>
        <v>602</v>
      </c>
    </row>
    <row r="910" spans="1:11" x14ac:dyDescent="0.3">
      <c r="A910" s="194">
        <v>602805</v>
      </c>
      <c r="B910" s="195" t="s">
        <v>1531</v>
      </c>
      <c r="C910" s="195" t="s">
        <v>1121</v>
      </c>
      <c r="D910" s="195" t="s">
        <v>686</v>
      </c>
      <c r="E910" s="196">
        <v>0</v>
      </c>
      <c r="F910" s="159">
        <v>0</v>
      </c>
      <c r="G910" s="157">
        <v>0</v>
      </c>
      <c r="H910" s="196">
        <v>0</v>
      </c>
      <c r="I910" s="198">
        <v>0</v>
      </c>
      <c r="K910" s="170" t="str">
        <f t="shared" si="23"/>
        <v>602</v>
      </c>
    </row>
    <row r="911" spans="1:11" x14ac:dyDescent="0.3">
      <c r="A911" s="194">
        <v>602806</v>
      </c>
      <c r="B911" s="195" t="s">
        <v>1532</v>
      </c>
      <c r="C911" s="195" t="s">
        <v>1121</v>
      </c>
      <c r="D911" s="195" t="s">
        <v>686</v>
      </c>
      <c r="E911" s="196">
        <v>0</v>
      </c>
      <c r="F911" s="159">
        <v>0</v>
      </c>
      <c r="G911" s="158">
        <v>0</v>
      </c>
      <c r="H911" s="196">
        <v>0</v>
      </c>
      <c r="I911" s="198">
        <v>0</v>
      </c>
      <c r="K911" s="170" t="str">
        <f t="shared" si="23"/>
        <v>602</v>
      </c>
    </row>
    <row r="912" spans="1:11" x14ac:dyDescent="0.3">
      <c r="A912" s="194">
        <v>602807</v>
      </c>
      <c r="B912" s="195" t="s">
        <v>1533</v>
      </c>
      <c r="C912" s="195" t="s">
        <v>1121</v>
      </c>
      <c r="D912" s="195" t="s">
        <v>686</v>
      </c>
      <c r="E912" s="196">
        <v>0</v>
      </c>
      <c r="F912" s="159">
        <v>0</v>
      </c>
      <c r="G912" s="157">
        <v>0</v>
      </c>
      <c r="H912" s="196">
        <v>0</v>
      </c>
      <c r="I912" s="198">
        <v>0</v>
      </c>
      <c r="K912" s="170" t="str">
        <f t="shared" si="23"/>
        <v>602</v>
      </c>
    </row>
    <row r="913" spans="1:11" x14ac:dyDescent="0.3">
      <c r="A913" s="194">
        <v>602810</v>
      </c>
      <c r="B913" s="195" t="s">
        <v>1534</v>
      </c>
      <c r="C913" s="195" t="s">
        <v>1121</v>
      </c>
      <c r="D913" s="195" t="s">
        <v>686</v>
      </c>
      <c r="E913" s="196">
        <v>-406882.08</v>
      </c>
      <c r="F913" s="159">
        <v>-406882.08</v>
      </c>
      <c r="G913" s="158">
        <v>-437892.44</v>
      </c>
      <c r="H913" s="196">
        <v>20000</v>
      </c>
      <c r="I913" s="198">
        <v>426882.08</v>
      </c>
      <c r="K913" s="170" t="str">
        <f t="shared" si="23"/>
        <v>602</v>
      </c>
    </row>
    <row r="914" spans="1:11" x14ac:dyDescent="0.3">
      <c r="A914" s="194">
        <v>602820</v>
      </c>
      <c r="B914" s="195" t="s">
        <v>1535</v>
      </c>
      <c r="C914" s="195" t="s">
        <v>1121</v>
      </c>
      <c r="D914" s="195" t="s">
        <v>686</v>
      </c>
      <c r="E914" s="196">
        <v>0</v>
      </c>
      <c r="F914" s="159">
        <v>0</v>
      </c>
      <c r="G914" s="157">
        <v>0</v>
      </c>
      <c r="H914" s="196">
        <v>0</v>
      </c>
      <c r="I914" s="198">
        <v>0</v>
      </c>
      <c r="K914" s="170" t="str">
        <f t="shared" si="23"/>
        <v>602</v>
      </c>
    </row>
    <row r="915" spans="1:11" x14ac:dyDescent="0.3">
      <c r="A915" s="194">
        <v>602999</v>
      </c>
      <c r="B915" s="195" t="s">
        <v>1536</v>
      </c>
      <c r="C915" s="195" t="s">
        <v>1121</v>
      </c>
      <c r="D915" s="195" t="s">
        <v>690</v>
      </c>
      <c r="E915" s="196">
        <v>-3262034.92</v>
      </c>
      <c r="F915" s="159">
        <v>-3262034.92</v>
      </c>
      <c r="G915" s="158">
        <v>-3515765.55</v>
      </c>
      <c r="H915" s="196">
        <v>420522.49</v>
      </c>
      <c r="I915" s="198">
        <v>3682557.41</v>
      </c>
      <c r="K915" s="170" t="str">
        <f t="shared" si="23"/>
        <v>602</v>
      </c>
    </row>
    <row r="916" spans="1:11" x14ac:dyDescent="0.3">
      <c r="A916" s="194">
        <v>604000</v>
      </c>
      <c r="B916" s="195" t="s">
        <v>1537</v>
      </c>
      <c r="C916" s="195" t="s">
        <v>1121</v>
      </c>
      <c r="D916" s="195" t="s">
        <v>687</v>
      </c>
      <c r="E916" s="196">
        <v>0</v>
      </c>
      <c r="F916" s="159">
        <v>0</v>
      </c>
      <c r="G916" s="157">
        <v>0</v>
      </c>
      <c r="H916" s="196">
        <v>0</v>
      </c>
      <c r="I916" s="198">
        <v>0</v>
      </c>
      <c r="K916" s="170" t="str">
        <f t="shared" si="23"/>
        <v>604</v>
      </c>
    </row>
    <row r="917" spans="1:11" x14ac:dyDescent="0.3">
      <c r="A917" s="194">
        <v>604100</v>
      </c>
      <c r="B917" s="195" t="s">
        <v>1538</v>
      </c>
      <c r="C917" s="195" t="s">
        <v>1121</v>
      </c>
      <c r="D917" s="195" t="s">
        <v>686</v>
      </c>
      <c r="E917" s="196">
        <v>-2592548.48</v>
      </c>
      <c r="F917" s="159">
        <v>-2592548.48</v>
      </c>
      <c r="G917" s="158">
        <v>-2875063.82</v>
      </c>
      <c r="H917" s="196">
        <v>0</v>
      </c>
      <c r="I917" s="198">
        <v>2592548.48</v>
      </c>
      <c r="K917" s="170" t="str">
        <f t="shared" si="23"/>
        <v>604</v>
      </c>
    </row>
    <row r="918" spans="1:11" x14ac:dyDescent="0.3">
      <c r="A918" s="194">
        <v>604105</v>
      </c>
      <c r="B918" s="195" t="s">
        <v>1539</v>
      </c>
      <c r="C918" s="195" t="s">
        <v>1121</v>
      </c>
      <c r="D918" s="195" t="s">
        <v>686</v>
      </c>
      <c r="E918" s="196">
        <v>578900.18999999994</v>
      </c>
      <c r="F918" s="159">
        <v>578900.18999999994</v>
      </c>
      <c r="G918" s="157">
        <v>647526.96</v>
      </c>
      <c r="H918" s="196">
        <v>570791.97</v>
      </c>
      <c r="I918" s="198">
        <v>-8108.22</v>
      </c>
      <c r="K918" s="170" t="str">
        <f t="shared" si="23"/>
        <v>604</v>
      </c>
    </row>
    <row r="919" spans="1:11" x14ac:dyDescent="0.3">
      <c r="A919" s="194">
        <v>604150</v>
      </c>
      <c r="B919" s="195" t="s">
        <v>1540</v>
      </c>
      <c r="C919" s="195" t="s">
        <v>1121</v>
      </c>
      <c r="D919" s="195" t="s">
        <v>686</v>
      </c>
      <c r="E919" s="196">
        <v>-28668.77</v>
      </c>
      <c r="F919" s="159">
        <v>-28668.77</v>
      </c>
      <c r="G919" s="158">
        <v>-32349.3</v>
      </c>
      <c r="H919" s="196">
        <v>0</v>
      </c>
      <c r="I919" s="198">
        <v>28668.77</v>
      </c>
      <c r="K919" s="170" t="str">
        <f t="shared" si="23"/>
        <v>604</v>
      </c>
    </row>
    <row r="920" spans="1:11" x14ac:dyDescent="0.3">
      <c r="A920" s="194">
        <v>604155</v>
      </c>
      <c r="B920" s="195" t="s">
        <v>1541</v>
      </c>
      <c r="C920" s="195" t="s">
        <v>1121</v>
      </c>
      <c r="D920" s="195" t="s">
        <v>686</v>
      </c>
      <c r="E920" s="196">
        <v>684.64</v>
      </c>
      <c r="F920" s="159">
        <v>684.64</v>
      </c>
      <c r="G920" s="157">
        <v>687.93</v>
      </c>
      <c r="H920" s="196">
        <v>684.64</v>
      </c>
      <c r="I920" s="198">
        <v>0</v>
      </c>
      <c r="K920" s="170" t="str">
        <f t="shared" si="23"/>
        <v>604</v>
      </c>
    </row>
    <row r="921" spans="1:11" x14ac:dyDescent="0.3">
      <c r="A921" s="194">
        <v>604161</v>
      </c>
      <c r="B921" s="195" t="s">
        <v>1542</v>
      </c>
      <c r="C921" s="195" t="s">
        <v>1121</v>
      </c>
      <c r="D921" s="195" t="s">
        <v>686</v>
      </c>
      <c r="E921" s="196">
        <v>0</v>
      </c>
      <c r="F921" s="159">
        <v>0</v>
      </c>
      <c r="G921" s="158">
        <v>0</v>
      </c>
      <c r="H921" s="196">
        <v>0</v>
      </c>
      <c r="I921" s="198">
        <v>0</v>
      </c>
      <c r="K921" s="170" t="str">
        <f t="shared" si="23"/>
        <v>604</v>
      </c>
    </row>
    <row r="922" spans="1:11" x14ac:dyDescent="0.3">
      <c r="A922" s="194">
        <v>604199</v>
      </c>
      <c r="B922" s="195" t="s">
        <v>1543</v>
      </c>
      <c r="C922" s="195" t="s">
        <v>1121</v>
      </c>
      <c r="D922" s="195" t="s">
        <v>690</v>
      </c>
      <c r="E922" s="196">
        <v>-2041632.42</v>
      </c>
      <c r="F922" s="159">
        <v>-2041632.42</v>
      </c>
      <c r="G922" s="157">
        <v>-2259198.23</v>
      </c>
      <c r="H922" s="196">
        <v>571476.61</v>
      </c>
      <c r="I922" s="198">
        <v>2613109.0299999998</v>
      </c>
      <c r="K922" s="170" t="str">
        <f t="shared" si="23"/>
        <v>604</v>
      </c>
    </row>
    <row r="923" spans="1:11" x14ac:dyDescent="0.3">
      <c r="A923" s="194">
        <v>604200</v>
      </c>
      <c r="B923" s="195" t="s">
        <v>1544</v>
      </c>
      <c r="C923" s="195" t="s">
        <v>1121</v>
      </c>
      <c r="D923" s="195" t="s">
        <v>686</v>
      </c>
      <c r="E923" s="196">
        <v>-3279708.96</v>
      </c>
      <c r="F923" s="159">
        <v>-3279708.96</v>
      </c>
      <c r="G923" s="158">
        <v>-3558239.06</v>
      </c>
      <c r="H923" s="196">
        <v>32383.97</v>
      </c>
      <c r="I923" s="198">
        <v>3312092.93</v>
      </c>
      <c r="K923" s="170" t="str">
        <f t="shared" si="23"/>
        <v>604</v>
      </c>
    </row>
    <row r="924" spans="1:11" x14ac:dyDescent="0.3">
      <c r="A924" s="194">
        <v>604201</v>
      </c>
      <c r="B924" s="195" t="s">
        <v>1545</v>
      </c>
      <c r="C924" s="195" t="s">
        <v>1121</v>
      </c>
      <c r="D924" s="195" t="s">
        <v>686</v>
      </c>
      <c r="E924" s="196">
        <v>-61862.64</v>
      </c>
      <c r="F924" s="159">
        <v>-61862.64</v>
      </c>
      <c r="G924" s="157">
        <v>-64428.2</v>
      </c>
      <c r="H924" s="196">
        <v>4600</v>
      </c>
      <c r="I924" s="198">
        <v>66462.64</v>
      </c>
      <c r="K924" s="170" t="str">
        <f t="shared" si="23"/>
        <v>604</v>
      </c>
    </row>
    <row r="925" spans="1:11" x14ac:dyDescent="0.3">
      <c r="A925" s="194">
        <v>604205</v>
      </c>
      <c r="B925" s="195" t="s">
        <v>1546</v>
      </c>
      <c r="C925" s="195" t="s">
        <v>1121</v>
      </c>
      <c r="D925" s="195" t="s">
        <v>686</v>
      </c>
      <c r="E925" s="196">
        <v>174487.64</v>
      </c>
      <c r="F925" s="159">
        <v>174487.64</v>
      </c>
      <c r="G925" s="158">
        <v>189031.8</v>
      </c>
      <c r="H925" s="196">
        <v>184189.31</v>
      </c>
      <c r="I925" s="198">
        <v>9701.67</v>
      </c>
      <c r="K925" s="170" t="str">
        <f t="shared" si="23"/>
        <v>604</v>
      </c>
    </row>
    <row r="926" spans="1:11" x14ac:dyDescent="0.3">
      <c r="A926" s="194">
        <v>604260</v>
      </c>
      <c r="B926" s="195" t="s">
        <v>1547</v>
      </c>
      <c r="C926" s="195" t="s">
        <v>1121</v>
      </c>
      <c r="D926" s="195" t="s">
        <v>686</v>
      </c>
      <c r="E926" s="196">
        <v>0</v>
      </c>
      <c r="F926" s="159">
        <v>0</v>
      </c>
      <c r="G926" s="157">
        <v>0</v>
      </c>
      <c r="H926" s="196">
        <v>0</v>
      </c>
      <c r="I926" s="198">
        <v>0</v>
      </c>
      <c r="K926" s="170" t="str">
        <f t="shared" si="23"/>
        <v>604</v>
      </c>
    </row>
    <row r="927" spans="1:11" x14ac:dyDescent="0.3">
      <c r="A927" s="194">
        <v>604310</v>
      </c>
      <c r="B927" s="195" t="s">
        <v>1548</v>
      </c>
      <c r="C927" s="195" t="s">
        <v>1121</v>
      </c>
      <c r="D927" s="195" t="s">
        <v>686</v>
      </c>
      <c r="E927" s="196">
        <v>-526051.13</v>
      </c>
      <c r="F927" s="159">
        <v>-526051.13</v>
      </c>
      <c r="G927" s="158">
        <v>-563039.27</v>
      </c>
      <c r="H927" s="196">
        <v>0</v>
      </c>
      <c r="I927" s="198">
        <v>526051.13</v>
      </c>
      <c r="K927" s="170" t="str">
        <f t="shared" si="23"/>
        <v>604</v>
      </c>
    </row>
    <row r="928" spans="1:11" x14ac:dyDescent="0.3">
      <c r="A928" s="194">
        <v>604320</v>
      </c>
      <c r="B928" s="195" t="s">
        <v>1549</v>
      </c>
      <c r="C928" s="195" t="s">
        <v>1121</v>
      </c>
      <c r="D928" s="195" t="s">
        <v>686</v>
      </c>
      <c r="E928" s="196">
        <v>-586151.52</v>
      </c>
      <c r="F928" s="159">
        <v>-586151.52</v>
      </c>
      <c r="G928" s="157">
        <v>-649152.39</v>
      </c>
      <c r="H928" s="196">
        <v>0</v>
      </c>
      <c r="I928" s="198">
        <v>586151.52</v>
      </c>
      <c r="K928" s="170" t="str">
        <f t="shared" si="23"/>
        <v>604</v>
      </c>
    </row>
    <row r="929" spans="1:11" x14ac:dyDescent="0.3">
      <c r="A929" s="194">
        <v>604325</v>
      </c>
      <c r="B929" s="195" t="s">
        <v>1550</v>
      </c>
      <c r="C929" s="195" t="s">
        <v>1121</v>
      </c>
      <c r="D929" s="195" t="s">
        <v>686</v>
      </c>
      <c r="E929" s="196">
        <v>-50867.12</v>
      </c>
      <c r="F929" s="159">
        <v>-50867.12</v>
      </c>
      <c r="G929" s="158">
        <v>-56449.89</v>
      </c>
      <c r="H929" s="196">
        <v>0</v>
      </c>
      <c r="I929" s="198">
        <v>50867.12</v>
      </c>
      <c r="K929" s="170" t="str">
        <f t="shared" si="23"/>
        <v>604</v>
      </c>
    </row>
    <row r="930" spans="1:11" x14ac:dyDescent="0.3">
      <c r="A930" s="194">
        <v>604450</v>
      </c>
      <c r="B930" s="195" t="s">
        <v>447</v>
      </c>
      <c r="C930" s="195" t="s">
        <v>1121</v>
      </c>
      <c r="D930" s="195" t="s">
        <v>686</v>
      </c>
      <c r="E930" s="196">
        <v>0</v>
      </c>
      <c r="F930" s="159">
        <v>0</v>
      </c>
      <c r="G930" s="157">
        <v>0</v>
      </c>
      <c r="H930" s="196">
        <v>0</v>
      </c>
      <c r="I930" s="198">
        <v>0</v>
      </c>
      <c r="K930" s="170" t="str">
        <f t="shared" si="23"/>
        <v>604</v>
      </c>
    </row>
    <row r="931" spans="1:11" x14ac:dyDescent="0.3">
      <c r="A931" s="194">
        <v>604470</v>
      </c>
      <c r="B931" s="195" t="s">
        <v>1551</v>
      </c>
      <c r="C931" s="195" t="s">
        <v>1121</v>
      </c>
      <c r="D931" s="195" t="s">
        <v>686</v>
      </c>
      <c r="E931" s="196">
        <v>0</v>
      </c>
      <c r="F931" s="159">
        <v>0</v>
      </c>
      <c r="G931" s="158">
        <v>0</v>
      </c>
      <c r="H931" s="196">
        <v>0</v>
      </c>
      <c r="I931" s="198">
        <v>0</v>
      </c>
      <c r="K931" s="170" t="str">
        <f t="shared" si="23"/>
        <v>604</v>
      </c>
    </row>
    <row r="932" spans="1:11" x14ac:dyDescent="0.3">
      <c r="A932" s="194">
        <v>604500</v>
      </c>
      <c r="B932" s="195" t="s">
        <v>1552</v>
      </c>
      <c r="C932" s="195" t="s">
        <v>1121</v>
      </c>
      <c r="D932" s="195" t="s">
        <v>686</v>
      </c>
      <c r="E932" s="196">
        <v>-23249053.16</v>
      </c>
      <c r="F932" s="159">
        <v>-23249053.16</v>
      </c>
      <c r="G932" s="157">
        <v>-25526046.77</v>
      </c>
      <c r="H932" s="196">
        <v>34900.839999999997</v>
      </c>
      <c r="I932" s="198">
        <v>23283954</v>
      </c>
      <c r="K932" s="170" t="str">
        <f t="shared" si="23"/>
        <v>604</v>
      </c>
    </row>
    <row r="933" spans="1:11" x14ac:dyDescent="0.3">
      <c r="A933" s="194">
        <v>604505</v>
      </c>
      <c r="B933" s="195" t="s">
        <v>1553</v>
      </c>
      <c r="C933" s="195" t="s">
        <v>1121</v>
      </c>
      <c r="D933" s="195" t="s">
        <v>686</v>
      </c>
      <c r="E933" s="196">
        <v>3285937.16</v>
      </c>
      <c r="F933" s="159">
        <v>3285937.16</v>
      </c>
      <c r="G933" s="158">
        <v>3614051.88</v>
      </c>
      <c r="H933" s="196">
        <v>3316455.83</v>
      </c>
      <c r="I933" s="198">
        <v>30518.67</v>
      </c>
      <c r="K933" s="170" t="str">
        <f t="shared" si="23"/>
        <v>604</v>
      </c>
    </row>
    <row r="934" spans="1:11" x14ac:dyDescent="0.3">
      <c r="A934" s="194">
        <v>604515</v>
      </c>
      <c r="B934" s="195" t="s">
        <v>1554</v>
      </c>
      <c r="C934" s="195" t="s">
        <v>1121</v>
      </c>
      <c r="D934" s="195" t="s">
        <v>686</v>
      </c>
      <c r="E934" s="196">
        <v>-3010</v>
      </c>
      <c r="F934" s="159">
        <v>-3010</v>
      </c>
      <c r="G934" s="157">
        <v>-4510</v>
      </c>
      <c r="H934" s="196">
        <v>0</v>
      </c>
      <c r="I934" s="198">
        <v>3010</v>
      </c>
      <c r="K934" s="170" t="str">
        <f t="shared" si="23"/>
        <v>604</v>
      </c>
    </row>
    <row r="935" spans="1:11" x14ac:dyDescent="0.3">
      <c r="A935" s="194">
        <v>604595</v>
      </c>
      <c r="B935" s="195" t="s">
        <v>1217</v>
      </c>
      <c r="C935" s="195" t="s">
        <v>1121</v>
      </c>
      <c r="D935" s="195" t="s">
        <v>686</v>
      </c>
      <c r="E935" s="196">
        <v>0</v>
      </c>
      <c r="F935" s="159">
        <v>0</v>
      </c>
      <c r="G935" s="158">
        <v>0</v>
      </c>
      <c r="H935" s="196">
        <v>0</v>
      </c>
      <c r="I935" s="198">
        <v>0</v>
      </c>
      <c r="K935" s="170" t="str">
        <f t="shared" si="23"/>
        <v>604</v>
      </c>
    </row>
    <row r="936" spans="1:11" x14ac:dyDescent="0.3">
      <c r="A936" s="194">
        <v>604599</v>
      </c>
      <c r="B936" s="195" t="s">
        <v>1555</v>
      </c>
      <c r="C936" s="195" t="s">
        <v>1121</v>
      </c>
      <c r="D936" s="195" t="s">
        <v>690</v>
      </c>
      <c r="E936" s="196">
        <v>-19966126</v>
      </c>
      <c r="F936" s="159">
        <v>-19966126</v>
      </c>
      <c r="G936" s="157">
        <v>-21916504.890000001</v>
      </c>
      <c r="H936" s="196">
        <v>3351356.67</v>
      </c>
      <c r="I936" s="198">
        <v>23317482.670000002</v>
      </c>
      <c r="K936" s="170" t="str">
        <f t="shared" si="23"/>
        <v>604</v>
      </c>
    </row>
    <row r="937" spans="1:11" x14ac:dyDescent="0.3">
      <c r="A937" s="194">
        <v>604600</v>
      </c>
      <c r="B937" s="195" t="s">
        <v>1556</v>
      </c>
      <c r="C937" s="195" t="s">
        <v>1121</v>
      </c>
      <c r="D937" s="195" t="s">
        <v>686</v>
      </c>
      <c r="E937" s="196">
        <v>-15068774.109999999</v>
      </c>
      <c r="F937" s="159">
        <v>-15068774.109999999</v>
      </c>
      <c r="G937" s="158">
        <v>-16256689.130000001</v>
      </c>
      <c r="H937" s="196">
        <v>47500</v>
      </c>
      <c r="I937" s="198">
        <v>15116274.109999999</v>
      </c>
      <c r="K937" s="170" t="str">
        <f t="shared" si="23"/>
        <v>604</v>
      </c>
    </row>
    <row r="938" spans="1:11" x14ac:dyDescent="0.3">
      <c r="A938" s="194">
        <v>604602</v>
      </c>
      <c r="B938" s="195" t="s">
        <v>1557</v>
      </c>
      <c r="C938" s="195" t="s">
        <v>1121</v>
      </c>
      <c r="D938" s="195" t="s">
        <v>686</v>
      </c>
      <c r="E938" s="196">
        <v>-833.33</v>
      </c>
      <c r="F938" s="159">
        <v>-833.33</v>
      </c>
      <c r="G938" s="157">
        <v>-833.33</v>
      </c>
      <c r="H938" s="196">
        <v>0</v>
      </c>
      <c r="I938" s="198">
        <v>833.33</v>
      </c>
      <c r="K938" s="170" t="str">
        <f t="shared" si="23"/>
        <v>604</v>
      </c>
    </row>
    <row r="939" spans="1:11" x14ac:dyDescent="0.3">
      <c r="A939" s="194">
        <v>604605</v>
      </c>
      <c r="B939" s="195" t="s">
        <v>1558</v>
      </c>
      <c r="C939" s="195" t="s">
        <v>1121</v>
      </c>
      <c r="D939" s="195" t="s">
        <v>686</v>
      </c>
      <c r="E939" s="196">
        <v>799868.36</v>
      </c>
      <c r="F939" s="159">
        <v>799868.36</v>
      </c>
      <c r="G939" s="158">
        <v>828187.52</v>
      </c>
      <c r="H939" s="196">
        <v>800371.36</v>
      </c>
      <c r="I939" s="198">
        <v>503</v>
      </c>
      <c r="K939" s="170" t="str">
        <f t="shared" si="23"/>
        <v>604</v>
      </c>
    </row>
    <row r="940" spans="1:11" x14ac:dyDescent="0.3">
      <c r="A940" s="194">
        <v>604626</v>
      </c>
      <c r="B940" s="195" t="s">
        <v>1224</v>
      </c>
      <c r="C940" s="195" t="s">
        <v>1121</v>
      </c>
      <c r="D940" s="195" t="s">
        <v>686</v>
      </c>
      <c r="E940" s="196">
        <v>0</v>
      </c>
      <c r="F940" s="159">
        <v>0</v>
      </c>
      <c r="G940" s="157">
        <v>0</v>
      </c>
      <c r="H940" s="196">
        <v>0</v>
      </c>
      <c r="I940" s="198">
        <v>0</v>
      </c>
      <c r="K940" s="170" t="str">
        <f t="shared" si="23"/>
        <v>604</v>
      </c>
    </row>
    <row r="941" spans="1:11" x14ac:dyDescent="0.3">
      <c r="A941" s="194">
        <v>604627</v>
      </c>
      <c r="B941" s="195" t="s">
        <v>1225</v>
      </c>
      <c r="C941" s="195" t="s">
        <v>1121</v>
      </c>
      <c r="D941" s="195" t="s">
        <v>686</v>
      </c>
      <c r="E941" s="196">
        <v>0</v>
      </c>
      <c r="F941" s="159">
        <v>0</v>
      </c>
      <c r="G941" s="158">
        <v>0</v>
      </c>
      <c r="H941" s="196">
        <v>0</v>
      </c>
      <c r="I941" s="198">
        <v>0</v>
      </c>
      <c r="K941" s="170" t="str">
        <f t="shared" si="23"/>
        <v>604</v>
      </c>
    </row>
    <row r="942" spans="1:11" x14ac:dyDescent="0.3">
      <c r="A942" s="194">
        <v>604700</v>
      </c>
      <c r="B942" s="195" t="s">
        <v>1559</v>
      </c>
      <c r="C942" s="195" t="s">
        <v>1121</v>
      </c>
      <c r="D942" s="195" t="s">
        <v>687</v>
      </c>
      <c r="E942" s="196">
        <v>0</v>
      </c>
      <c r="F942" s="159">
        <v>0</v>
      </c>
      <c r="G942" s="157">
        <v>0</v>
      </c>
      <c r="H942" s="196">
        <v>0</v>
      </c>
      <c r="I942" s="198">
        <v>0</v>
      </c>
      <c r="K942" s="170" t="str">
        <f t="shared" si="23"/>
        <v>604</v>
      </c>
    </row>
    <row r="943" spans="1:11" x14ac:dyDescent="0.3">
      <c r="A943" s="194">
        <v>604730</v>
      </c>
      <c r="B943" s="195" t="s">
        <v>1560</v>
      </c>
      <c r="C943" s="195" t="s">
        <v>1121</v>
      </c>
      <c r="D943" s="195" t="s">
        <v>686</v>
      </c>
      <c r="E943" s="196">
        <v>0</v>
      </c>
      <c r="F943" s="159">
        <v>0</v>
      </c>
      <c r="G943" s="158">
        <v>0</v>
      </c>
      <c r="H943" s="196">
        <v>0</v>
      </c>
      <c r="I943" s="198">
        <v>0</v>
      </c>
      <c r="K943" s="170" t="str">
        <f t="shared" si="23"/>
        <v>604</v>
      </c>
    </row>
    <row r="944" spans="1:11" x14ac:dyDescent="0.3">
      <c r="A944" s="194">
        <v>604799</v>
      </c>
      <c r="B944" s="195" t="s">
        <v>1561</v>
      </c>
      <c r="C944" s="195" t="s">
        <v>1121</v>
      </c>
      <c r="D944" s="195" t="s">
        <v>690</v>
      </c>
      <c r="E944" s="196">
        <v>0</v>
      </c>
      <c r="F944" s="159">
        <v>0</v>
      </c>
      <c r="G944" s="157">
        <v>0</v>
      </c>
      <c r="H944" s="196">
        <v>0</v>
      </c>
      <c r="I944" s="198">
        <v>0</v>
      </c>
      <c r="K944" s="170" t="str">
        <f t="shared" si="23"/>
        <v>604</v>
      </c>
    </row>
    <row r="945" spans="1:11" x14ac:dyDescent="0.3">
      <c r="A945" s="194">
        <v>604800</v>
      </c>
      <c r="B945" s="195" t="s">
        <v>1230</v>
      </c>
      <c r="C945" s="195" t="s">
        <v>1121</v>
      </c>
      <c r="D945" s="195" t="s">
        <v>686</v>
      </c>
      <c r="E945" s="196">
        <v>0</v>
      </c>
      <c r="F945" s="159">
        <v>0</v>
      </c>
      <c r="G945" s="158">
        <v>0</v>
      </c>
      <c r="H945" s="196">
        <v>0</v>
      </c>
      <c r="I945" s="198">
        <v>0</v>
      </c>
      <c r="K945" s="170" t="str">
        <f t="shared" si="23"/>
        <v>604</v>
      </c>
    </row>
    <row r="946" spans="1:11" x14ac:dyDescent="0.3">
      <c r="A946" s="194">
        <v>604802</v>
      </c>
      <c r="B946" s="195" t="s">
        <v>1562</v>
      </c>
      <c r="C946" s="195" t="s">
        <v>1121</v>
      </c>
      <c r="D946" s="195" t="s">
        <v>686</v>
      </c>
      <c r="E946" s="196">
        <v>0</v>
      </c>
      <c r="F946" s="159">
        <v>0</v>
      </c>
      <c r="G946" s="157">
        <v>0</v>
      </c>
      <c r="H946" s="196">
        <v>0</v>
      </c>
      <c r="I946" s="198">
        <v>0</v>
      </c>
      <c r="K946" s="170" t="str">
        <f t="shared" si="23"/>
        <v>604</v>
      </c>
    </row>
    <row r="947" spans="1:11" x14ac:dyDescent="0.3">
      <c r="A947" s="194">
        <v>604998</v>
      </c>
      <c r="B947" s="195" t="s">
        <v>1563</v>
      </c>
      <c r="C947" s="195" t="s">
        <v>1121</v>
      </c>
      <c r="D947" s="195" t="s">
        <v>690</v>
      </c>
      <c r="E947" s="196">
        <v>-40607651.229999997</v>
      </c>
      <c r="F947" s="159">
        <v>-40607651.229999997</v>
      </c>
      <c r="G947" s="158">
        <v>-44307315.07</v>
      </c>
      <c r="H947" s="196">
        <v>4991877.92</v>
      </c>
      <c r="I947" s="198">
        <v>45599529.149999999</v>
      </c>
      <c r="K947" s="170" t="str">
        <f t="shared" si="23"/>
        <v>604</v>
      </c>
    </row>
    <row r="948" spans="1:11" x14ac:dyDescent="0.3">
      <c r="A948" s="194">
        <v>604999</v>
      </c>
      <c r="B948" s="195" t="s">
        <v>1564</v>
      </c>
      <c r="C948" s="195" t="s">
        <v>1121</v>
      </c>
      <c r="D948" s="195" t="s">
        <v>690</v>
      </c>
      <c r="E948" s="196">
        <v>-43869686.149999999</v>
      </c>
      <c r="F948" s="159">
        <v>-43869686.149999999</v>
      </c>
      <c r="G948" s="157">
        <v>-47823080.619999997</v>
      </c>
      <c r="H948" s="196">
        <v>5412400.4100000001</v>
      </c>
      <c r="I948" s="198">
        <v>49282086.560000002</v>
      </c>
      <c r="K948" s="170" t="str">
        <f t="shared" si="23"/>
        <v>604</v>
      </c>
    </row>
    <row r="949" spans="1:11" x14ac:dyDescent="0.3">
      <c r="A949" s="194">
        <v>610000</v>
      </c>
      <c r="B949" s="195" t="s">
        <v>1565</v>
      </c>
      <c r="C949" s="195" t="s">
        <v>1121</v>
      </c>
      <c r="D949" s="195" t="s">
        <v>687</v>
      </c>
      <c r="E949" s="196">
        <v>0</v>
      </c>
      <c r="F949" s="159">
        <v>0</v>
      </c>
      <c r="G949" s="158">
        <v>0</v>
      </c>
      <c r="H949" s="196">
        <v>0</v>
      </c>
      <c r="I949" s="198">
        <v>0</v>
      </c>
      <c r="K949" s="170" t="str">
        <f t="shared" si="23"/>
        <v>610</v>
      </c>
    </row>
    <row r="950" spans="1:11" x14ac:dyDescent="0.3">
      <c r="A950" s="194">
        <v>611000</v>
      </c>
      <c r="B950" s="195" t="s">
        <v>1566</v>
      </c>
      <c r="C950" s="195" t="s">
        <v>1121</v>
      </c>
      <c r="D950" s="195" t="s">
        <v>687</v>
      </c>
      <c r="E950" s="196">
        <v>0</v>
      </c>
      <c r="F950" s="159">
        <v>0</v>
      </c>
      <c r="G950" s="157">
        <v>0</v>
      </c>
      <c r="H950" s="196">
        <v>0</v>
      </c>
      <c r="I950" s="198">
        <v>0</v>
      </c>
      <c r="K950" s="170" t="str">
        <f t="shared" si="23"/>
        <v>611</v>
      </c>
    </row>
    <row r="951" spans="1:11" x14ac:dyDescent="0.3">
      <c r="A951" s="194">
        <v>611100</v>
      </c>
      <c r="B951" s="195" t="s">
        <v>1566</v>
      </c>
      <c r="C951" s="195" t="s">
        <v>1121</v>
      </c>
      <c r="D951" s="195" t="s">
        <v>686</v>
      </c>
      <c r="E951" s="196">
        <v>0</v>
      </c>
      <c r="F951" s="159">
        <v>0</v>
      </c>
      <c r="G951" s="158">
        <v>0</v>
      </c>
      <c r="H951" s="196">
        <v>0</v>
      </c>
      <c r="I951" s="198">
        <v>0</v>
      </c>
      <c r="K951" s="170" t="str">
        <f t="shared" si="23"/>
        <v>611</v>
      </c>
    </row>
    <row r="952" spans="1:11" x14ac:dyDescent="0.3">
      <c r="A952" s="194">
        <v>611300</v>
      </c>
      <c r="B952" s="195" t="s">
        <v>1567</v>
      </c>
      <c r="C952" s="195" t="s">
        <v>1121</v>
      </c>
      <c r="D952" s="195" t="s">
        <v>686</v>
      </c>
      <c r="E952" s="196">
        <v>0</v>
      </c>
      <c r="F952" s="159">
        <v>0</v>
      </c>
      <c r="G952" s="157">
        <v>0</v>
      </c>
      <c r="H952" s="196">
        <v>0</v>
      </c>
      <c r="I952" s="198">
        <v>0</v>
      </c>
      <c r="K952" s="170" t="str">
        <f t="shared" si="23"/>
        <v>611</v>
      </c>
    </row>
    <row r="953" spans="1:11" x14ac:dyDescent="0.3">
      <c r="A953" s="194">
        <v>620000</v>
      </c>
      <c r="B953" s="195" t="s">
        <v>658</v>
      </c>
      <c r="C953" s="195" t="s">
        <v>1121</v>
      </c>
      <c r="D953" s="195" t="s">
        <v>687</v>
      </c>
      <c r="E953" s="196">
        <v>0</v>
      </c>
      <c r="F953" s="159">
        <v>0</v>
      </c>
      <c r="G953" s="158">
        <v>0</v>
      </c>
      <c r="H953" s="196">
        <v>0</v>
      </c>
      <c r="I953" s="198">
        <v>0</v>
      </c>
      <c r="K953" s="170" t="str">
        <f t="shared" si="23"/>
        <v>620</v>
      </c>
    </row>
    <row r="954" spans="1:11" x14ac:dyDescent="0.3">
      <c r="A954" s="194">
        <v>621000</v>
      </c>
      <c r="B954" s="195" t="s">
        <v>1568</v>
      </c>
      <c r="C954" s="195" t="s">
        <v>1121</v>
      </c>
      <c r="D954" s="195" t="s">
        <v>687</v>
      </c>
      <c r="E954" s="196">
        <v>0</v>
      </c>
      <c r="F954" s="159">
        <v>0</v>
      </c>
      <c r="G954" s="157">
        <v>0</v>
      </c>
      <c r="H954" s="196">
        <v>0</v>
      </c>
      <c r="I954" s="198">
        <v>0</v>
      </c>
      <c r="K954" s="170" t="str">
        <f t="shared" si="23"/>
        <v>621</v>
      </c>
    </row>
    <row r="955" spans="1:11" x14ac:dyDescent="0.3">
      <c r="A955" s="194">
        <v>621100</v>
      </c>
      <c r="B955" s="195" t="s">
        <v>1569</v>
      </c>
      <c r="C955" s="195" t="s">
        <v>1121</v>
      </c>
      <c r="D955" s="195" t="s">
        <v>686</v>
      </c>
      <c r="E955" s="196">
        <v>-512.91999999999996</v>
      </c>
      <c r="F955" s="159">
        <v>-512.91999999999996</v>
      </c>
      <c r="G955" s="158">
        <v>-512.91999999999996</v>
      </c>
      <c r="H955" s="196">
        <v>106.34</v>
      </c>
      <c r="I955" s="198">
        <v>619.26</v>
      </c>
      <c r="K955" s="170" t="str">
        <f t="shared" si="23"/>
        <v>621</v>
      </c>
    </row>
    <row r="956" spans="1:11" x14ac:dyDescent="0.3">
      <c r="A956" s="194">
        <v>621110</v>
      </c>
      <c r="B956" s="195" t="s">
        <v>1570</v>
      </c>
      <c r="C956" s="195" t="s">
        <v>1121</v>
      </c>
      <c r="D956" s="195" t="s">
        <v>686</v>
      </c>
      <c r="E956" s="196">
        <v>-8428.86</v>
      </c>
      <c r="F956" s="159">
        <v>-8428.86</v>
      </c>
      <c r="G956" s="157">
        <v>-8428.86</v>
      </c>
      <c r="H956" s="196">
        <v>28.14</v>
      </c>
      <c r="I956" s="198">
        <v>8457</v>
      </c>
      <c r="K956" s="170" t="str">
        <f t="shared" si="23"/>
        <v>621</v>
      </c>
    </row>
    <row r="957" spans="1:11" x14ac:dyDescent="0.3">
      <c r="A957" s="194">
        <v>621200</v>
      </c>
      <c r="B957" s="195" t="s">
        <v>1571</v>
      </c>
      <c r="C957" s="195" t="s">
        <v>1121</v>
      </c>
      <c r="D957" s="195" t="s">
        <v>686</v>
      </c>
      <c r="E957" s="196">
        <v>-228832</v>
      </c>
      <c r="F957" s="159">
        <v>-228832</v>
      </c>
      <c r="G957" s="158">
        <v>-235279</v>
      </c>
      <c r="H957" s="196">
        <v>230.48</v>
      </c>
      <c r="I957" s="198">
        <v>229062.48</v>
      </c>
      <c r="K957" s="170" t="str">
        <f t="shared" si="23"/>
        <v>621</v>
      </c>
    </row>
    <row r="958" spans="1:11" x14ac:dyDescent="0.3">
      <c r="A958" s="194">
        <v>621300</v>
      </c>
      <c r="B958" s="195" t="s">
        <v>1572</v>
      </c>
      <c r="C958" s="195" t="s">
        <v>1121</v>
      </c>
      <c r="D958" s="195" t="s">
        <v>686</v>
      </c>
      <c r="E958" s="196">
        <v>-66</v>
      </c>
      <c r="F958" s="159">
        <v>-66</v>
      </c>
      <c r="G958" s="157">
        <v>-66</v>
      </c>
      <c r="H958" s="196">
        <v>130.5</v>
      </c>
      <c r="I958" s="198">
        <v>196.5</v>
      </c>
      <c r="K958" s="170" t="str">
        <f t="shared" si="23"/>
        <v>621</v>
      </c>
    </row>
    <row r="959" spans="1:11" x14ac:dyDescent="0.3">
      <c r="A959" s="194">
        <v>621999</v>
      </c>
      <c r="B959" s="195" t="s">
        <v>1573</v>
      </c>
      <c r="C959" s="195" t="s">
        <v>1121</v>
      </c>
      <c r="D959" s="195" t="s">
        <v>690</v>
      </c>
      <c r="E959" s="196">
        <v>-237839.78</v>
      </c>
      <c r="F959" s="159">
        <v>-237839.78</v>
      </c>
      <c r="G959" s="158">
        <v>-244286.78</v>
      </c>
      <c r="H959" s="196">
        <v>495.46</v>
      </c>
      <c r="I959" s="198">
        <v>238335.24</v>
      </c>
      <c r="K959" s="170" t="str">
        <f t="shared" si="23"/>
        <v>621</v>
      </c>
    </row>
    <row r="960" spans="1:11" x14ac:dyDescent="0.3">
      <c r="A960" s="194">
        <v>622000</v>
      </c>
      <c r="B960" s="195" t="s">
        <v>1574</v>
      </c>
      <c r="C960" s="195" t="s">
        <v>1121</v>
      </c>
      <c r="D960" s="195" t="s">
        <v>687</v>
      </c>
      <c r="E960" s="196">
        <v>0</v>
      </c>
      <c r="F960" s="159">
        <v>0</v>
      </c>
      <c r="G960" s="157">
        <v>0</v>
      </c>
      <c r="H960" s="196">
        <v>0</v>
      </c>
      <c r="I960" s="198">
        <v>0</v>
      </c>
      <c r="K960" s="170" t="str">
        <f t="shared" si="23"/>
        <v>622</v>
      </c>
    </row>
    <row r="961" spans="1:11" x14ac:dyDescent="0.3">
      <c r="A961" s="194">
        <v>622150</v>
      </c>
      <c r="B961" s="195" t="s">
        <v>1575</v>
      </c>
      <c r="C961" s="195" t="s">
        <v>1121</v>
      </c>
      <c r="D961" s="195" t="s">
        <v>686</v>
      </c>
      <c r="E961" s="196">
        <v>0</v>
      </c>
      <c r="F961" s="159">
        <v>0</v>
      </c>
      <c r="G961" s="158">
        <v>0</v>
      </c>
      <c r="H961" s="196">
        <v>0</v>
      </c>
      <c r="I961" s="198">
        <v>0</v>
      </c>
      <c r="K961" s="170" t="str">
        <f t="shared" si="23"/>
        <v>622</v>
      </c>
    </row>
    <row r="962" spans="1:11" x14ac:dyDescent="0.3">
      <c r="A962" s="194">
        <v>622999</v>
      </c>
      <c r="B962" s="195" t="s">
        <v>1576</v>
      </c>
      <c r="C962" s="195" t="s">
        <v>1121</v>
      </c>
      <c r="D962" s="195" t="s">
        <v>690</v>
      </c>
      <c r="E962" s="196">
        <v>0</v>
      </c>
      <c r="F962" s="159">
        <v>0</v>
      </c>
      <c r="G962" s="157">
        <v>0</v>
      </c>
      <c r="H962" s="196">
        <v>0</v>
      </c>
      <c r="I962" s="198">
        <v>0</v>
      </c>
      <c r="K962" s="170" t="str">
        <f t="shared" si="23"/>
        <v>622</v>
      </c>
    </row>
    <row r="963" spans="1:11" x14ac:dyDescent="0.3">
      <c r="A963" s="194">
        <v>623000</v>
      </c>
      <c r="B963" s="195" t="s">
        <v>1577</v>
      </c>
      <c r="C963" s="195" t="s">
        <v>1121</v>
      </c>
      <c r="D963" s="195" t="s">
        <v>687</v>
      </c>
      <c r="E963" s="196">
        <v>0</v>
      </c>
      <c r="F963" s="159">
        <v>0</v>
      </c>
      <c r="G963" s="158">
        <v>0</v>
      </c>
      <c r="H963" s="196">
        <v>0</v>
      </c>
      <c r="I963" s="198">
        <v>0</v>
      </c>
      <c r="K963" s="170" t="str">
        <f t="shared" ref="K963:K1026" si="24">IF(A963&lt;100000,CONCATENATE(0,LEFT(A963,2)),LEFT(A963,3))</f>
        <v>623</v>
      </c>
    </row>
    <row r="964" spans="1:11" x14ac:dyDescent="0.3">
      <c r="A964" s="194">
        <v>623999</v>
      </c>
      <c r="B964" s="195" t="s">
        <v>1578</v>
      </c>
      <c r="C964" s="195" t="s">
        <v>1121</v>
      </c>
      <c r="D964" s="195" t="s">
        <v>690</v>
      </c>
      <c r="E964" s="196">
        <v>0</v>
      </c>
      <c r="F964" s="159">
        <v>0</v>
      </c>
      <c r="G964" s="157">
        <v>0</v>
      </c>
      <c r="H964" s="196">
        <v>0</v>
      </c>
      <c r="I964" s="198">
        <v>0</v>
      </c>
      <c r="K964" s="170" t="str">
        <f t="shared" si="24"/>
        <v>623</v>
      </c>
    </row>
    <row r="965" spans="1:11" x14ac:dyDescent="0.3">
      <c r="A965" s="194">
        <v>624000</v>
      </c>
      <c r="B965" s="195" t="s">
        <v>1579</v>
      </c>
      <c r="C965" s="195" t="s">
        <v>1121</v>
      </c>
      <c r="D965" s="195" t="s">
        <v>687</v>
      </c>
      <c r="E965" s="196">
        <v>0</v>
      </c>
      <c r="F965" s="159">
        <v>0</v>
      </c>
      <c r="G965" s="158">
        <v>0</v>
      </c>
      <c r="H965" s="196">
        <v>0</v>
      </c>
      <c r="I965" s="198">
        <v>0</v>
      </c>
      <c r="K965" s="170" t="str">
        <f t="shared" si="24"/>
        <v>624</v>
      </c>
    </row>
    <row r="966" spans="1:11" x14ac:dyDescent="0.3">
      <c r="A966" s="194">
        <v>624998</v>
      </c>
      <c r="B966" s="195" t="s">
        <v>1580</v>
      </c>
      <c r="C966" s="195" t="s">
        <v>1121</v>
      </c>
      <c r="D966" s="195" t="s">
        <v>690</v>
      </c>
      <c r="E966" s="196">
        <v>0</v>
      </c>
      <c r="F966" s="159">
        <v>0</v>
      </c>
      <c r="G966" s="157">
        <v>0</v>
      </c>
      <c r="H966" s="196">
        <v>0</v>
      </c>
      <c r="I966" s="198">
        <v>0</v>
      </c>
      <c r="K966" s="170" t="str">
        <f t="shared" si="24"/>
        <v>624</v>
      </c>
    </row>
    <row r="967" spans="1:11" x14ac:dyDescent="0.3">
      <c r="A967" s="194">
        <v>624999</v>
      </c>
      <c r="B967" s="195" t="s">
        <v>1581</v>
      </c>
      <c r="C967" s="195" t="s">
        <v>1121</v>
      </c>
      <c r="D967" s="195" t="s">
        <v>690</v>
      </c>
      <c r="E967" s="196">
        <v>-237839.78</v>
      </c>
      <c r="F967" s="159">
        <v>-237839.78</v>
      </c>
      <c r="G967" s="158">
        <v>-244286.78</v>
      </c>
      <c r="H967" s="196">
        <v>495.46</v>
      </c>
      <c r="I967" s="198">
        <v>238335.24</v>
      </c>
      <c r="K967" s="170" t="str">
        <f t="shared" si="24"/>
        <v>624</v>
      </c>
    </row>
    <row r="968" spans="1:11" x14ac:dyDescent="0.3">
      <c r="A968" s="194">
        <v>640000</v>
      </c>
      <c r="B968" s="195" t="s">
        <v>1582</v>
      </c>
      <c r="C968" s="195" t="s">
        <v>1121</v>
      </c>
      <c r="D968" s="195" t="s">
        <v>687</v>
      </c>
      <c r="E968" s="196">
        <v>0</v>
      </c>
      <c r="F968" s="159">
        <v>0</v>
      </c>
      <c r="G968" s="157">
        <v>0</v>
      </c>
      <c r="H968" s="196">
        <v>0</v>
      </c>
      <c r="I968" s="198">
        <v>0</v>
      </c>
      <c r="K968" s="170" t="str">
        <f t="shared" si="24"/>
        <v>640</v>
      </c>
    </row>
    <row r="969" spans="1:11" x14ac:dyDescent="0.3">
      <c r="A969" s="194">
        <v>641000</v>
      </c>
      <c r="B969" s="195" t="s">
        <v>1583</v>
      </c>
      <c r="C969" s="195" t="s">
        <v>1121</v>
      </c>
      <c r="D969" s="195" t="s">
        <v>687</v>
      </c>
      <c r="E969" s="196">
        <v>0</v>
      </c>
      <c r="F969" s="159">
        <v>0</v>
      </c>
      <c r="G969" s="158">
        <v>0</v>
      </c>
      <c r="H969" s="196">
        <v>0</v>
      </c>
      <c r="I969" s="198">
        <v>0</v>
      </c>
      <c r="K969" s="170" t="str">
        <f t="shared" si="24"/>
        <v>641</v>
      </c>
    </row>
    <row r="970" spans="1:11" x14ac:dyDescent="0.3">
      <c r="A970" s="194">
        <v>641084</v>
      </c>
      <c r="B970" s="195" t="s">
        <v>1584</v>
      </c>
      <c r="C970" s="195" t="s">
        <v>1121</v>
      </c>
      <c r="D970" s="195" t="s">
        <v>686</v>
      </c>
      <c r="E970" s="196">
        <v>-289.17</v>
      </c>
      <c r="F970" s="159">
        <v>-289.17</v>
      </c>
      <c r="G970" s="157">
        <v>-609.16999999999996</v>
      </c>
      <c r="H970" s="196">
        <v>0</v>
      </c>
      <c r="I970" s="198">
        <v>289.17</v>
      </c>
      <c r="K970" s="170" t="str">
        <f t="shared" si="24"/>
        <v>641</v>
      </c>
    </row>
    <row r="971" spans="1:11" x14ac:dyDescent="0.3">
      <c r="A971" s="194">
        <v>641400</v>
      </c>
      <c r="B971" s="195" t="s">
        <v>1585</v>
      </c>
      <c r="C971" s="195" t="s">
        <v>1121</v>
      </c>
      <c r="D971" s="195" t="s">
        <v>687</v>
      </c>
      <c r="E971" s="196">
        <v>0</v>
      </c>
      <c r="F971" s="159">
        <v>0</v>
      </c>
      <c r="G971" s="158">
        <v>0</v>
      </c>
      <c r="H971" s="196">
        <v>0</v>
      </c>
      <c r="I971" s="198">
        <v>0</v>
      </c>
      <c r="K971" s="170" t="str">
        <f t="shared" si="24"/>
        <v>641</v>
      </c>
    </row>
    <row r="972" spans="1:11" x14ac:dyDescent="0.3">
      <c r="A972" s="194">
        <v>641401</v>
      </c>
      <c r="B972" s="195" t="s">
        <v>1586</v>
      </c>
      <c r="C972" s="195" t="s">
        <v>1121</v>
      </c>
      <c r="D972" s="195" t="s">
        <v>686</v>
      </c>
      <c r="E972" s="196">
        <v>-5484967.4100000001</v>
      </c>
      <c r="F972" s="159">
        <v>-5484967.4100000001</v>
      </c>
      <c r="G972" s="157">
        <v>-5991264.9199999999</v>
      </c>
      <c r="H972" s="196">
        <v>93258.85</v>
      </c>
      <c r="I972" s="198">
        <v>5578226.2599999998</v>
      </c>
      <c r="K972" s="170" t="str">
        <f t="shared" si="24"/>
        <v>641</v>
      </c>
    </row>
    <row r="973" spans="1:11" x14ac:dyDescent="0.3">
      <c r="A973" s="194">
        <v>641402</v>
      </c>
      <c r="B973" s="195" t="s">
        <v>1587</v>
      </c>
      <c r="C973" s="195" t="s">
        <v>1121</v>
      </c>
      <c r="D973" s="195" t="s">
        <v>686</v>
      </c>
      <c r="E973" s="196">
        <v>0</v>
      </c>
      <c r="F973" s="159">
        <v>0</v>
      </c>
      <c r="G973" s="158">
        <v>0</v>
      </c>
      <c r="H973" s="196">
        <v>0</v>
      </c>
      <c r="I973" s="198">
        <v>0</v>
      </c>
      <c r="K973" s="170" t="str">
        <f t="shared" si="24"/>
        <v>641</v>
      </c>
    </row>
    <row r="974" spans="1:11" x14ac:dyDescent="0.3">
      <c r="A974" s="194">
        <v>641404</v>
      </c>
      <c r="B974" s="195" t="s">
        <v>1588</v>
      </c>
      <c r="C974" s="195" t="s">
        <v>1121</v>
      </c>
      <c r="D974" s="195" t="s">
        <v>686</v>
      </c>
      <c r="E974" s="196">
        <v>0</v>
      </c>
      <c r="F974" s="159">
        <v>0</v>
      </c>
      <c r="G974" s="157">
        <v>0</v>
      </c>
      <c r="H974" s="196">
        <v>0</v>
      </c>
      <c r="I974" s="198">
        <v>0</v>
      </c>
      <c r="K974" s="170" t="str">
        <f t="shared" si="24"/>
        <v>641</v>
      </c>
    </row>
    <row r="975" spans="1:11" x14ac:dyDescent="0.3">
      <c r="A975" s="194">
        <v>641410</v>
      </c>
      <c r="B975" s="195" t="s">
        <v>1589</v>
      </c>
      <c r="C975" s="195" t="s">
        <v>1121</v>
      </c>
      <c r="D975" s="195" t="s">
        <v>686</v>
      </c>
      <c r="E975" s="196">
        <v>0</v>
      </c>
      <c r="F975" s="159">
        <v>0</v>
      </c>
      <c r="G975" s="158">
        <v>0</v>
      </c>
      <c r="H975" s="196">
        <v>0</v>
      </c>
      <c r="I975" s="198">
        <v>0</v>
      </c>
      <c r="K975" s="170" t="str">
        <f t="shared" si="24"/>
        <v>641</v>
      </c>
    </row>
    <row r="976" spans="1:11" x14ac:dyDescent="0.3">
      <c r="A976" s="194">
        <v>641420</v>
      </c>
      <c r="B976" s="195" t="s">
        <v>1590</v>
      </c>
      <c r="C976" s="195" t="s">
        <v>1121</v>
      </c>
      <c r="D976" s="195" t="s">
        <v>686</v>
      </c>
      <c r="E976" s="196">
        <v>0</v>
      </c>
      <c r="F976" s="159">
        <v>0</v>
      </c>
      <c r="G976" s="157">
        <v>0</v>
      </c>
      <c r="H976" s="196">
        <v>0</v>
      </c>
      <c r="I976" s="198">
        <v>0</v>
      </c>
      <c r="K976" s="170" t="str">
        <f t="shared" si="24"/>
        <v>641</v>
      </c>
    </row>
    <row r="977" spans="1:11" x14ac:dyDescent="0.3">
      <c r="A977" s="194">
        <v>641430</v>
      </c>
      <c r="B977" s="195" t="s">
        <v>1591</v>
      </c>
      <c r="C977" s="195" t="s">
        <v>1121</v>
      </c>
      <c r="D977" s="195" t="s">
        <v>686</v>
      </c>
      <c r="E977" s="196">
        <v>0</v>
      </c>
      <c r="F977" s="159">
        <v>0</v>
      </c>
      <c r="G977" s="158">
        <v>0</v>
      </c>
      <c r="H977" s="196">
        <v>0</v>
      </c>
      <c r="I977" s="198">
        <v>0</v>
      </c>
      <c r="K977" s="170" t="str">
        <f t="shared" si="24"/>
        <v>641</v>
      </c>
    </row>
    <row r="978" spans="1:11" x14ac:dyDescent="0.3">
      <c r="A978" s="194">
        <v>641440</v>
      </c>
      <c r="B978" s="195" t="s">
        <v>1592</v>
      </c>
      <c r="C978" s="195" t="s">
        <v>1121</v>
      </c>
      <c r="D978" s="195" t="s">
        <v>686</v>
      </c>
      <c r="E978" s="196">
        <v>0</v>
      </c>
      <c r="F978" s="159">
        <v>0</v>
      </c>
      <c r="G978" s="157">
        <v>0</v>
      </c>
      <c r="H978" s="196">
        <v>0</v>
      </c>
      <c r="I978" s="198">
        <v>0</v>
      </c>
      <c r="K978" s="170" t="str">
        <f t="shared" si="24"/>
        <v>641</v>
      </c>
    </row>
    <row r="979" spans="1:11" x14ac:dyDescent="0.3">
      <c r="A979" s="194">
        <v>641450</v>
      </c>
      <c r="B979" s="195" t="s">
        <v>1593</v>
      </c>
      <c r="C979" s="195" t="s">
        <v>1121</v>
      </c>
      <c r="D979" s="195" t="s">
        <v>686</v>
      </c>
      <c r="E979" s="196">
        <v>0</v>
      </c>
      <c r="F979" s="159">
        <v>0</v>
      </c>
      <c r="G979" s="158">
        <v>0</v>
      </c>
      <c r="H979" s="196">
        <v>0</v>
      </c>
      <c r="I979" s="198">
        <v>0</v>
      </c>
      <c r="K979" s="170" t="str">
        <f t="shared" si="24"/>
        <v>641</v>
      </c>
    </row>
    <row r="980" spans="1:11" x14ac:dyDescent="0.3">
      <c r="A980" s="194">
        <v>641460</v>
      </c>
      <c r="B980" s="195" t="s">
        <v>1594</v>
      </c>
      <c r="C980" s="195" t="s">
        <v>1121</v>
      </c>
      <c r="D980" s="195" t="s">
        <v>686</v>
      </c>
      <c r="E980" s="196">
        <v>0</v>
      </c>
      <c r="F980" s="159">
        <v>0</v>
      </c>
      <c r="G980" s="157">
        <v>0</v>
      </c>
      <c r="H980" s="196">
        <v>0</v>
      </c>
      <c r="I980" s="198">
        <v>0</v>
      </c>
      <c r="K980" s="170" t="str">
        <f t="shared" si="24"/>
        <v>641</v>
      </c>
    </row>
    <row r="981" spans="1:11" x14ac:dyDescent="0.3">
      <c r="A981" s="194">
        <v>641470</v>
      </c>
      <c r="B981" s="195" t="s">
        <v>1595</v>
      </c>
      <c r="C981" s="195" t="s">
        <v>1121</v>
      </c>
      <c r="D981" s="195" t="s">
        <v>686</v>
      </c>
      <c r="E981" s="196">
        <v>0</v>
      </c>
      <c r="F981" s="159">
        <v>0</v>
      </c>
      <c r="G981" s="158">
        <v>0</v>
      </c>
      <c r="H981" s="196">
        <v>0</v>
      </c>
      <c r="I981" s="198">
        <v>0</v>
      </c>
      <c r="K981" s="170" t="str">
        <f t="shared" si="24"/>
        <v>641</v>
      </c>
    </row>
    <row r="982" spans="1:11" x14ac:dyDescent="0.3">
      <c r="A982" s="194">
        <v>641480</v>
      </c>
      <c r="B982" s="195" t="s">
        <v>1596</v>
      </c>
      <c r="C982" s="195" t="s">
        <v>1121</v>
      </c>
      <c r="D982" s="195" t="s">
        <v>686</v>
      </c>
      <c r="E982" s="196">
        <v>0</v>
      </c>
      <c r="F982" s="159">
        <v>0</v>
      </c>
      <c r="G982" s="157">
        <v>0</v>
      </c>
      <c r="H982" s="196">
        <v>0</v>
      </c>
      <c r="I982" s="198">
        <v>0</v>
      </c>
      <c r="K982" s="170" t="str">
        <f t="shared" si="24"/>
        <v>641</v>
      </c>
    </row>
    <row r="983" spans="1:11" x14ac:dyDescent="0.3">
      <c r="A983" s="194">
        <v>641520</v>
      </c>
      <c r="B983" s="195" t="s">
        <v>1597</v>
      </c>
      <c r="C983" s="195" t="s">
        <v>1121</v>
      </c>
      <c r="D983" s="195" t="s">
        <v>686</v>
      </c>
      <c r="E983" s="196">
        <v>0</v>
      </c>
      <c r="F983" s="159">
        <v>0</v>
      </c>
      <c r="G983" s="158">
        <v>0</v>
      </c>
      <c r="H983" s="196">
        <v>0</v>
      </c>
      <c r="I983" s="198">
        <v>0</v>
      </c>
      <c r="K983" s="170" t="str">
        <f t="shared" si="24"/>
        <v>641</v>
      </c>
    </row>
    <row r="984" spans="1:11" x14ac:dyDescent="0.3">
      <c r="A984" s="194">
        <v>641540</v>
      </c>
      <c r="B984" s="195" t="s">
        <v>1598</v>
      </c>
      <c r="C984" s="195" t="s">
        <v>1121</v>
      </c>
      <c r="D984" s="195" t="s">
        <v>686</v>
      </c>
      <c r="E984" s="196">
        <v>0</v>
      </c>
      <c r="F984" s="159">
        <v>0</v>
      </c>
      <c r="G984" s="157">
        <v>0</v>
      </c>
      <c r="H984" s="196">
        <v>0</v>
      </c>
      <c r="I984" s="198">
        <v>0</v>
      </c>
      <c r="K984" s="170" t="str">
        <f t="shared" si="24"/>
        <v>641</v>
      </c>
    </row>
    <row r="985" spans="1:11" x14ac:dyDescent="0.3">
      <c r="A985" s="194">
        <v>641570</v>
      </c>
      <c r="B985" s="195" t="s">
        <v>1599</v>
      </c>
      <c r="C985" s="195" t="s">
        <v>1121</v>
      </c>
      <c r="D985" s="195" t="s">
        <v>686</v>
      </c>
      <c r="E985" s="196">
        <v>0</v>
      </c>
      <c r="F985" s="159">
        <v>0</v>
      </c>
      <c r="G985" s="158">
        <v>0</v>
      </c>
      <c r="H985" s="196">
        <v>0</v>
      </c>
      <c r="I985" s="198">
        <v>0</v>
      </c>
      <c r="K985" s="170" t="str">
        <f t="shared" si="24"/>
        <v>641</v>
      </c>
    </row>
    <row r="986" spans="1:11" x14ac:dyDescent="0.3">
      <c r="A986" s="194">
        <v>641600</v>
      </c>
      <c r="B986" s="195" t="s">
        <v>1600</v>
      </c>
      <c r="C986" s="195" t="s">
        <v>1121</v>
      </c>
      <c r="D986" s="195" t="s">
        <v>686</v>
      </c>
      <c r="E986" s="196">
        <v>0</v>
      </c>
      <c r="F986" s="159">
        <v>0</v>
      </c>
      <c r="G986" s="157">
        <v>0</v>
      </c>
      <c r="H986" s="196">
        <v>0</v>
      </c>
      <c r="I986" s="198">
        <v>0</v>
      </c>
      <c r="K986" s="170" t="str">
        <f t="shared" si="24"/>
        <v>641</v>
      </c>
    </row>
    <row r="987" spans="1:11" x14ac:dyDescent="0.3">
      <c r="A987" s="194">
        <v>641999</v>
      </c>
      <c r="B987" s="195" t="s">
        <v>1601</v>
      </c>
      <c r="C987" s="195" t="s">
        <v>1121</v>
      </c>
      <c r="D987" s="195" t="s">
        <v>690</v>
      </c>
      <c r="E987" s="196">
        <v>-5484967.4100000001</v>
      </c>
      <c r="F987" s="159">
        <v>-5484967.4100000001</v>
      </c>
      <c r="G987" s="158">
        <v>-5991264.9199999999</v>
      </c>
      <c r="H987" s="196">
        <v>93258.85</v>
      </c>
      <c r="I987" s="198">
        <v>5578226.2599999998</v>
      </c>
      <c r="K987" s="170" t="str">
        <f t="shared" si="24"/>
        <v>641</v>
      </c>
    </row>
    <row r="988" spans="1:11" x14ac:dyDescent="0.3">
      <c r="A988" s="194">
        <v>642000</v>
      </c>
      <c r="B988" s="195" t="s">
        <v>1602</v>
      </c>
      <c r="C988" s="195" t="s">
        <v>1121</v>
      </c>
      <c r="D988" s="195" t="s">
        <v>687</v>
      </c>
      <c r="E988" s="196">
        <v>0</v>
      </c>
      <c r="F988" s="159">
        <v>0</v>
      </c>
      <c r="G988" s="157">
        <v>0</v>
      </c>
      <c r="H988" s="196">
        <v>0</v>
      </c>
      <c r="I988" s="198">
        <v>0</v>
      </c>
      <c r="K988" s="170" t="str">
        <f t="shared" si="24"/>
        <v>642</v>
      </c>
    </row>
    <row r="989" spans="1:11" x14ac:dyDescent="0.3">
      <c r="A989" s="194">
        <v>642100</v>
      </c>
      <c r="B989" s="195" t="s">
        <v>1602</v>
      </c>
      <c r="C989" s="195" t="s">
        <v>1121</v>
      </c>
      <c r="D989" s="195" t="s">
        <v>686</v>
      </c>
      <c r="E989" s="196">
        <v>0</v>
      </c>
      <c r="F989" s="159">
        <v>0</v>
      </c>
      <c r="G989" s="158">
        <v>0</v>
      </c>
      <c r="H989" s="196">
        <v>0</v>
      </c>
      <c r="I989" s="198">
        <v>0</v>
      </c>
      <c r="K989" s="170" t="str">
        <f t="shared" si="24"/>
        <v>642</v>
      </c>
    </row>
    <row r="990" spans="1:11" x14ac:dyDescent="0.3">
      <c r="A990" s="194">
        <v>642724</v>
      </c>
      <c r="B990" s="195" t="s">
        <v>1603</v>
      </c>
      <c r="C990" s="195" t="s">
        <v>1121</v>
      </c>
      <c r="D990" s="195" t="s">
        <v>686</v>
      </c>
      <c r="E990" s="196">
        <v>0</v>
      </c>
      <c r="F990" s="159">
        <v>0</v>
      </c>
      <c r="G990" s="157">
        <v>0</v>
      </c>
      <c r="H990" s="196">
        <v>0</v>
      </c>
      <c r="I990" s="198">
        <v>0</v>
      </c>
      <c r="K990" s="170" t="str">
        <f t="shared" si="24"/>
        <v>642</v>
      </c>
    </row>
    <row r="991" spans="1:11" x14ac:dyDescent="0.3">
      <c r="A991" s="194">
        <v>642999</v>
      </c>
      <c r="B991" s="195" t="s">
        <v>1604</v>
      </c>
      <c r="C991" s="195" t="s">
        <v>1121</v>
      </c>
      <c r="D991" s="195" t="s">
        <v>690</v>
      </c>
      <c r="E991" s="196">
        <v>0</v>
      </c>
      <c r="F991" s="159">
        <v>0</v>
      </c>
      <c r="G991" s="158">
        <v>0</v>
      </c>
      <c r="H991" s="196">
        <v>0</v>
      </c>
      <c r="I991" s="198">
        <v>0</v>
      </c>
      <c r="K991" s="170" t="str">
        <f t="shared" si="24"/>
        <v>642</v>
      </c>
    </row>
    <row r="992" spans="1:11" x14ac:dyDescent="0.3">
      <c r="A992" s="194">
        <v>644000</v>
      </c>
      <c r="B992" s="195" t="s">
        <v>274</v>
      </c>
      <c r="C992" s="195" t="s">
        <v>1121</v>
      </c>
      <c r="D992" s="195" t="s">
        <v>687</v>
      </c>
      <c r="E992" s="196">
        <v>0</v>
      </c>
      <c r="F992" s="159">
        <v>0</v>
      </c>
      <c r="G992" s="157">
        <v>0</v>
      </c>
      <c r="H992" s="196">
        <v>0</v>
      </c>
      <c r="I992" s="198">
        <v>0</v>
      </c>
      <c r="K992" s="170" t="str">
        <f t="shared" si="24"/>
        <v>644</v>
      </c>
    </row>
    <row r="993" spans="1:11" x14ac:dyDescent="0.3">
      <c r="A993" s="194">
        <v>644100</v>
      </c>
      <c r="B993" s="195" t="s">
        <v>274</v>
      </c>
      <c r="C993" s="195" t="s">
        <v>1121</v>
      </c>
      <c r="D993" s="195" t="s">
        <v>686</v>
      </c>
      <c r="E993" s="196">
        <v>0</v>
      </c>
      <c r="F993" s="159">
        <v>0</v>
      </c>
      <c r="G993" s="158">
        <v>0</v>
      </c>
      <c r="H993" s="196">
        <v>0</v>
      </c>
      <c r="I993" s="198">
        <v>0</v>
      </c>
      <c r="K993" s="170" t="str">
        <f t="shared" si="24"/>
        <v>644</v>
      </c>
    </row>
    <row r="994" spans="1:11" x14ac:dyDescent="0.3">
      <c r="A994" s="194">
        <v>644200</v>
      </c>
      <c r="B994" s="195" t="s">
        <v>1605</v>
      </c>
      <c r="C994" s="195" t="s">
        <v>1121</v>
      </c>
      <c r="D994" s="195" t="s">
        <v>686</v>
      </c>
      <c r="E994" s="196">
        <v>0</v>
      </c>
      <c r="F994" s="159">
        <v>0</v>
      </c>
      <c r="G994" s="157">
        <v>0</v>
      </c>
      <c r="H994" s="196">
        <v>0</v>
      </c>
      <c r="I994" s="198">
        <v>0</v>
      </c>
      <c r="K994" s="170" t="str">
        <f t="shared" si="24"/>
        <v>644</v>
      </c>
    </row>
    <row r="995" spans="1:11" x14ac:dyDescent="0.3">
      <c r="A995" s="194">
        <v>644999</v>
      </c>
      <c r="B995" s="195" t="s">
        <v>1606</v>
      </c>
      <c r="C995" s="195" t="s">
        <v>1121</v>
      </c>
      <c r="D995" s="195" t="s">
        <v>690</v>
      </c>
      <c r="E995" s="196">
        <v>0</v>
      </c>
      <c r="F995" s="159">
        <v>0</v>
      </c>
      <c r="G995" s="158">
        <v>0</v>
      </c>
      <c r="H995" s="196">
        <v>0</v>
      </c>
      <c r="I995" s="198">
        <v>0</v>
      </c>
      <c r="K995" s="170" t="str">
        <f t="shared" si="24"/>
        <v>644</v>
      </c>
    </row>
    <row r="996" spans="1:11" x14ac:dyDescent="0.3">
      <c r="A996" s="194">
        <v>645000</v>
      </c>
      <c r="B996" s="195" t="s">
        <v>1607</v>
      </c>
      <c r="C996" s="195" t="s">
        <v>1121</v>
      </c>
      <c r="D996" s="195" t="s">
        <v>687</v>
      </c>
      <c r="E996" s="196">
        <v>0</v>
      </c>
      <c r="F996" s="159">
        <v>0</v>
      </c>
      <c r="G996" s="157">
        <v>0</v>
      </c>
      <c r="H996" s="196">
        <v>0</v>
      </c>
      <c r="I996" s="198">
        <v>0</v>
      </c>
      <c r="K996" s="170" t="str">
        <f t="shared" si="24"/>
        <v>645</v>
      </c>
    </row>
    <row r="997" spans="1:11" x14ac:dyDescent="0.3">
      <c r="A997" s="194">
        <v>645999</v>
      </c>
      <c r="B997" s="195" t="s">
        <v>1608</v>
      </c>
      <c r="C997" s="195" t="s">
        <v>1121</v>
      </c>
      <c r="D997" s="195" t="s">
        <v>690</v>
      </c>
      <c r="E997" s="196">
        <v>0</v>
      </c>
      <c r="F997" s="159">
        <v>0</v>
      </c>
      <c r="G997" s="158">
        <v>0</v>
      </c>
      <c r="H997" s="196">
        <v>0</v>
      </c>
      <c r="I997" s="198">
        <v>0</v>
      </c>
      <c r="K997" s="170" t="str">
        <f t="shared" si="24"/>
        <v>645</v>
      </c>
    </row>
    <row r="998" spans="1:11" x14ac:dyDescent="0.3">
      <c r="A998" s="194">
        <v>646000</v>
      </c>
      <c r="B998" s="195" t="s">
        <v>1609</v>
      </c>
      <c r="C998" s="195" t="s">
        <v>1121</v>
      </c>
      <c r="D998" s="195" t="s">
        <v>687</v>
      </c>
      <c r="E998" s="196">
        <v>0</v>
      </c>
      <c r="F998" s="159">
        <v>0</v>
      </c>
      <c r="G998" s="157">
        <v>0</v>
      </c>
      <c r="H998" s="196">
        <v>0</v>
      </c>
      <c r="I998" s="198">
        <v>0</v>
      </c>
      <c r="K998" s="170" t="str">
        <f t="shared" si="24"/>
        <v>646</v>
      </c>
    </row>
    <row r="999" spans="1:11" x14ac:dyDescent="0.3">
      <c r="A999" s="194">
        <v>646100</v>
      </c>
      <c r="B999" s="195" t="s">
        <v>275</v>
      </c>
      <c r="C999" s="195" t="s">
        <v>1121</v>
      </c>
      <c r="D999" s="195" t="s">
        <v>686</v>
      </c>
      <c r="E999" s="196">
        <v>0</v>
      </c>
      <c r="F999" s="159">
        <v>0</v>
      </c>
      <c r="G999" s="158">
        <v>0</v>
      </c>
      <c r="H999" s="196">
        <v>0</v>
      </c>
      <c r="I999" s="198">
        <v>0</v>
      </c>
      <c r="K999" s="170" t="str">
        <f t="shared" si="24"/>
        <v>646</v>
      </c>
    </row>
    <row r="1000" spans="1:11" x14ac:dyDescent="0.3">
      <c r="A1000" s="194">
        <v>646999</v>
      </c>
      <c r="B1000" s="195" t="s">
        <v>1610</v>
      </c>
      <c r="C1000" s="195" t="s">
        <v>1121</v>
      </c>
      <c r="D1000" s="195" t="s">
        <v>690</v>
      </c>
      <c r="E1000" s="196">
        <v>0</v>
      </c>
      <c r="F1000" s="159">
        <v>0</v>
      </c>
      <c r="G1000" s="157">
        <v>0</v>
      </c>
      <c r="H1000" s="196">
        <v>0</v>
      </c>
      <c r="I1000" s="198">
        <v>0</v>
      </c>
      <c r="K1000" s="170" t="str">
        <f t="shared" si="24"/>
        <v>646</v>
      </c>
    </row>
    <row r="1001" spans="1:11" x14ac:dyDescent="0.3">
      <c r="A1001" s="194">
        <v>648000</v>
      </c>
      <c r="B1001" s="195" t="s">
        <v>1611</v>
      </c>
      <c r="C1001" s="195" t="s">
        <v>1121</v>
      </c>
      <c r="D1001" s="195" t="s">
        <v>687</v>
      </c>
      <c r="E1001" s="196">
        <v>0</v>
      </c>
      <c r="F1001" s="159">
        <v>0</v>
      </c>
      <c r="G1001" s="158">
        <v>0</v>
      </c>
      <c r="H1001" s="196">
        <v>0</v>
      </c>
      <c r="I1001" s="198">
        <v>0</v>
      </c>
      <c r="K1001" s="170" t="str">
        <f t="shared" si="24"/>
        <v>648</v>
      </c>
    </row>
    <row r="1002" spans="1:11" x14ac:dyDescent="0.3">
      <c r="A1002" s="194">
        <v>648100</v>
      </c>
      <c r="B1002" s="195" t="s">
        <v>1395</v>
      </c>
      <c r="C1002" s="195" t="s">
        <v>1121</v>
      </c>
      <c r="D1002" s="195" t="s">
        <v>686</v>
      </c>
      <c r="E1002" s="196">
        <v>-17.88</v>
      </c>
      <c r="F1002" s="159">
        <v>-17.88</v>
      </c>
      <c r="G1002" s="157">
        <v>-18.11</v>
      </c>
      <c r="H1002" s="196">
        <v>0</v>
      </c>
      <c r="I1002" s="198">
        <v>17.88</v>
      </c>
      <c r="K1002" s="170" t="str">
        <f t="shared" si="24"/>
        <v>648</v>
      </c>
    </row>
    <row r="1003" spans="1:11" x14ac:dyDescent="0.3">
      <c r="A1003" s="194">
        <v>648200</v>
      </c>
      <c r="B1003" s="195" t="s">
        <v>1612</v>
      </c>
      <c r="C1003" s="195" t="s">
        <v>1121</v>
      </c>
      <c r="D1003" s="195" t="s">
        <v>686</v>
      </c>
      <c r="E1003" s="196">
        <v>-42706.78</v>
      </c>
      <c r="F1003" s="159">
        <v>-42706.78</v>
      </c>
      <c r="G1003" s="158">
        <v>-43926.78</v>
      </c>
      <c r="H1003" s="196">
        <v>7.66</v>
      </c>
      <c r="I1003" s="198">
        <v>42714.44</v>
      </c>
      <c r="K1003" s="170" t="str">
        <f t="shared" si="24"/>
        <v>648</v>
      </c>
    </row>
    <row r="1004" spans="1:11" x14ac:dyDescent="0.3">
      <c r="A1004" s="194">
        <v>648300</v>
      </c>
      <c r="B1004" s="195" t="s">
        <v>1613</v>
      </c>
      <c r="C1004" s="195" t="s">
        <v>1121</v>
      </c>
      <c r="D1004" s="195" t="s">
        <v>686</v>
      </c>
      <c r="E1004" s="196">
        <v>0</v>
      </c>
      <c r="F1004" s="159">
        <v>0</v>
      </c>
      <c r="G1004" s="157">
        <v>0</v>
      </c>
      <c r="H1004" s="196">
        <v>0.03</v>
      </c>
      <c r="I1004" s="198">
        <v>0.03</v>
      </c>
      <c r="K1004" s="170" t="str">
        <f t="shared" si="24"/>
        <v>648</v>
      </c>
    </row>
    <row r="1005" spans="1:11" x14ac:dyDescent="0.3">
      <c r="A1005" s="194">
        <v>648350</v>
      </c>
      <c r="B1005" s="195" t="s">
        <v>1614</v>
      </c>
      <c r="C1005" s="195" t="s">
        <v>1121</v>
      </c>
      <c r="D1005" s="195" t="s">
        <v>686</v>
      </c>
      <c r="E1005" s="196">
        <v>0</v>
      </c>
      <c r="F1005" s="159">
        <v>0</v>
      </c>
      <c r="G1005" s="158">
        <v>0</v>
      </c>
      <c r="H1005" s="196">
        <v>0</v>
      </c>
      <c r="I1005" s="198">
        <v>0</v>
      </c>
      <c r="K1005" s="170" t="str">
        <f t="shared" si="24"/>
        <v>648</v>
      </c>
    </row>
    <row r="1006" spans="1:11" x14ac:dyDescent="0.3">
      <c r="A1006" s="194">
        <v>648400</v>
      </c>
      <c r="B1006" s="195" t="s">
        <v>1615</v>
      </c>
      <c r="C1006" s="195" t="s">
        <v>1121</v>
      </c>
      <c r="D1006" s="195" t="s">
        <v>686</v>
      </c>
      <c r="E1006" s="196">
        <v>-3304.45</v>
      </c>
      <c r="F1006" s="159">
        <v>-3304.45</v>
      </c>
      <c r="G1006" s="157">
        <v>-3344.24</v>
      </c>
      <c r="H1006" s="196">
        <v>0</v>
      </c>
      <c r="I1006" s="198">
        <v>3304.45</v>
      </c>
      <c r="K1006" s="170" t="str">
        <f t="shared" si="24"/>
        <v>648</v>
      </c>
    </row>
    <row r="1007" spans="1:11" x14ac:dyDescent="0.3">
      <c r="A1007" s="194">
        <v>648410</v>
      </c>
      <c r="B1007" s="195" t="s">
        <v>1616</v>
      </c>
      <c r="C1007" s="195" t="s">
        <v>1121</v>
      </c>
      <c r="D1007" s="195" t="s">
        <v>686</v>
      </c>
      <c r="E1007" s="196">
        <v>-34050</v>
      </c>
      <c r="F1007" s="159">
        <v>-34050</v>
      </c>
      <c r="G1007" s="158">
        <v>-34050</v>
      </c>
      <c r="H1007" s="196">
        <v>0</v>
      </c>
      <c r="I1007" s="198">
        <v>34050</v>
      </c>
      <c r="K1007" s="170" t="str">
        <f t="shared" si="24"/>
        <v>648</v>
      </c>
    </row>
    <row r="1008" spans="1:11" x14ac:dyDescent="0.3">
      <c r="A1008" s="194">
        <v>648500</v>
      </c>
      <c r="B1008" s="195" t="s">
        <v>1617</v>
      </c>
      <c r="C1008" s="195" t="s">
        <v>1121</v>
      </c>
      <c r="D1008" s="195" t="s">
        <v>686</v>
      </c>
      <c r="E1008" s="196">
        <v>0</v>
      </c>
      <c r="F1008" s="159">
        <v>0</v>
      </c>
      <c r="G1008" s="157">
        <v>0</v>
      </c>
      <c r="H1008" s="196">
        <v>0</v>
      </c>
      <c r="I1008" s="198">
        <v>0</v>
      </c>
      <c r="K1008" s="170" t="str">
        <f t="shared" si="24"/>
        <v>648</v>
      </c>
    </row>
    <row r="1009" spans="1:11" x14ac:dyDescent="0.3">
      <c r="A1009" s="194">
        <v>648670</v>
      </c>
      <c r="B1009" s="195" t="s">
        <v>1618</v>
      </c>
      <c r="C1009" s="195" t="s">
        <v>1121</v>
      </c>
      <c r="D1009" s="195" t="s">
        <v>686</v>
      </c>
      <c r="E1009" s="196">
        <v>0</v>
      </c>
      <c r="F1009" s="159">
        <v>0</v>
      </c>
      <c r="G1009" s="158">
        <v>0</v>
      </c>
      <c r="H1009" s="196">
        <v>0</v>
      </c>
      <c r="I1009" s="198">
        <v>0</v>
      </c>
      <c r="K1009" s="170" t="str">
        <f t="shared" si="24"/>
        <v>648</v>
      </c>
    </row>
    <row r="1010" spans="1:11" x14ac:dyDescent="0.3">
      <c r="A1010" s="194">
        <v>648800</v>
      </c>
      <c r="B1010" s="195" t="s">
        <v>1619</v>
      </c>
      <c r="C1010" s="195" t="s">
        <v>1121</v>
      </c>
      <c r="D1010" s="195" t="s">
        <v>686</v>
      </c>
      <c r="E1010" s="196">
        <v>-9123.18</v>
      </c>
      <c r="F1010" s="159">
        <v>-9123.18</v>
      </c>
      <c r="G1010" s="157">
        <v>-9123.18</v>
      </c>
      <c r="H1010" s="196">
        <v>500</v>
      </c>
      <c r="I1010" s="198">
        <v>9623.18</v>
      </c>
      <c r="K1010" s="170" t="str">
        <f t="shared" si="24"/>
        <v>648</v>
      </c>
    </row>
    <row r="1011" spans="1:11" x14ac:dyDescent="0.3">
      <c r="A1011" s="194">
        <v>648801</v>
      </c>
      <c r="B1011" s="195" t="s">
        <v>1620</v>
      </c>
      <c r="C1011" s="195" t="s">
        <v>1121</v>
      </c>
      <c r="D1011" s="195" t="s">
        <v>686</v>
      </c>
      <c r="E1011" s="196">
        <v>0</v>
      </c>
      <c r="F1011" s="159">
        <v>0</v>
      </c>
      <c r="G1011" s="158">
        <v>0</v>
      </c>
      <c r="H1011" s="196">
        <v>0</v>
      </c>
      <c r="I1011" s="198">
        <v>0</v>
      </c>
      <c r="K1011" s="170" t="str">
        <f t="shared" si="24"/>
        <v>648</v>
      </c>
    </row>
    <row r="1012" spans="1:11" x14ac:dyDescent="0.3">
      <c r="A1012" s="194">
        <v>648805</v>
      </c>
      <c r="B1012" s="195" t="s">
        <v>1621</v>
      </c>
      <c r="C1012" s="195" t="s">
        <v>1121</v>
      </c>
      <c r="D1012" s="195" t="s">
        <v>686</v>
      </c>
      <c r="E1012" s="196">
        <v>-3465.27</v>
      </c>
      <c r="F1012" s="159">
        <v>-3465.27</v>
      </c>
      <c r="G1012" s="157">
        <v>-3915.27</v>
      </c>
      <c r="H1012" s="196">
        <v>0</v>
      </c>
      <c r="I1012" s="198">
        <v>3465.27</v>
      </c>
      <c r="K1012" s="170" t="str">
        <f t="shared" si="24"/>
        <v>648</v>
      </c>
    </row>
    <row r="1013" spans="1:11" x14ac:dyDescent="0.3">
      <c r="A1013" s="194">
        <v>648880</v>
      </c>
      <c r="B1013" s="195" t="s">
        <v>1622</v>
      </c>
      <c r="C1013" s="195" t="s">
        <v>1121</v>
      </c>
      <c r="D1013" s="195" t="s">
        <v>686</v>
      </c>
      <c r="E1013" s="196">
        <v>0</v>
      </c>
      <c r="F1013" s="159">
        <v>0</v>
      </c>
      <c r="G1013" s="158">
        <v>0</v>
      </c>
      <c r="H1013" s="196">
        <v>0</v>
      </c>
      <c r="I1013" s="198">
        <v>0</v>
      </c>
      <c r="K1013" s="170" t="str">
        <f t="shared" si="24"/>
        <v>648</v>
      </c>
    </row>
    <row r="1014" spans="1:11" x14ac:dyDescent="0.3">
      <c r="A1014" s="194">
        <v>648900</v>
      </c>
      <c r="B1014" s="195" t="s">
        <v>1623</v>
      </c>
      <c r="C1014" s="195" t="s">
        <v>1121</v>
      </c>
      <c r="D1014" s="195" t="s">
        <v>686</v>
      </c>
      <c r="E1014" s="196">
        <v>0</v>
      </c>
      <c r="F1014" s="159">
        <v>0</v>
      </c>
      <c r="G1014" s="157">
        <v>0</v>
      </c>
      <c r="H1014" s="196">
        <v>0</v>
      </c>
      <c r="I1014" s="198">
        <v>0</v>
      </c>
      <c r="K1014" s="170" t="str">
        <f t="shared" si="24"/>
        <v>648</v>
      </c>
    </row>
    <row r="1015" spans="1:11" x14ac:dyDescent="0.3">
      <c r="A1015" s="194">
        <v>648901</v>
      </c>
      <c r="B1015" s="195" t="s">
        <v>1624</v>
      </c>
      <c r="C1015" s="195" t="s">
        <v>1121</v>
      </c>
      <c r="D1015" s="195" t="s">
        <v>686</v>
      </c>
      <c r="E1015" s="196">
        <v>0</v>
      </c>
      <c r="F1015" s="159">
        <v>0</v>
      </c>
      <c r="G1015" s="158">
        <v>0</v>
      </c>
      <c r="H1015" s="196">
        <v>0</v>
      </c>
      <c r="I1015" s="198">
        <v>0</v>
      </c>
      <c r="K1015" s="170" t="str">
        <f t="shared" si="24"/>
        <v>648</v>
      </c>
    </row>
    <row r="1016" spans="1:11" x14ac:dyDescent="0.3">
      <c r="A1016" s="194">
        <v>648990</v>
      </c>
      <c r="B1016" s="195" t="s">
        <v>1625</v>
      </c>
      <c r="C1016" s="195" t="s">
        <v>1121</v>
      </c>
      <c r="D1016" s="195" t="s">
        <v>686</v>
      </c>
      <c r="E1016" s="196">
        <v>0</v>
      </c>
      <c r="F1016" s="159">
        <v>0</v>
      </c>
      <c r="G1016" s="157">
        <v>0</v>
      </c>
      <c r="H1016" s="196">
        <v>0</v>
      </c>
      <c r="I1016" s="198">
        <v>0</v>
      </c>
      <c r="K1016" s="170" t="str">
        <f t="shared" si="24"/>
        <v>648</v>
      </c>
    </row>
    <row r="1017" spans="1:11" x14ac:dyDescent="0.3">
      <c r="A1017" s="194">
        <v>648999</v>
      </c>
      <c r="B1017" s="195" t="s">
        <v>1626</v>
      </c>
      <c r="C1017" s="195" t="s">
        <v>1121</v>
      </c>
      <c r="D1017" s="195" t="s">
        <v>690</v>
      </c>
      <c r="E1017" s="196">
        <v>-92667.56</v>
      </c>
      <c r="F1017" s="159">
        <v>-92667.56</v>
      </c>
      <c r="G1017" s="158">
        <v>-94377.58</v>
      </c>
      <c r="H1017" s="196">
        <v>507.69</v>
      </c>
      <c r="I1017" s="198">
        <v>93175.25</v>
      </c>
      <c r="K1017" s="170" t="str">
        <f t="shared" si="24"/>
        <v>648</v>
      </c>
    </row>
    <row r="1018" spans="1:11" x14ac:dyDescent="0.3">
      <c r="A1018" s="194">
        <v>649999</v>
      </c>
      <c r="B1018" s="195" t="s">
        <v>1627</v>
      </c>
      <c r="C1018" s="195" t="s">
        <v>1121</v>
      </c>
      <c r="D1018" s="195" t="s">
        <v>690</v>
      </c>
      <c r="E1018" s="196">
        <v>-5577924.1399999997</v>
      </c>
      <c r="F1018" s="159">
        <v>-5577924.1399999997</v>
      </c>
      <c r="G1018" s="157">
        <v>-6086251.6699999999</v>
      </c>
      <c r="H1018" s="196">
        <v>93766.54</v>
      </c>
      <c r="I1018" s="198">
        <v>5671690.6799999997</v>
      </c>
      <c r="K1018" s="170" t="str">
        <f t="shared" si="24"/>
        <v>649</v>
      </c>
    </row>
    <row r="1019" spans="1:11" x14ac:dyDescent="0.3">
      <c r="A1019" s="194">
        <v>662000</v>
      </c>
      <c r="B1019" s="195" t="s">
        <v>1449</v>
      </c>
      <c r="C1019" s="195" t="s">
        <v>1121</v>
      </c>
      <c r="D1019" s="195" t="s">
        <v>687</v>
      </c>
      <c r="E1019" s="196">
        <v>0</v>
      </c>
      <c r="F1019" s="159">
        <v>0</v>
      </c>
      <c r="G1019" s="158">
        <v>0</v>
      </c>
      <c r="H1019" s="196">
        <v>0</v>
      </c>
      <c r="I1019" s="198">
        <v>0</v>
      </c>
      <c r="K1019" s="170" t="str">
        <f t="shared" si="24"/>
        <v>662</v>
      </c>
    </row>
    <row r="1020" spans="1:11" x14ac:dyDescent="0.3">
      <c r="A1020" s="194">
        <v>662100</v>
      </c>
      <c r="B1020" s="195" t="s">
        <v>1628</v>
      </c>
      <c r="C1020" s="195" t="s">
        <v>1121</v>
      </c>
      <c r="D1020" s="195" t="s">
        <v>686</v>
      </c>
      <c r="E1020" s="196">
        <v>-8580.82</v>
      </c>
      <c r="F1020" s="159">
        <v>-8580.82</v>
      </c>
      <c r="G1020" s="157">
        <v>-8580.82</v>
      </c>
      <c r="H1020" s="196">
        <v>0</v>
      </c>
      <c r="I1020" s="198">
        <v>8580.82</v>
      </c>
      <c r="K1020" s="170" t="str">
        <f t="shared" si="24"/>
        <v>662</v>
      </c>
    </row>
    <row r="1021" spans="1:11" x14ac:dyDescent="0.3">
      <c r="A1021" s="194">
        <v>662999</v>
      </c>
      <c r="B1021" s="195" t="s">
        <v>1453</v>
      </c>
      <c r="C1021" s="195" t="s">
        <v>1121</v>
      </c>
      <c r="D1021" s="195" t="s">
        <v>690</v>
      </c>
      <c r="E1021" s="196">
        <v>-8580.82</v>
      </c>
      <c r="F1021" s="159">
        <v>-8580.82</v>
      </c>
      <c r="G1021" s="158">
        <v>-8580.82</v>
      </c>
      <c r="H1021" s="196">
        <v>0</v>
      </c>
      <c r="I1021" s="198">
        <v>8580.82</v>
      </c>
      <c r="K1021" s="170" t="str">
        <f t="shared" si="24"/>
        <v>662</v>
      </c>
    </row>
    <row r="1022" spans="1:11" x14ac:dyDescent="0.3">
      <c r="A1022" s="194">
        <v>663000</v>
      </c>
      <c r="B1022" s="195" t="s">
        <v>1629</v>
      </c>
      <c r="C1022" s="195" t="s">
        <v>1121</v>
      </c>
      <c r="D1022" s="195" t="s">
        <v>687</v>
      </c>
      <c r="E1022" s="196">
        <v>0</v>
      </c>
      <c r="F1022" s="159">
        <v>0</v>
      </c>
      <c r="G1022" s="157">
        <v>0</v>
      </c>
      <c r="H1022" s="196">
        <v>0</v>
      </c>
      <c r="I1022" s="198">
        <v>0</v>
      </c>
      <c r="K1022" s="170" t="str">
        <f t="shared" si="24"/>
        <v>663</v>
      </c>
    </row>
    <row r="1023" spans="1:11" x14ac:dyDescent="0.3">
      <c r="A1023" s="194">
        <v>663100</v>
      </c>
      <c r="B1023" s="195" t="s">
        <v>1630</v>
      </c>
      <c r="C1023" s="195" t="s">
        <v>1121</v>
      </c>
      <c r="D1023" s="195" t="s">
        <v>686</v>
      </c>
      <c r="E1023" s="196">
        <v>-17.86</v>
      </c>
      <c r="F1023" s="159">
        <v>-17.86</v>
      </c>
      <c r="G1023" s="158">
        <v>-17.86</v>
      </c>
      <c r="H1023" s="196">
        <v>2804.05</v>
      </c>
      <c r="I1023" s="198">
        <v>2821.91</v>
      </c>
      <c r="K1023" s="170" t="str">
        <f t="shared" si="24"/>
        <v>663</v>
      </c>
    </row>
    <row r="1024" spans="1:11" x14ac:dyDescent="0.3">
      <c r="A1024" s="194">
        <v>663600</v>
      </c>
      <c r="B1024" s="195" t="s">
        <v>1631</v>
      </c>
      <c r="C1024" s="195" t="s">
        <v>1121</v>
      </c>
      <c r="D1024" s="195" t="s">
        <v>686</v>
      </c>
      <c r="E1024" s="196">
        <v>0</v>
      </c>
      <c r="F1024" s="159">
        <v>0</v>
      </c>
      <c r="G1024" s="157">
        <v>0</v>
      </c>
      <c r="H1024" s="196">
        <v>0</v>
      </c>
      <c r="I1024" s="198">
        <v>0</v>
      </c>
      <c r="K1024" s="170" t="str">
        <f t="shared" si="24"/>
        <v>663</v>
      </c>
    </row>
    <row r="1025" spans="1:11" x14ac:dyDescent="0.3">
      <c r="A1025" s="194">
        <v>663999</v>
      </c>
      <c r="B1025" s="195" t="s">
        <v>1632</v>
      </c>
      <c r="C1025" s="195" t="s">
        <v>1121</v>
      </c>
      <c r="D1025" s="195" t="s">
        <v>690</v>
      </c>
      <c r="E1025" s="196">
        <v>-17.86</v>
      </c>
      <c r="F1025" s="159">
        <v>-17.86</v>
      </c>
      <c r="G1025" s="158">
        <v>-17.86</v>
      </c>
      <c r="H1025" s="196">
        <v>2804.05</v>
      </c>
      <c r="I1025" s="198">
        <v>2821.91</v>
      </c>
      <c r="K1025" s="170" t="str">
        <f t="shared" si="24"/>
        <v>663</v>
      </c>
    </row>
    <row r="1026" spans="1:11" x14ac:dyDescent="0.3">
      <c r="A1026" s="194">
        <v>668000</v>
      </c>
      <c r="B1026" s="195" t="s">
        <v>1633</v>
      </c>
      <c r="C1026" s="195" t="s">
        <v>1121</v>
      </c>
      <c r="D1026" s="195" t="s">
        <v>687</v>
      </c>
      <c r="E1026" s="196">
        <v>0</v>
      </c>
      <c r="F1026" s="159">
        <v>0</v>
      </c>
      <c r="G1026" s="157">
        <v>0</v>
      </c>
      <c r="H1026" s="196">
        <v>0</v>
      </c>
      <c r="I1026" s="198">
        <v>0</v>
      </c>
      <c r="K1026" s="170" t="str">
        <f t="shared" si="24"/>
        <v>668</v>
      </c>
    </row>
    <row r="1027" spans="1:11" x14ac:dyDescent="0.3">
      <c r="A1027" s="194">
        <v>668100</v>
      </c>
      <c r="B1027" s="195" t="s">
        <v>1633</v>
      </c>
      <c r="C1027" s="195" t="s">
        <v>1121</v>
      </c>
      <c r="D1027" s="195" t="s">
        <v>686</v>
      </c>
      <c r="E1027" s="196">
        <v>0</v>
      </c>
      <c r="F1027" s="159">
        <v>0</v>
      </c>
      <c r="G1027" s="158">
        <v>0</v>
      </c>
      <c r="H1027" s="196">
        <v>0</v>
      </c>
      <c r="I1027" s="198">
        <v>0</v>
      </c>
      <c r="K1027" s="170" t="str">
        <f t="shared" ref="K1027:K1038" si="25">IF(A1027&lt;100000,CONCATENATE(0,LEFT(A1027,2)),LEFT(A1027,3))</f>
        <v>668</v>
      </c>
    </row>
    <row r="1028" spans="1:11" x14ac:dyDescent="0.3">
      <c r="A1028" s="194">
        <v>668999</v>
      </c>
      <c r="B1028" s="195" t="s">
        <v>1634</v>
      </c>
      <c r="C1028" s="195" t="s">
        <v>1121</v>
      </c>
      <c r="D1028" s="195" t="s">
        <v>690</v>
      </c>
      <c r="E1028" s="196">
        <v>0</v>
      </c>
      <c r="F1028" s="159">
        <v>0</v>
      </c>
      <c r="G1028" s="157">
        <v>0</v>
      </c>
      <c r="H1028" s="196">
        <v>0</v>
      </c>
      <c r="I1028" s="198">
        <v>0</v>
      </c>
      <c r="K1028" s="170" t="str">
        <f t="shared" si="25"/>
        <v>668</v>
      </c>
    </row>
    <row r="1029" spans="1:11" x14ac:dyDescent="0.3">
      <c r="A1029" s="194">
        <v>669999</v>
      </c>
      <c r="B1029" s="195" t="s">
        <v>1635</v>
      </c>
      <c r="C1029" s="195" t="s">
        <v>1121</v>
      </c>
      <c r="D1029" s="195" t="s">
        <v>690</v>
      </c>
      <c r="E1029" s="196">
        <v>-8598.68</v>
      </c>
      <c r="F1029" s="159">
        <v>-8598.68</v>
      </c>
      <c r="G1029" s="158">
        <v>-8598.68</v>
      </c>
      <c r="H1029" s="196">
        <v>2804.05</v>
      </c>
      <c r="I1029" s="198">
        <v>11402.73</v>
      </c>
      <c r="K1029" s="170" t="str">
        <f t="shared" si="25"/>
        <v>669</v>
      </c>
    </row>
    <row r="1030" spans="1:11" x14ac:dyDescent="0.3">
      <c r="A1030" s="194">
        <v>680000</v>
      </c>
      <c r="B1030" s="195" t="s">
        <v>1636</v>
      </c>
      <c r="C1030" s="195" t="s">
        <v>1121</v>
      </c>
      <c r="D1030" s="195" t="s">
        <v>687</v>
      </c>
      <c r="E1030" s="196">
        <v>0</v>
      </c>
      <c r="F1030" s="159">
        <v>0</v>
      </c>
      <c r="G1030" s="157">
        <v>0</v>
      </c>
      <c r="H1030" s="196">
        <v>0</v>
      </c>
      <c r="I1030" s="198">
        <v>0</v>
      </c>
      <c r="K1030" s="170" t="str">
        <f t="shared" si="25"/>
        <v>680</v>
      </c>
    </row>
    <row r="1031" spans="1:11" x14ac:dyDescent="0.3">
      <c r="A1031" s="194">
        <v>688700</v>
      </c>
      <c r="B1031" s="195" t="s">
        <v>1637</v>
      </c>
      <c r="C1031" s="195" t="s">
        <v>1121</v>
      </c>
      <c r="D1031" s="195" t="s">
        <v>686</v>
      </c>
      <c r="E1031" s="196">
        <v>0</v>
      </c>
      <c r="F1031" s="159">
        <v>0</v>
      </c>
      <c r="G1031" s="158">
        <v>0</v>
      </c>
      <c r="H1031" s="196">
        <v>0</v>
      </c>
      <c r="I1031" s="198">
        <v>0</v>
      </c>
      <c r="K1031" s="170" t="str">
        <f t="shared" si="25"/>
        <v>688</v>
      </c>
    </row>
    <row r="1032" spans="1:11" x14ac:dyDescent="0.3">
      <c r="A1032" s="194">
        <v>689999</v>
      </c>
      <c r="B1032" s="195" t="s">
        <v>1638</v>
      </c>
      <c r="C1032" s="195" t="s">
        <v>1121</v>
      </c>
      <c r="D1032" s="195" t="s">
        <v>690</v>
      </c>
      <c r="E1032" s="196">
        <v>0</v>
      </c>
      <c r="F1032" s="159">
        <v>0</v>
      </c>
      <c r="G1032" s="157">
        <v>0</v>
      </c>
      <c r="H1032" s="196">
        <v>0</v>
      </c>
      <c r="I1032" s="198">
        <v>0</v>
      </c>
      <c r="K1032" s="170" t="str">
        <f t="shared" si="25"/>
        <v>689</v>
      </c>
    </row>
    <row r="1033" spans="1:11" x14ac:dyDescent="0.3">
      <c r="A1033" s="194">
        <v>699999</v>
      </c>
      <c r="B1033" s="195" t="s">
        <v>1639</v>
      </c>
      <c r="C1033" s="195" t="s">
        <v>1121</v>
      </c>
      <c r="D1033" s="195" t="s">
        <v>1494</v>
      </c>
      <c r="E1033" s="196">
        <v>-49694048.75</v>
      </c>
      <c r="F1033" s="159">
        <v>-49694048.75</v>
      </c>
      <c r="G1033" s="158">
        <v>-54162217.75</v>
      </c>
      <c r="H1033" s="196">
        <v>5509466.46</v>
      </c>
      <c r="I1033" s="198">
        <v>55203515.210000001</v>
      </c>
      <c r="K1033" s="170" t="str">
        <f t="shared" si="25"/>
        <v>699</v>
      </c>
    </row>
    <row r="1034" spans="1:11" x14ac:dyDescent="0.3">
      <c r="A1034" s="194">
        <v>700000</v>
      </c>
      <c r="B1034" s="195" t="s">
        <v>1640</v>
      </c>
      <c r="C1034" s="195" t="s">
        <v>685</v>
      </c>
      <c r="D1034" s="195" t="s">
        <v>1641</v>
      </c>
      <c r="E1034" s="196">
        <v>0</v>
      </c>
      <c r="F1034" s="159">
        <v>0</v>
      </c>
      <c r="G1034" s="157">
        <v>0</v>
      </c>
      <c r="H1034" s="196">
        <v>0</v>
      </c>
      <c r="I1034" s="198">
        <v>0</v>
      </c>
      <c r="K1034" s="170" t="str">
        <f t="shared" si="25"/>
        <v>700</v>
      </c>
    </row>
    <row r="1035" spans="1:11" x14ac:dyDescent="0.3">
      <c r="A1035" s="194">
        <v>701000</v>
      </c>
      <c r="B1035" s="195" t="s">
        <v>1642</v>
      </c>
      <c r="C1035" s="195" t="s">
        <v>685</v>
      </c>
      <c r="D1035" s="195" t="s">
        <v>686</v>
      </c>
      <c r="E1035" s="196">
        <v>0</v>
      </c>
      <c r="F1035" s="159">
        <v>0</v>
      </c>
      <c r="G1035" s="158">
        <v>0</v>
      </c>
      <c r="H1035" s="196">
        <v>0</v>
      </c>
      <c r="I1035" s="198">
        <v>0</v>
      </c>
      <c r="K1035" s="170" t="str">
        <f t="shared" si="25"/>
        <v>701</v>
      </c>
    </row>
    <row r="1036" spans="1:11" x14ac:dyDescent="0.3">
      <c r="A1036" s="194">
        <v>702000</v>
      </c>
      <c r="B1036" s="195" t="s">
        <v>1643</v>
      </c>
      <c r="C1036" s="195" t="s">
        <v>685</v>
      </c>
      <c r="D1036" s="195" t="s">
        <v>686</v>
      </c>
      <c r="E1036" s="196">
        <v>0</v>
      </c>
      <c r="F1036" s="159">
        <v>0</v>
      </c>
      <c r="G1036" s="157">
        <v>0</v>
      </c>
      <c r="H1036" s="196">
        <v>0</v>
      </c>
      <c r="I1036" s="198">
        <v>0</v>
      </c>
      <c r="K1036" s="170" t="str">
        <f t="shared" si="25"/>
        <v>702</v>
      </c>
    </row>
    <row r="1037" spans="1:11" x14ac:dyDescent="0.3">
      <c r="A1037" s="194">
        <v>710000</v>
      </c>
      <c r="B1037" s="195" t="s">
        <v>1644</v>
      </c>
      <c r="C1037" s="195" t="s">
        <v>685</v>
      </c>
      <c r="D1037" s="195" t="s">
        <v>686</v>
      </c>
      <c r="E1037" s="196">
        <v>0</v>
      </c>
      <c r="F1037" s="159">
        <v>0</v>
      </c>
      <c r="G1037" s="158">
        <v>0</v>
      </c>
      <c r="H1037" s="196">
        <v>0</v>
      </c>
      <c r="I1037" s="198">
        <v>0</v>
      </c>
      <c r="K1037" s="170" t="str">
        <f t="shared" si="25"/>
        <v>710</v>
      </c>
    </row>
    <row r="1038" spans="1:11" x14ac:dyDescent="0.3">
      <c r="A1038" s="194">
        <v>799999</v>
      </c>
      <c r="B1038" s="195" t="s">
        <v>1645</v>
      </c>
      <c r="C1038" s="195" t="s">
        <v>685</v>
      </c>
      <c r="D1038" s="195" t="s">
        <v>1494</v>
      </c>
      <c r="E1038" s="196">
        <v>0</v>
      </c>
      <c r="F1038" s="159">
        <v>0</v>
      </c>
      <c r="G1038" s="157">
        <v>0</v>
      </c>
      <c r="H1038" s="196">
        <v>0</v>
      </c>
      <c r="I1038" s="198">
        <v>0</v>
      </c>
      <c r="K1038" s="170" t="str">
        <f t="shared" si="25"/>
        <v>799</v>
      </c>
    </row>
    <row r="1039" spans="1:11" x14ac:dyDescent="0.3">
      <c r="A1039" s="194">
        <v>899401</v>
      </c>
      <c r="B1039" s="195" t="s">
        <v>1646</v>
      </c>
      <c r="C1039" s="195" t="s">
        <v>1121</v>
      </c>
      <c r="D1039" s="195" t="s">
        <v>686</v>
      </c>
      <c r="E1039" s="196">
        <v>252805.39</v>
      </c>
      <c r="F1039" s="159">
        <v>252805.39</v>
      </c>
      <c r="G1039" s="158">
        <v>269117.92</v>
      </c>
      <c r="H1039" s="196">
        <v>252805.39</v>
      </c>
      <c r="I1039" s="198">
        <v>0</v>
      </c>
    </row>
    <row r="1040" spans="1:11" x14ac:dyDescent="0.3">
      <c r="A1040" s="194">
        <v>899402</v>
      </c>
      <c r="B1040" s="195" t="s">
        <v>1647</v>
      </c>
      <c r="C1040" s="195" t="s">
        <v>1121</v>
      </c>
      <c r="D1040" s="195" t="s">
        <v>686</v>
      </c>
      <c r="E1040" s="196">
        <v>194063.1</v>
      </c>
      <c r="F1040" s="159">
        <v>194063.1</v>
      </c>
      <c r="G1040" s="157">
        <v>221122.91</v>
      </c>
      <c r="H1040" s="196">
        <v>194063.1</v>
      </c>
      <c r="I1040" s="198">
        <v>0</v>
      </c>
    </row>
    <row r="1041" spans="1:9" x14ac:dyDescent="0.3">
      <c r="A1041" s="194">
        <v>899403</v>
      </c>
      <c r="B1041" s="195" t="s">
        <v>1648</v>
      </c>
      <c r="C1041" s="195" t="s">
        <v>1121</v>
      </c>
      <c r="D1041" s="195" t="s">
        <v>686</v>
      </c>
      <c r="E1041" s="196">
        <v>105065.71</v>
      </c>
      <c r="F1041" s="159">
        <v>105065.71</v>
      </c>
      <c r="G1041" s="158">
        <v>118410.83</v>
      </c>
      <c r="H1041" s="196">
        <v>105175.71</v>
      </c>
      <c r="I1041" s="198">
        <v>110</v>
      </c>
    </row>
    <row r="1042" spans="1:9" x14ac:dyDescent="0.3">
      <c r="A1042" s="194">
        <v>899404</v>
      </c>
      <c r="B1042" s="195" t="s">
        <v>1649</v>
      </c>
      <c r="C1042" s="195" t="s">
        <v>1121</v>
      </c>
      <c r="D1042" s="195" t="s">
        <v>686</v>
      </c>
      <c r="E1042" s="196">
        <v>26616.44</v>
      </c>
      <c r="F1042" s="159">
        <v>26616.44</v>
      </c>
      <c r="G1042" s="157">
        <v>29994.42</v>
      </c>
      <c r="H1042" s="196">
        <v>26616.44</v>
      </c>
      <c r="I1042" s="198">
        <v>0</v>
      </c>
    </row>
    <row r="1043" spans="1:9" x14ac:dyDescent="0.3">
      <c r="A1043" s="194">
        <v>899405</v>
      </c>
      <c r="B1043" s="195" t="s">
        <v>1650</v>
      </c>
      <c r="C1043" s="195" t="s">
        <v>1121</v>
      </c>
      <c r="D1043" s="195" t="s">
        <v>686</v>
      </c>
      <c r="E1043" s="196">
        <v>33928.519999999997</v>
      </c>
      <c r="F1043" s="159">
        <v>33928.519999999997</v>
      </c>
      <c r="G1043" s="158">
        <v>39180.92</v>
      </c>
      <c r="H1043" s="196">
        <v>33928.519999999997</v>
      </c>
      <c r="I1043" s="198">
        <v>0</v>
      </c>
    </row>
    <row r="1044" spans="1:9" x14ac:dyDescent="0.3">
      <c r="A1044" s="194">
        <v>899406</v>
      </c>
      <c r="B1044" s="195" t="s">
        <v>1651</v>
      </c>
      <c r="C1044" s="195" t="s">
        <v>1121</v>
      </c>
      <c r="D1044" s="195" t="s">
        <v>686</v>
      </c>
      <c r="E1044" s="196">
        <v>0</v>
      </c>
      <c r="F1044" s="159">
        <v>0</v>
      </c>
      <c r="G1044" s="157">
        <v>0</v>
      </c>
      <c r="H1044" s="196">
        <v>0</v>
      </c>
      <c r="I1044" s="198">
        <v>0</v>
      </c>
    </row>
    <row r="1045" spans="1:9" x14ac:dyDescent="0.3">
      <c r="A1045" s="194">
        <v>899600</v>
      </c>
      <c r="B1045" s="195" t="s">
        <v>1652</v>
      </c>
      <c r="C1045" s="195" t="s">
        <v>1121</v>
      </c>
      <c r="D1045" s="195" t="s">
        <v>686</v>
      </c>
      <c r="E1045" s="196">
        <v>281245.99</v>
      </c>
      <c r="F1045" s="159">
        <v>281245.99</v>
      </c>
      <c r="G1045" s="158">
        <v>308529.69</v>
      </c>
      <c r="H1045" s="196">
        <v>320646.65000000002</v>
      </c>
      <c r="I1045" s="198">
        <v>39400.660000000003</v>
      </c>
    </row>
    <row r="1046" spans="1:9" x14ac:dyDescent="0.3">
      <c r="A1046" s="194">
        <v>899999</v>
      </c>
      <c r="B1046" s="195" t="s">
        <v>1653</v>
      </c>
      <c r="C1046" s="195" t="s">
        <v>1121</v>
      </c>
      <c r="D1046" s="195" t="s">
        <v>1494</v>
      </c>
      <c r="E1046" s="196">
        <v>893725.15</v>
      </c>
      <c r="F1046" s="159">
        <v>893725.15</v>
      </c>
      <c r="G1046" s="157">
        <v>986356.69</v>
      </c>
      <c r="H1046" s="196">
        <v>933235.81</v>
      </c>
      <c r="I1046" s="198">
        <v>39510.660000000003</v>
      </c>
    </row>
    <row r="1047" spans="1:9" x14ac:dyDescent="0.3">
      <c r="A1047" s="194">
        <v>999101</v>
      </c>
      <c r="B1047" s="195" t="s">
        <v>1654</v>
      </c>
      <c r="C1047" s="195" t="s">
        <v>1121</v>
      </c>
      <c r="D1047" s="195" t="s">
        <v>686</v>
      </c>
      <c r="E1047" s="196">
        <v>-105264.3</v>
      </c>
      <c r="F1047" s="159">
        <v>-105264.3</v>
      </c>
      <c r="G1047" s="158">
        <v>-116910.41</v>
      </c>
      <c r="H1047" s="196">
        <v>0</v>
      </c>
      <c r="I1047" s="198">
        <v>105264.3</v>
      </c>
    </row>
    <row r="1048" spans="1:9" x14ac:dyDescent="0.3">
      <c r="A1048" s="194">
        <v>999102</v>
      </c>
      <c r="B1048" s="195" t="s">
        <v>1655</v>
      </c>
      <c r="C1048" s="195" t="s">
        <v>1121</v>
      </c>
      <c r="D1048" s="195" t="s">
        <v>686</v>
      </c>
      <c r="E1048" s="196">
        <v>-163370.39000000001</v>
      </c>
      <c r="F1048" s="159">
        <v>-163370.39000000001</v>
      </c>
      <c r="G1048" s="157">
        <v>-184972.42</v>
      </c>
      <c r="H1048" s="196">
        <v>0</v>
      </c>
      <c r="I1048" s="198">
        <v>163370.39000000001</v>
      </c>
    </row>
    <row r="1049" spans="1:9" x14ac:dyDescent="0.3">
      <c r="A1049" s="194">
        <v>999103</v>
      </c>
      <c r="B1049" s="195" t="s">
        <v>1656</v>
      </c>
      <c r="C1049" s="195" t="s">
        <v>1121</v>
      </c>
      <c r="D1049" s="195" t="s">
        <v>686</v>
      </c>
      <c r="E1049" s="196">
        <v>-120783.12</v>
      </c>
      <c r="F1049" s="159">
        <v>-120783.12</v>
      </c>
      <c r="G1049" s="158">
        <v>-128818.63</v>
      </c>
      <c r="H1049" s="196">
        <v>5443.56</v>
      </c>
      <c r="I1049" s="198">
        <v>126226.68</v>
      </c>
    </row>
    <row r="1050" spans="1:9" x14ac:dyDescent="0.3">
      <c r="A1050" s="194">
        <v>999104</v>
      </c>
      <c r="B1050" s="195" t="s">
        <v>1657</v>
      </c>
      <c r="C1050" s="195" t="s">
        <v>1121</v>
      </c>
      <c r="D1050" s="195" t="s">
        <v>686</v>
      </c>
      <c r="E1050" s="196">
        <v>-32817.519999999997</v>
      </c>
      <c r="F1050" s="159">
        <v>-32817.519999999997</v>
      </c>
      <c r="G1050" s="157">
        <v>-36195.5</v>
      </c>
      <c r="H1050" s="196">
        <v>0</v>
      </c>
      <c r="I1050" s="198">
        <v>32817.519999999997</v>
      </c>
    </row>
    <row r="1051" spans="1:9" x14ac:dyDescent="0.3">
      <c r="A1051" s="194">
        <v>999105</v>
      </c>
      <c r="B1051" s="195" t="s">
        <v>1658</v>
      </c>
      <c r="C1051" s="195" t="s">
        <v>1121</v>
      </c>
      <c r="D1051" s="195" t="s">
        <v>686</v>
      </c>
      <c r="E1051" s="196">
        <v>-3044.93</v>
      </c>
      <c r="F1051" s="159">
        <v>-3044.93</v>
      </c>
      <c r="G1051" s="158">
        <v>-3044.93</v>
      </c>
      <c r="H1051" s="196">
        <v>0</v>
      </c>
      <c r="I1051" s="198">
        <v>3044.93</v>
      </c>
    </row>
    <row r="1052" spans="1:9" x14ac:dyDescent="0.3">
      <c r="A1052" s="194">
        <v>999106</v>
      </c>
      <c r="B1052" s="195" t="s">
        <v>1659</v>
      </c>
      <c r="C1052" s="195" t="s">
        <v>1121</v>
      </c>
      <c r="D1052" s="195" t="s">
        <v>686</v>
      </c>
      <c r="E1052" s="196">
        <v>0</v>
      </c>
      <c r="F1052" s="159">
        <v>0</v>
      </c>
      <c r="G1052" s="157">
        <v>0</v>
      </c>
      <c r="H1052" s="196">
        <v>0</v>
      </c>
      <c r="I1052" s="198">
        <v>0</v>
      </c>
    </row>
    <row r="1053" spans="1:9" x14ac:dyDescent="0.3">
      <c r="A1053" s="194">
        <v>999201</v>
      </c>
      <c r="B1053" s="195" t="s">
        <v>1660</v>
      </c>
      <c r="C1053" s="195" t="s">
        <v>1121</v>
      </c>
      <c r="D1053" s="195" t="s">
        <v>686</v>
      </c>
      <c r="E1053" s="196">
        <v>-63704.98</v>
      </c>
      <c r="F1053" s="159">
        <v>-63704.98</v>
      </c>
      <c r="G1053" s="158">
        <v>-70504.399999999994</v>
      </c>
      <c r="H1053" s="196">
        <v>0</v>
      </c>
      <c r="I1053" s="198">
        <v>63704.98</v>
      </c>
    </row>
    <row r="1054" spans="1:9" x14ac:dyDescent="0.3">
      <c r="A1054" s="194">
        <v>999202</v>
      </c>
      <c r="B1054" s="195" t="s">
        <v>1661</v>
      </c>
      <c r="C1054" s="195" t="s">
        <v>1121</v>
      </c>
      <c r="D1054" s="195" t="s">
        <v>686</v>
      </c>
      <c r="E1054" s="196">
        <v>-11215.03</v>
      </c>
      <c r="F1054" s="159">
        <v>-11215.03</v>
      </c>
      <c r="G1054" s="157">
        <v>-13986</v>
      </c>
      <c r="H1054" s="196">
        <v>0</v>
      </c>
      <c r="I1054" s="198">
        <v>11215.03</v>
      </c>
    </row>
    <row r="1055" spans="1:9" x14ac:dyDescent="0.3">
      <c r="A1055" s="194">
        <v>999203</v>
      </c>
      <c r="B1055" s="195" t="s">
        <v>1662</v>
      </c>
      <c r="C1055" s="195" t="s">
        <v>1121</v>
      </c>
      <c r="D1055" s="195" t="s">
        <v>686</v>
      </c>
      <c r="E1055" s="196">
        <v>-69448.12</v>
      </c>
      <c r="F1055" s="159">
        <v>-69448.12</v>
      </c>
      <c r="G1055" s="158">
        <v>-79940.92</v>
      </c>
      <c r="H1055" s="196">
        <v>8325.18</v>
      </c>
      <c r="I1055" s="198">
        <v>77773.3</v>
      </c>
    </row>
    <row r="1056" spans="1:9" x14ac:dyDescent="0.3">
      <c r="A1056" s="194">
        <v>999204</v>
      </c>
      <c r="B1056" s="195" t="s">
        <v>1663</v>
      </c>
      <c r="C1056" s="195" t="s">
        <v>1121</v>
      </c>
      <c r="D1056" s="195" t="s">
        <v>686</v>
      </c>
      <c r="E1056" s="196">
        <v>0</v>
      </c>
      <c r="F1056" s="159">
        <v>0</v>
      </c>
      <c r="G1056" s="157">
        <v>0</v>
      </c>
      <c r="H1056" s="196">
        <v>0</v>
      </c>
      <c r="I1056" s="198">
        <v>0</v>
      </c>
    </row>
    <row r="1057" spans="1:9" x14ac:dyDescent="0.3">
      <c r="A1057" s="194">
        <v>999205</v>
      </c>
      <c r="B1057" s="195" t="s">
        <v>1664</v>
      </c>
      <c r="C1057" s="195" t="s">
        <v>1121</v>
      </c>
      <c r="D1057" s="195" t="s">
        <v>686</v>
      </c>
      <c r="E1057" s="196">
        <v>-2208.31</v>
      </c>
      <c r="F1057" s="159">
        <v>-2208.31</v>
      </c>
      <c r="G1057" s="158">
        <v>-2245.84</v>
      </c>
      <c r="H1057" s="196">
        <v>0</v>
      </c>
      <c r="I1057" s="198">
        <v>2208.31</v>
      </c>
    </row>
    <row r="1058" spans="1:9" x14ac:dyDescent="0.3">
      <c r="A1058" s="194">
        <v>999206</v>
      </c>
      <c r="B1058" s="195" t="s">
        <v>1665</v>
      </c>
      <c r="C1058" s="195" t="s">
        <v>1121</v>
      </c>
      <c r="D1058" s="195" t="s">
        <v>686</v>
      </c>
      <c r="E1058" s="196">
        <v>0</v>
      </c>
      <c r="F1058" s="159">
        <v>0</v>
      </c>
      <c r="G1058" s="157">
        <v>0</v>
      </c>
      <c r="H1058" s="196">
        <v>0</v>
      </c>
      <c r="I1058" s="198">
        <v>0</v>
      </c>
    </row>
    <row r="1059" spans="1:9" x14ac:dyDescent="0.3">
      <c r="A1059" s="194">
        <v>999301</v>
      </c>
      <c r="B1059" s="195" t="s">
        <v>1666</v>
      </c>
      <c r="C1059" s="195" t="s">
        <v>1121</v>
      </c>
      <c r="D1059" s="195" t="s">
        <v>686</v>
      </c>
      <c r="E1059" s="196">
        <v>-20820</v>
      </c>
      <c r="F1059" s="159">
        <v>-20820</v>
      </c>
      <c r="G1059" s="158">
        <v>-20820</v>
      </c>
      <c r="H1059" s="196">
        <v>0</v>
      </c>
      <c r="I1059" s="198">
        <v>20820</v>
      </c>
    </row>
    <row r="1060" spans="1:9" x14ac:dyDescent="0.3">
      <c r="A1060" s="194">
        <v>999302</v>
      </c>
      <c r="B1060" s="195" t="s">
        <v>1667</v>
      </c>
      <c r="C1060" s="195" t="s">
        <v>1121</v>
      </c>
      <c r="D1060" s="195" t="s">
        <v>686</v>
      </c>
      <c r="E1060" s="196">
        <v>-2137</v>
      </c>
      <c r="F1060" s="159">
        <v>-2137</v>
      </c>
      <c r="G1060" s="157">
        <v>-2137</v>
      </c>
      <c r="H1060" s="196">
        <v>0</v>
      </c>
      <c r="I1060" s="198">
        <v>2137</v>
      </c>
    </row>
    <row r="1061" spans="1:9" x14ac:dyDescent="0.3">
      <c r="A1061" s="194">
        <v>999303</v>
      </c>
      <c r="B1061" s="195" t="s">
        <v>1668</v>
      </c>
      <c r="C1061" s="195" t="s">
        <v>1121</v>
      </c>
      <c r="D1061" s="195" t="s">
        <v>686</v>
      </c>
      <c r="E1061" s="196">
        <v>-3941.19</v>
      </c>
      <c r="F1061" s="159">
        <v>-3941.19</v>
      </c>
      <c r="G1061" s="158">
        <v>-3941.19</v>
      </c>
      <c r="H1061" s="196">
        <v>120.06</v>
      </c>
      <c r="I1061" s="198">
        <v>4061.25</v>
      </c>
    </row>
    <row r="1062" spans="1:9" x14ac:dyDescent="0.3">
      <c r="A1062" s="194">
        <v>999304</v>
      </c>
      <c r="B1062" s="195" t="s">
        <v>1669</v>
      </c>
      <c r="C1062" s="195" t="s">
        <v>1121</v>
      </c>
      <c r="D1062" s="195" t="s">
        <v>686</v>
      </c>
      <c r="E1062" s="196">
        <v>-13724.27</v>
      </c>
      <c r="F1062" s="159">
        <v>-13724.27</v>
      </c>
      <c r="G1062" s="157">
        <v>-14309.76</v>
      </c>
      <c r="H1062" s="196">
        <v>0</v>
      </c>
      <c r="I1062" s="198">
        <v>13724.27</v>
      </c>
    </row>
    <row r="1063" spans="1:9" x14ac:dyDescent="0.3">
      <c r="A1063" s="194">
        <v>999600</v>
      </c>
      <c r="B1063" s="195" t="s">
        <v>1652</v>
      </c>
      <c r="C1063" s="195" t="s">
        <v>1121</v>
      </c>
      <c r="D1063" s="195" t="s">
        <v>686</v>
      </c>
      <c r="E1063" s="196">
        <v>-281245.99</v>
      </c>
      <c r="F1063" s="159">
        <v>-281245.99</v>
      </c>
      <c r="G1063" s="158">
        <v>-308529.69</v>
      </c>
      <c r="H1063" s="196">
        <v>44735.44</v>
      </c>
      <c r="I1063" s="198">
        <v>325981.43</v>
      </c>
    </row>
    <row r="1064" spans="1:9" x14ac:dyDescent="0.3">
      <c r="A1064" s="194">
        <v>99999</v>
      </c>
      <c r="B1064" s="195" t="s">
        <v>1670</v>
      </c>
      <c r="C1064" s="195" t="s">
        <v>1121</v>
      </c>
      <c r="D1064" s="195" t="s">
        <v>1494</v>
      </c>
      <c r="E1064" s="196">
        <v>-893725.15</v>
      </c>
      <c r="F1064" s="159">
        <v>-893725.15</v>
      </c>
      <c r="G1064" s="157">
        <v>-986356.69</v>
      </c>
      <c r="H1064" s="196">
        <v>58624.24</v>
      </c>
      <c r="I1064" s="198">
        <v>952349.39</v>
      </c>
    </row>
    <row r="1065" spans="1:9" x14ac:dyDescent="0.3">
      <c r="A1065" s="197" t="s">
        <v>1671</v>
      </c>
      <c r="B1065" s="195" t="s">
        <v>1672</v>
      </c>
      <c r="C1065" s="195" t="s">
        <v>1121</v>
      </c>
      <c r="D1065" s="195" t="s">
        <v>1494</v>
      </c>
      <c r="E1065" s="196">
        <v>-680783.96</v>
      </c>
      <c r="F1065" s="159">
        <v>-680783.96</v>
      </c>
      <c r="G1065" s="158">
        <v>-738845.32</v>
      </c>
      <c r="H1065" s="196">
        <v>70177973.590000004</v>
      </c>
      <c r="I1065" s="198">
        <v>70858757.549999997</v>
      </c>
    </row>
    <row r="1066" spans="1:9" x14ac:dyDescent="0.3">
      <c r="A1066" s="197" t="s">
        <v>1673</v>
      </c>
      <c r="B1066" s="195" t="s">
        <v>318</v>
      </c>
      <c r="C1066" s="195" t="s">
        <v>1121</v>
      </c>
      <c r="D1066" s="195" t="s">
        <v>1494</v>
      </c>
      <c r="E1066" s="196">
        <v>205462.95</v>
      </c>
      <c r="F1066" s="159">
        <v>205462.95</v>
      </c>
      <c r="G1066" s="157">
        <v>205462.95</v>
      </c>
      <c r="H1066" s="196">
        <v>422167.24</v>
      </c>
      <c r="I1066" s="198">
        <v>216704.29</v>
      </c>
    </row>
    <row r="1067" spans="1:9" x14ac:dyDescent="0.3">
      <c r="A1067" s="197" t="s">
        <v>1674</v>
      </c>
      <c r="B1067" s="195" t="s">
        <v>1675</v>
      </c>
      <c r="C1067" s="195" t="s">
        <v>1121</v>
      </c>
      <c r="D1067" s="195" t="s">
        <v>1494</v>
      </c>
      <c r="E1067" s="196">
        <v>-886246.91</v>
      </c>
      <c r="F1067" s="159">
        <v>-886246.91</v>
      </c>
      <c r="G1067" s="158">
        <v>-944308.27</v>
      </c>
      <c r="H1067" s="196">
        <v>69755806.349999994</v>
      </c>
      <c r="I1067" s="198">
        <v>70642053.260000005</v>
      </c>
    </row>
    <row r="1068" spans="1:9" x14ac:dyDescent="0.3">
      <c r="A1068" s="197" t="s">
        <v>1676</v>
      </c>
      <c r="B1068" s="195" t="s">
        <v>1677</v>
      </c>
      <c r="C1068" s="195" t="s">
        <v>1121</v>
      </c>
      <c r="D1068" s="195" t="s">
        <v>1494</v>
      </c>
      <c r="E1068" s="196">
        <v>0</v>
      </c>
      <c r="F1068" s="159">
        <v>0</v>
      </c>
      <c r="G1068" s="157">
        <v>0</v>
      </c>
      <c r="H1068" s="196">
        <v>991860.05</v>
      </c>
      <c r="I1068" s="198">
        <v>991860.05</v>
      </c>
    </row>
  </sheetData>
  <autoFilter ref="A1:K1068" xr:uid="{419B3884-EEF1-43C2-9FE3-207CCE93BF4D}"/>
  <pageMargins left="0.7" right="0.7" top="0.75" bottom="0.75" header="0.3" footer="0.3"/>
  <pageSetup paperSize="9"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5</vt:i4>
      </vt:variant>
      <vt:variant>
        <vt:lpstr>Pomenované rozsahy</vt:lpstr>
      </vt:variant>
      <vt:variant>
        <vt:i4>4</vt:i4>
      </vt:variant>
    </vt:vector>
  </HeadingPairs>
  <TitlesOfParts>
    <vt:vector size="9" baseType="lpstr">
      <vt:lpstr>Súvaha </vt:lpstr>
      <vt:lpstr>Výkaz ZaS</vt:lpstr>
      <vt:lpstr>Notes SK</vt:lpstr>
      <vt:lpstr>Cash Flow SK</vt:lpstr>
      <vt:lpstr>Účtovná osnova</vt:lpstr>
      <vt:lpstr>'Notes SK'!_Toc474124192</vt:lpstr>
      <vt:lpstr>'Notes SK'!Názvy_tlače</vt:lpstr>
      <vt:lpstr>'Cash Flow SK'!Oblasť_tlače</vt:lpstr>
      <vt:lpstr>'Notes SK'!Oblasť_tlače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Kilianova Alena</dc:creator>
  <cp:lastModifiedBy>Múčka Ondrej</cp:lastModifiedBy>
  <cp:lastPrinted>2021-02-17T16:11:02Z</cp:lastPrinted>
  <dcterms:created xsi:type="dcterms:W3CDTF">2015-02-26T10:29:18Z</dcterms:created>
  <dcterms:modified xsi:type="dcterms:W3CDTF">2021-02-17T16:11:20Z</dcterms:modified>
</cp:coreProperties>
</file>