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žbetaBartalová\Desktop\"/>
    </mc:Choice>
  </mc:AlternateContent>
  <xr:revisionPtr revIDLastSave="0" documentId="8_{B02DA807-4F8F-4408-8BAF-D83B36568CD7}" xr6:coauthVersionLast="47" xr6:coauthVersionMax="47" xr10:uidLastSave="{00000000-0000-0000-0000-000000000000}"/>
  <bookViews>
    <workbookView xWindow="-120" yWindow="-120" windowWidth="29040" windowHeight="15840" tabRatio="948" firstSheet="22" activeTab="42" xr2:uid="{00000000-000D-0000-FFFF-FFFF00000000}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C6" i="40"/>
  <c r="B6" i="40"/>
  <c r="C5" i="40"/>
  <c r="B5" i="40"/>
  <c r="C4" i="40"/>
  <c r="B4" i="40"/>
  <c r="C3" i="40"/>
  <c r="C9" i="40" s="1"/>
  <c r="B3" i="40"/>
  <c r="B9" i="40" s="1"/>
  <c r="F12" i="38"/>
  <c r="E12" i="38"/>
  <c r="F10" i="38"/>
  <c r="E10" i="38"/>
  <c r="F9" i="38"/>
  <c r="E9" i="38"/>
  <c r="F8" i="38"/>
  <c r="E8" i="38"/>
  <c r="F6" i="38"/>
  <c r="E6" i="38"/>
  <c r="D6" i="38"/>
  <c r="C6" i="38"/>
  <c r="B6" i="38"/>
  <c r="F5" i="38"/>
  <c r="E5" i="38"/>
  <c r="D5" i="38"/>
  <c r="C5" i="38"/>
  <c r="B5" i="38"/>
  <c r="F4" i="38"/>
  <c r="E4" i="38"/>
  <c r="D4" i="38"/>
  <c r="C4" i="38"/>
  <c r="B4" i="38"/>
  <c r="G7" i="36"/>
  <c r="F7" i="36"/>
  <c r="E7" i="36"/>
  <c r="D7" i="36"/>
  <c r="C7" i="36"/>
  <c r="B7" i="36"/>
  <c r="C8" i="35"/>
  <c r="B8" i="35"/>
  <c r="F25" i="32"/>
  <c r="E25" i="32"/>
  <c r="F11" i="32"/>
  <c r="E11" i="32"/>
  <c r="F7" i="32"/>
  <c r="E7" i="32"/>
  <c r="C9" i="30"/>
  <c r="B9" i="30"/>
  <c r="C7" i="30"/>
  <c r="B7" i="30"/>
  <c r="C3" i="30"/>
  <c r="B3" i="30"/>
  <c r="C16" i="29"/>
  <c r="B16" i="29"/>
  <c r="C12" i="29"/>
  <c r="B12" i="29"/>
  <c r="F35" i="27"/>
  <c r="F34" i="27"/>
  <c r="F33" i="27"/>
  <c r="F32" i="27"/>
  <c r="F31" i="27"/>
  <c r="F30" i="27"/>
  <c r="F29" i="27"/>
  <c r="E29" i="27"/>
  <c r="D29" i="27"/>
  <c r="C29" i="27"/>
  <c r="B29" i="27"/>
  <c r="F28" i="27"/>
  <c r="F27" i="27"/>
  <c r="F26" i="27"/>
  <c r="F25" i="27"/>
  <c r="F24" i="27"/>
  <c r="F23" i="27"/>
  <c r="E23" i="27"/>
  <c r="D23" i="27"/>
  <c r="C23" i="27"/>
  <c r="B23" i="27"/>
  <c r="F17" i="27"/>
  <c r="F16" i="27"/>
  <c r="F15" i="27"/>
  <c r="F14" i="27"/>
  <c r="F13" i="27"/>
  <c r="F12" i="27"/>
  <c r="F11" i="27"/>
  <c r="E11" i="27"/>
  <c r="D11" i="27"/>
  <c r="C11" i="27"/>
  <c r="B11" i="27"/>
  <c r="F10" i="27"/>
  <c r="F9" i="27"/>
  <c r="F8" i="27"/>
  <c r="F7" i="27"/>
  <c r="F6" i="27"/>
  <c r="F5" i="27"/>
  <c r="E5" i="27"/>
  <c r="D5" i="27"/>
  <c r="C5" i="27"/>
  <c r="B5" i="27"/>
  <c r="B26" i="25"/>
  <c r="B18" i="25"/>
  <c r="B14" i="25"/>
  <c r="B4" i="25"/>
  <c r="G7" i="24"/>
  <c r="F7" i="24"/>
  <c r="E7" i="24"/>
  <c r="D7" i="24"/>
  <c r="C7" i="24"/>
  <c r="B7" i="24"/>
  <c r="E5" i="21"/>
  <c r="D5" i="21"/>
  <c r="C5" i="21"/>
  <c r="F4" i="21"/>
  <c r="B4" i="21"/>
  <c r="F3" i="21"/>
  <c r="B3" i="21"/>
  <c r="B5" i="21" s="1"/>
  <c r="F5" i="21" s="1"/>
  <c r="D12" i="55"/>
  <c r="C12" i="55"/>
  <c r="E11" i="55"/>
  <c r="B11" i="55"/>
  <c r="E10" i="55"/>
  <c r="B10" i="55"/>
  <c r="E9" i="55"/>
  <c r="E12" i="55" s="1"/>
  <c r="B9" i="55"/>
  <c r="E7" i="55"/>
  <c r="B7" i="55"/>
  <c r="E6" i="55"/>
  <c r="B6" i="55"/>
  <c r="B12" i="55" s="1"/>
  <c r="C7" i="19"/>
  <c r="B7" i="19"/>
  <c r="C6" i="19"/>
  <c r="B6" i="19"/>
  <c r="C5" i="19"/>
  <c r="B5" i="19"/>
  <c r="C4" i="19"/>
  <c r="C8" i="19" s="1"/>
  <c r="B4" i="19"/>
  <c r="B8" i="19" s="1"/>
  <c r="C19" i="77"/>
  <c r="B19" i="77"/>
  <c r="D18" i="77"/>
  <c r="D17" i="77"/>
  <c r="D16" i="77"/>
  <c r="D15" i="77"/>
  <c r="D14" i="77"/>
  <c r="D13" i="77"/>
  <c r="D19" i="77" s="1"/>
  <c r="D12" i="77"/>
  <c r="C10" i="77"/>
  <c r="B10" i="77"/>
  <c r="D9" i="77"/>
  <c r="D8" i="77"/>
  <c r="D7" i="77"/>
  <c r="D6" i="77"/>
  <c r="D5" i="77"/>
  <c r="D10" i="77" s="1"/>
  <c r="B9" i="17"/>
  <c r="F8" i="17"/>
  <c r="B8" i="17"/>
  <c r="F7" i="17"/>
  <c r="B7" i="17"/>
  <c r="F6" i="17"/>
  <c r="B6" i="17"/>
  <c r="F5" i="17"/>
  <c r="B5" i="17"/>
  <c r="F4" i="17"/>
  <c r="F9" i="17" s="1"/>
  <c r="B4" i="17"/>
  <c r="D13" i="56"/>
  <c r="C13" i="56"/>
  <c r="B13" i="56"/>
  <c r="D6" i="56"/>
  <c r="C4" i="56"/>
  <c r="B4" i="56"/>
  <c r="E12" i="14"/>
  <c r="D12" i="14"/>
  <c r="C12" i="14"/>
  <c r="F11" i="14"/>
  <c r="F10" i="14"/>
  <c r="F9" i="14"/>
  <c r="B9" i="14"/>
  <c r="F8" i="14"/>
  <c r="B8" i="14"/>
  <c r="F7" i="14"/>
  <c r="B7" i="14"/>
  <c r="B12" i="14" s="1"/>
  <c r="F6" i="14"/>
  <c r="F12" i="14" s="1"/>
  <c r="B6" i="14"/>
  <c r="F5" i="14"/>
  <c r="B5" i="14"/>
  <c r="E7" i="13"/>
  <c r="D7" i="13"/>
  <c r="C7" i="13"/>
  <c r="B7" i="13"/>
  <c r="F6" i="13"/>
  <c r="F5" i="13"/>
  <c r="F4" i="13"/>
  <c r="F3" i="13"/>
  <c r="F7" i="13" s="1"/>
  <c r="G7" i="12"/>
  <c r="G6" i="12"/>
  <c r="G5" i="12"/>
  <c r="G4" i="12"/>
  <c r="G3" i="12"/>
  <c r="F18" i="11"/>
  <c r="F19" i="11" s="1"/>
  <c r="F15" i="11"/>
  <c r="F11" i="11"/>
  <c r="F7" i="11"/>
  <c r="J36" i="9"/>
  <c r="I36" i="9"/>
  <c r="J34" i="9"/>
  <c r="J33" i="9"/>
  <c r="J32" i="9"/>
  <c r="I30" i="9"/>
  <c r="H30" i="9"/>
  <c r="F30" i="9"/>
  <c r="E30" i="9"/>
  <c r="D30" i="9"/>
  <c r="C30" i="9"/>
  <c r="B30" i="9"/>
  <c r="J29" i="9"/>
  <c r="J28" i="9"/>
  <c r="J27" i="9"/>
  <c r="J26" i="9"/>
  <c r="J30" i="9" s="1"/>
  <c r="I26" i="9"/>
  <c r="H26" i="9"/>
  <c r="F26" i="9"/>
  <c r="E26" i="9"/>
  <c r="D26" i="9"/>
  <c r="C26" i="9"/>
  <c r="B26" i="9"/>
  <c r="J16" i="9"/>
  <c r="I16" i="9"/>
  <c r="J14" i="9"/>
  <c r="J13" i="9"/>
  <c r="J12" i="9"/>
  <c r="I12" i="9"/>
  <c r="I10" i="9"/>
  <c r="H10" i="9"/>
  <c r="F10" i="9"/>
  <c r="E10" i="9"/>
  <c r="D10" i="9"/>
  <c r="C10" i="9"/>
  <c r="B10" i="9"/>
  <c r="J9" i="9"/>
  <c r="J8" i="9"/>
  <c r="J7" i="9"/>
  <c r="I6" i="9"/>
  <c r="H6" i="9"/>
  <c r="F6" i="9"/>
  <c r="E6" i="9"/>
  <c r="D6" i="9"/>
  <c r="C6" i="9"/>
  <c r="B6" i="9"/>
  <c r="J6" i="9" s="1"/>
  <c r="J10" i="9" s="1"/>
  <c r="G51" i="7"/>
  <c r="D51" i="7"/>
  <c r="C51" i="7"/>
  <c r="D50" i="7"/>
  <c r="C50" i="7"/>
  <c r="I48" i="7"/>
  <c r="H48" i="7"/>
  <c r="J46" i="7"/>
  <c r="J45" i="7"/>
  <c r="J44" i="7"/>
  <c r="J48" i="7" s="1"/>
  <c r="H44" i="7"/>
  <c r="H50" i="7" s="1"/>
  <c r="G42" i="7"/>
  <c r="F42" i="7"/>
  <c r="E42" i="7"/>
  <c r="D42" i="7"/>
  <c r="C42" i="7"/>
  <c r="J40" i="7"/>
  <c r="J39" i="7"/>
  <c r="G38" i="7"/>
  <c r="F38" i="7"/>
  <c r="E38" i="7"/>
  <c r="D38" i="7"/>
  <c r="C38" i="7"/>
  <c r="J38" i="7" s="1"/>
  <c r="J42" i="7" s="1"/>
  <c r="I36" i="7"/>
  <c r="I51" i="7" s="1"/>
  <c r="H36" i="7"/>
  <c r="H51" i="7" s="1"/>
  <c r="G36" i="7"/>
  <c r="F36" i="7"/>
  <c r="F51" i="7" s="1"/>
  <c r="E36" i="7"/>
  <c r="E51" i="7" s="1"/>
  <c r="D36" i="7"/>
  <c r="C36" i="7"/>
  <c r="B36" i="7"/>
  <c r="B51" i="7" s="1"/>
  <c r="J35" i="7"/>
  <c r="J34" i="7"/>
  <c r="J33" i="7"/>
  <c r="I32" i="7"/>
  <c r="I50" i="7" s="1"/>
  <c r="H32" i="7"/>
  <c r="G32" i="7"/>
  <c r="G50" i="7" s="1"/>
  <c r="F32" i="7"/>
  <c r="F50" i="7" s="1"/>
  <c r="E32" i="7"/>
  <c r="E50" i="7" s="1"/>
  <c r="D32" i="7"/>
  <c r="C32" i="7"/>
  <c r="B32" i="7"/>
  <c r="B50" i="7" s="1"/>
  <c r="I22" i="7"/>
  <c r="H22" i="7"/>
  <c r="J20" i="7"/>
  <c r="J19" i="7"/>
  <c r="J18" i="7"/>
  <c r="J22" i="7" s="1"/>
  <c r="I18" i="7"/>
  <c r="H18" i="7"/>
  <c r="G16" i="7"/>
  <c r="F16" i="7"/>
  <c r="E16" i="7"/>
  <c r="D16" i="7"/>
  <c r="C16" i="7"/>
  <c r="J14" i="7"/>
  <c r="J13" i="7"/>
  <c r="G12" i="7"/>
  <c r="F12" i="7"/>
  <c r="E12" i="7"/>
  <c r="D12" i="7"/>
  <c r="C12" i="7"/>
  <c r="J12" i="7" s="1"/>
  <c r="J16" i="7" s="1"/>
  <c r="I10" i="7"/>
  <c r="H10" i="7"/>
  <c r="G10" i="7"/>
  <c r="F10" i="7"/>
  <c r="E10" i="7"/>
  <c r="D10" i="7"/>
  <c r="C10" i="7"/>
  <c r="B10" i="7"/>
  <c r="J9" i="7"/>
  <c r="J8" i="7"/>
  <c r="J7" i="7"/>
  <c r="I6" i="7"/>
  <c r="H6" i="7"/>
  <c r="G6" i="7"/>
  <c r="F6" i="7"/>
  <c r="E6" i="7"/>
  <c r="D6" i="7"/>
  <c r="C6" i="7"/>
  <c r="B6" i="7"/>
  <c r="J6" i="7" s="1"/>
  <c r="H49" i="5"/>
  <c r="G49" i="5"/>
  <c r="I47" i="5"/>
  <c r="I46" i="5"/>
  <c r="I45" i="5"/>
  <c r="I49" i="5" s="1"/>
  <c r="G45" i="5"/>
  <c r="F43" i="5"/>
  <c r="E43" i="5"/>
  <c r="D43" i="5"/>
  <c r="C43" i="5"/>
  <c r="B43" i="5"/>
  <c r="I41" i="5"/>
  <c r="I40" i="5"/>
  <c r="F39" i="5"/>
  <c r="E39" i="5"/>
  <c r="D39" i="5"/>
  <c r="C39" i="5"/>
  <c r="B39" i="5"/>
  <c r="I39" i="5" s="1"/>
  <c r="I43" i="5" s="1"/>
  <c r="H37" i="5"/>
  <c r="G37" i="5"/>
  <c r="F37" i="5"/>
  <c r="E37" i="5"/>
  <c r="D37" i="5"/>
  <c r="C37" i="5"/>
  <c r="B37" i="5"/>
  <c r="I36" i="5"/>
  <c r="I35" i="5"/>
  <c r="I34" i="5"/>
  <c r="H33" i="5"/>
  <c r="G33" i="5"/>
  <c r="F33" i="5"/>
  <c r="E33" i="5"/>
  <c r="D33" i="5"/>
  <c r="I33" i="5" s="1"/>
  <c r="C33" i="5"/>
  <c r="B33" i="5"/>
  <c r="H22" i="5"/>
  <c r="G22" i="5"/>
  <c r="I20" i="5"/>
  <c r="I19" i="5"/>
  <c r="H18" i="5"/>
  <c r="G18" i="5"/>
  <c r="I18" i="5" s="1"/>
  <c r="I22" i="5" s="1"/>
  <c r="F16" i="5"/>
  <c r="E16" i="5"/>
  <c r="D16" i="5"/>
  <c r="C16" i="5"/>
  <c r="B16" i="5"/>
  <c r="I14" i="5"/>
  <c r="I13" i="5"/>
  <c r="F12" i="5"/>
  <c r="E12" i="5"/>
  <c r="D12" i="5"/>
  <c r="I12" i="5" s="1"/>
  <c r="I16" i="5" s="1"/>
  <c r="C12" i="5"/>
  <c r="B12" i="5"/>
  <c r="H10" i="5"/>
  <c r="G10" i="5"/>
  <c r="F10" i="5"/>
  <c r="E10" i="5"/>
  <c r="D10" i="5"/>
  <c r="C10" i="5"/>
  <c r="B10" i="5"/>
  <c r="I9" i="5"/>
  <c r="I8" i="5"/>
  <c r="I7" i="5"/>
  <c r="H6" i="5"/>
  <c r="G6" i="5"/>
  <c r="F6" i="5"/>
  <c r="E6" i="5"/>
  <c r="D6" i="5"/>
  <c r="I6" i="5" s="1"/>
  <c r="C6" i="5"/>
  <c r="B6" i="5"/>
  <c r="I24" i="5" l="1"/>
  <c r="I10" i="5"/>
  <c r="I25" i="5" s="1"/>
  <c r="I37" i="5"/>
  <c r="I52" i="5" s="1"/>
  <c r="I51" i="5"/>
  <c r="J10" i="7"/>
  <c r="J25" i="7" s="1"/>
  <c r="J24" i="7"/>
  <c r="J32" i="7"/>
  <c r="J50" i="7" l="1"/>
  <c r="J36" i="7"/>
  <c r="J51" i="7" s="1"/>
</calcChain>
</file>

<file path=xl/sharedStrings.xml><?xml version="1.0" encoding="utf-8"?>
<sst xmlns="http://schemas.openxmlformats.org/spreadsheetml/2006/main" count="2501" uniqueCount="1130">
  <si>
    <t>130</t>
  </si>
  <si>
    <t>Hodnota vlastného imania ÚJ, v ktorej má ÚJ umiestnený DFM</t>
  </si>
  <si>
    <t>591</t>
  </si>
  <si>
    <t>125</t>
  </si>
  <si>
    <t>Tabuľka č. 3</t>
  </si>
  <si>
    <t>Tabuľka č. 2</t>
  </si>
  <si>
    <t>Poplatky banke</t>
  </si>
  <si>
    <t>(3) Kód SK NACE sa vypĺňa podľa vyhlášky Štatistického úradu Slovenskej republiky č. 306/2007</t>
  </si>
  <si>
    <t>021</t>
  </si>
  <si>
    <t>Tabuľka č. 4</t>
  </si>
  <si>
    <t>429000</t>
  </si>
  <si>
    <t>341000</t>
  </si>
  <si>
    <t>B.  V.</t>
  </si>
  <si>
    <t>ZP</t>
  </si>
  <si>
    <t>065</t>
  </si>
  <si>
    <t>039</t>
  </si>
  <si>
    <t>Úbytky</t>
  </si>
  <si>
    <t>Prevod do nerozdeleného zisku minulých rokov</t>
  </si>
  <si>
    <t>Dlhové CP so splatnosťou do  jedného roka držané do splatnosti</t>
  </si>
  <si>
    <t>Dodávatelia tuzemsko</t>
  </si>
  <si>
    <t>018</t>
  </si>
  <si>
    <t>Dlhodobé záväzky z obchodného styku súčet (r. 104 až r. 106)</t>
  </si>
  <si>
    <t>Prídel do zákonného rezervného fondu</t>
  </si>
  <si>
    <t>089</t>
  </si>
  <si>
    <t>Pozemky ( 031 ) - 092A</t>
  </si>
  <si>
    <t>Krátkodobý finančný majetok v prepojených ÚJ (251A,253A,256A,257A,25XA) - /291A,29XA)</t>
  </si>
  <si>
    <t xml:space="preserve">Tabuľka č. 1 </t>
  </si>
  <si>
    <t>Tatrabanka</t>
  </si>
  <si>
    <t>Opravná pol. ku krátkodob.fin.majetku</t>
  </si>
  <si>
    <t>Odložená daňová pohľadávka (481A)</t>
  </si>
  <si>
    <t>546</t>
  </si>
  <si>
    <t>DIČ – daňové identifikačné číslo</t>
  </si>
  <si>
    <t>Dlhodobé rezervy r. 119 + r. 120</t>
  </si>
  <si>
    <t>Základné imanie súčet (r. 082 až r. 084)</t>
  </si>
  <si>
    <t>9.</t>
  </si>
  <si>
    <t>Oceňovacie rozdiely z precenenia pri zlúčení, splynutí a rozdelení (+/-416)</t>
  </si>
  <si>
    <t>Obstarávaný DHM</t>
  </si>
  <si>
    <t>51</t>
  </si>
  <si>
    <t>zdaniteľné</t>
  </si>
  <si>
    <t>Neuhradená strata z minulých rokov  ( (-)429 )</t>
  </si>
  <si>
    <t>479200</t>
  </si>
  <si>
    <t>Ostatné realizované cenné papiere a podiely (063A) - /096A/</t>
  </si>
  <si>
    <t>472000</t>
  </si>
  <si>
    <t>46</t>
  </si>
  <si>
    <t>Výrobky</t>
  </si>
  <si>
    <t>Sprac.účtovníctva</t>
  </si>
  <si>
    <t xml:space="preserve">teoretická daň </t>
  </si>
  <si>
    <t>Odložená daň z príjmov</t>
  </si>
  <si>
    <t>Zabezpečovacie deriváty, z toho:</t>
  </si>
  <si>
    <t>Zákonné sociálne náklady</t>
  </si>
  <si>
    <t>14. Informácie k časti F. písm. r) prílohy č. 3 o vývoji opravnej položky  k pohľadávkam</t>
  </si>
  <si>
    <t>Výnosy budúcich období dlhodobé ( 384A )</t>
  </si>
  <si>
    <t>331100</t>
  </si>
  <si>
    <t>Krátkodobý finančný majetok spolu</t>
  </si>
  <si>
    <t>Suma zadržanej platby</t>
  </si>
  <si>
    <t>Ostatné dlhodobé CP a podiely</t>
  </si>
  <si>
    <t>518110</t>
  </si>
  <si>
    <t>Pridaná hodnota (r.03+r.04+r.05+r.06+r.07)-(r.11+r.12+r.13+r.14)</t>
  </si>
  <si>
    <t>026</t>
  </si>
  <si>
    <t>04</t>
  </si>
  <si>
    <t>324</t>
  </si>
  <si>
    <t>Stav na začiatku účtovného obdobia</t>
  </si>
  <si>
    <t>35. Informácie k časti J. písm. a) až e) prílohy č. 3 o daniach z príjmov</t>
  </si>
  <si>
    <t>Ostatné rezervy (323A, 32X, 459A, 45XA)</t>
  </si>
  <si>
    <t>C.  1.</t>
  </si>
  <si>
    <t>Zúčtovanie OP z dôvodu zániku opodstat-
nenosti</t>
  </si>
  <si>
    <t>Tržby z predaja služieb-ost.</t>
  </si>
  <si>
    <t>Tvorba a zúčtovanie opr.položiek k pohľ.</t>
  </si>
  <si>
    <t>Náklady na zákazkovú výstavbu nehnuteľnosti určenej na predaj</t>
  </si>
  <si>
    <t>N.1.</t>
  </si>
  <si>
    <t>Tovar</t>
  </si>
  <si>
    <t>x</t>
  </si>
  <si>
    <t>24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</si>
  <si>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</si>
  <si>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Dane a poplatky (účtovná skupina 53)</t>
  </si>
  <si>
    <t>003</t>
  </si>
  <si>
    <t>Emisné kvóty (komodity)</t>
  </si>
  <si>
    <t>Opis predmetu záložného práva</t>
  </si>
  <si>
    <t>501</t>
  </si>
  <si>
    <t>Účtovná hodnota DFM</t>
  </si>
  <si>
    <t>Zásoby</t>
  </si>
  <si>
    <t>421</t>
  </si>
  <si>
    <t>A. II.</t>
  </si>
  <si>
    <t xml:space="preserve">Ostatné realizovateľné CP a podiely  </t>
  </si>
  <si>
    <t>úver, pôžička</t>
  </si>
  <si>
    <t>Neuhradená strata minulých rokov</t>
  </si>
  <si>
    <t xml:space="preserve">Účtovný zisk </t>
  </si>
  <si>
    <t>Opravná položka k pohľadávkam</t>
  </si>
  <si>
    <t>103</t>
  </si>
  <si>
    <t>Stav na konci účtovného obdobia</t>
  </si>
  <si>
    <t>2. Informácie k časti F. písm. a) prílohy č. 3 o dlhodobom nehmotnom majetku</t>
  </si>
  <si>
    <t>DÚJ – dcérska účtovná jednotka</t>
  </si>
  <si>
    <t>Poskytnuté  preddavky</t>
  </si>
  <si>
    <t>Výnosy z hospodárskej činnosti spolu súčet (r.03 až r.09)</t>
  </si>
  <si>
    <t>Z nerozdeleného zisku minulých rokov</t>
  </si>
  <si>
    <t>548900</t>
  </si>
  <si>
    <t>DFM – dlhodobý finančný majetok</t>
  </si>
  <si>
    <t>Opravná pol. krátkodob. fin.majetku</t>
  </si>
  <si>
    <t>702000</t>
  </si>
  <si>
    <t>Tvorba OP</t>
  </si>
  <si>
    <t>Dlhodobý nehmotný majetok</t>
  </si>
  <si>
    <t>37</t>
  </si>
  <si>
    <t>B.IV.</t>
  </si>
  <si>
    <t>Tržby z predaja tovaru ( 604, 607 )</t>
  </si>
  <si>
    <t>128</t>
  </si>
  <si>
    <t>134</t>
  </si>
  <si>
    <t>Tržby z predaja služieb</t>
  </si>
  <si>
    <t>Pestovateľské celky 
trvalých porastov</t>
  </si>
  <si>
    <t>05</t>
  </si>
  <si>
    <t>predaj</t>
  </si>
  <si>
    <t>Dočasné rozdiely medzi účtovnou hodnotou majetku a daňovou základňou, z toho:</t>
  </si>
  <si>
    <t>Obstarávaný dlhodobý finančný majetok ( 043 ) - /096A/</t>
  </si>
  <si>
    <t>B,K,N,M</t>
  </si>
  <si>
    <t>702</t>
  </si>
  <si>
    <t>123</t>
  </si>
  <si>
    <t>Emisné kvóty</t>
  </si>
  <si>
    <t>Daň v %</t>
  </si>
  <si>
    <t>014</t>
  </si>
  <si>
    <t>Pôžičky prepojeným ÚJ (066A) - /096A/</t>
  </si>
  <si>
    <t>141</t>
  </si>
  <si>
    <t>Kurzové straty (563)</t>
  </si>
  <si>
    <t>Bežné účtovné obdobie</t>
  </si>
  <si>
    <t>Zmena odloženého daňového záväzku</t>
  </si>
  <si>
    <t>083</t>
  </si>
  <si>
    <t>518100</t>
  </si>
  <si>
    <t>145</t>
  </si>
  <si>
    <t>24. Informácie k časti G. písm. c) a d) prílohy č. 3 o záväzkoch</t>
  </si>
  <si>
    <t>Odberatelia tuzemsko</t>
  </si>
  <si>
    <t>379</t>
  </si>
  <si>
    <t>Názov položky</t>
  </si>
  <si>
    <t>Nerozdelený zisk min,rok DO 2010</t>
  </si>
  <si>
    <t>004</t>
  </si>
  <si>
    <t>Výsledok hospodárenia z hospodárskej činnosti (+/-) (r.02 - r. 10)</t>
  </si>
  <si>
    <t>Zákonné rezervné fondy r. 088 + r. 089</t>
  </si>
  <si>
    <t>429100</t>
  </si>
  <si>
    <t>013</t>
  </si>
  <si>
    <t>211</t>
  </si>
  <si>
    <t>106</t>
  </si>
  <si>
    <t>Stav OP  na začiatku účtovného obdobia</t>
  </si>
  <si>
    <t>IX.</t>
  </si>
  <si>
    <t>Obstarávanie krátkodobého finančného majetku</t>
  </si>
  <si>
    <t>Vyfakturované nároky za vykonanú prácu na zákazkovej výstavbe nehnuteľnosti určenej na predaj</t>
  </si>
  <si>
    <t>Ostatne NEdaňové nakl. na hospod.činnosť</t>
  </si>
  <si>
    <t>B.IV.  1.</t>
  </si>
  <si>
    <t>17. Informácie k časti F. písm. w)  prílohy č. 3 o krátkodobom finančnom majetku</t>
  </si>
  <si>
    <t>26</t>
  </si>
  <si>
    <t>Pohľadávky voči spoločníkom,členom a združeniu (354A,355A,358A,35XA) -/391A/</t>
  </si>
  <si>
    <t>Stav OP na začiatku účtovného obdobia</t>
  </si>
  <si>
    <t>521</t>
  </si>
  <si>
    <t>080</t>
  </si>
  <si>
    <t>381</t>
  </si>
  <si>
    <t xml:space="preserve">16. Informácie k časti F. písm. t) a u) prílohy č. 3  o pohľadávkach zabezpečených záložným právom alebo inou formou zabezpečenia   </t>
  </si>
  <si>
    <t>transfer</t>
  </si>
  <si>
    <t>X.</t>
  </si>
  <si>
    <t>Menovitá hodnota</t>
  </si>
  <si>
    <t>Krátkodobé bankové úvery</t>
  </si>
  <si>
    <t>Výnosy nepodliehajúce dani</t>
  </si>
  <si>
    <t>326</t>
  </si>
  <si>
    <t>Krátkodobý finančný majetok</t>
  </si>
  <si>
    <t>DHM – dlhodobý hmotný majetok</t>
  </si>
  <si>
    <t>Ostatné záväzky voči prepojeným ÚJ (471A,47XA)</t>
  </si>
  <si>
    <t>D.</t>
  </si>
  <si>
    <t>Odložený daňový záväzok (481A)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</si>
  <si>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</si>
  <si>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</si>
  <si>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</si>
  <si>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Ostatné pohľadávky z obchodného styku (311A,312A,313A,314A,315A,31XA)-/391A/</t>
  </si>
  <si>
    <t>Ostatné záväzky v rámci podielovej účasti okrem záväzkov voči prep.ÚJ  (471A, 47XA)</t>
  </si>
  <si>
    <t>Štatutárne fondy ( 423, 42X )</t>
  </si>
  <si>
    <t>Krátkodobé rezervy, z toho:</t>
  </si>
  <si>
    <t>vlastné imanie</t>
  </si>
  <si>
    <t>(4) V bodoch č. 3, 5 a 7 sa prvotným ocenením majetku rozumie jeho ocenenie podľa § 25 zákona.</t>
  </si>
  <si>
    <t>Ostatné záväzky z obchodného styku (321A,322A,324A,325A,326A,32XA,475A,476A,478A,47XA)</t>
  </si>
  <si>
    <t>Bezprostredne predchádzajúce 
účtovné obdobie</t>
  </si>
  <si>
    <t>Zostatok
Dal</t>
  </si>
  <si>
    <t>Zostatková cena predaného dlhodobého majetku a predaného materiálu ( 541, 542 )</t>
  </si>
  <si>
    <t>Bezprostred- 
ne predchádza-
júce účtovné obdobie</t>
  </si>
  <si>
    <t>Bežné bankové účty</t>
  </si>
  <si>
    <t>038</t>
  </si>
  <si>
    <t>Hodnota pohľadávky</t>
  </si>
  <si>
    <t>XIV.</t>
  </si>
  <si>
    <t>602</t>
  </si>
  <si>
    <t>324100</t>
  </si>
  <si>
    <t>Výnosy z kratkodobého finančného majetku súčet (r.36 až r.38)</t>
  </si>
  <si>
    <t>Druh obchodu</t>
  </si>
  <si>
    <t>Dlhové CP na obchodovanie</t>
  </si>
  <si>
    <t>2</t>
  </si>
  <si>
    <t>49</t>
  </si>
  <si>
    <t>Dlhodobé pôžičky spolu</t>
  </si>
  <si>
    <t>Ostatné dane a poplatky</t>
  </si>
  <si>
    <t>365</t>
  </si>
  <si>
    <t>062</t>
  </si>
  <si>
    <t>Telefón, internet</t>
  </si>
  <si>
    <t>56</t>
  </si>
  <si>
    <t>Nedokončená výroba a polotovary vlastnej výroby</t>
  </si>
  <si>
    <t>Vplyv ocenenia na výsledok hospodárenia bežného účtovného obdobia</t>
  </si>
  <si>
    <t>Daňové záväzky a dotácie ( 341, 342, 343, 345, 346, 347, 34X )</t>
  </si>
  <si>
    <t>479000</t>
  </si>
  <si>
    <t>36</t>
  </si>
  <si>
    <t>IS,020,S</t>
  </si>
  <si>
    <t>Vysporiadanie účtovnej straty</t>
  </si>
  <si>
    <t>Finančné účty r.072 + r. 073</t>
  </si>
  <si>
    <t>Pokladnica</t>
  </si>
  <si>
    <t>A. V. 1.</t>
  </si>
  <si>
    <t>3.</t>
  </si>
  <si>
    <t>Ostatný DNM</t>
  </si>
  <si>
    <t>Aktivované náklady na vývoj</t>
  </si>
  <si>
    <t>041</t>
  </si>
  <si>
    <t>Suma odloženej daňovej pohľadávky účtovanej ako náklad alebo výnos vyplývajúca zo zmeny sadzby dane z príjmov</t>
  </si>
  <si>
    <t>Daň z príjmov odložená (+/-) (592)</t>
  </si>
  <si>
    <t>A. IV. 1.</t>
  </si>
  <si>
    <t>Výdavky budúcich období dlhodobé ( 383A )</t>
  </si>
  <si>
    <t>Zamestnanci</t>
  </si>
  <si>
    <t xml:space="preserve">Zvieratá </t>
  </si>
  <si>
    <t>Hodnota</t>
  </si>
  <si>
    <t>Krátkodobé pohľadávky</t>
  </si>
  <si>
    <t>Kód druhu obchodu</t>
  </si>
  <si>
    <t>568100</t>
  </si>
  <si>
    <t>Odpisy o opravné položky dlhodobému NM a dlhodobému HM (r.22 + r.23)</t>
  </si>
  <si>
    <t>P A S Í V A</t>
  </si>
  <si>
    <t>Priemerný prepočítaný počet zamestnancov</t>
  </si>
  <si>
    <t>Prijaté preddavky</t>
  </si>
  <si>
    <t>Tabuľka č. 1</t>
  </si>
  <si>
    <t>Poskytnuté preddavky 
na zásoby</t>
  </si>
  <si>
    <t>Účet ziskov a strát</t>
  </si>
  <si>
    <t>Poskytnuté preddavky na dlhodobý HM ( 052 ) - /095A/</t>
  </si>
  <si>
    <t>074</t>
  </si>
  <si>
    <t>Ostatné záväzky voči spoločníkom</t>
  </si>
  <si>
    <t>Obstarávaný krátkodobý finančný majetok (259,314A) - /291A/</t>
  </si>
  <si>
    <t>Ostatné dlhodobé záväzky  EXXON</t>
  </si>
  <si>
    <t>Zo zákonného rezervného fondu</t>
  </si>
  <si>
    <t>Manká a škody</t>
  </si>
  <si>
    <t>Náklady budúcich období dlhodobé ( 381A,382A )</t>
  </si>
  <si>
    <t>Dátum splatnosti</t>
  </si>
  <si>
    <t>701</t>
  </si>
  <si>
    <t>084</t>
  </si>
  <si>
    <t>Dlhodobé bankové úvery</t>
  </si>
  <si>
    <t>Krátkodobé pohľadávky súčet (r. 054 + r. 058 až r. 065)</t>
  </si>
  <si>
    <t>Stav na začiatku účtovného obdobia</t>
  </si>
  <si>
    <t xml:space="preserve">5. Informácie k časti F. písm. c) prílohy č. 3 o dlhodobom hmotnom majetku </t>
  </si>
  <si>
    <t>záruka</t>
  </si>
  <si>
    <t>429118</t>
  </si>
  <si>
    <t>Pokladňa</t>
  </si>
  <si>
    <t>Vstup tuzemsko 19%</t>
  </si>
  <si>
    <t>Dlhodobý finančný majetok, na ktorý je zriadené záložné právo</t>
  </si>
  <si>
    <t>viac ako päť rokov</t>
  </si>
  <si>
    <t>501100</t>
  </si>
  <si>
    <t xml:space="preserve">12. Informácie k časti F. písm. p) prílohy č. 3 o zásobách, na ktoré je zriadené záložné právo </t>
  </si>
  <si>
    <t>315</t>
  </si>
  <si>
    <t>Záväzky po lehote splatnosti</t>
  </si>
  <si>
    <t>Ostatné výnosy z finančnej činnosti (668)</t>
  </si>
  <si>
    <t>B.  I. 1.</t>
  </si>
  <si>
    <t>32. Informácie k časti H. písm. b) prílohy č. 3 o zmene stavu vnútroorganizačných zásob</t>
  </si>
  <si>
    <t>551</t>
  </si>
  <si>
    <t>Ostatný dlhodobý hmotný majetok (029,02X,032) - / 089, 08X, 092A/</t>
  </si>
  <si>
    <t>Základné stádo a ťažné zvieratá</t>
  </si>
  <si>
    <t>Ostatné služby -sprostredkované</t>
  </si>
  <si>
    <t>Zvýšenie/ zníženie hodnoty (+/-)</t>
  </si>
  <si>
    <t>Zásoby, na ktoré je zriadené záložné právo</t>
  </si>
  <si>
    <t>343</t>
  </si>
  <si>
    <t>31</t>
  </si>
  <si>
    <t>38</t>
  </si>
  <si>
    <t>Záväzky so zostatkovou dobou splatnosti do jedneho roka vrátane</t>
  </si>
  <si>
    <t>Druh CP</t>
  </si>
  <si>
    <t>IV.</t>
  </si>
  <si>
    <t>137</t>
  </si>
  <si>
    <t>Oprávky</t>
  </si>
  <si>
    <t>101</t>
  </si>
  <si>
    <t>527000</t>
  </si>
  <si>
    <t>221200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</si>
  <si>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</si>
  <si>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</si>
  <si>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545</t>
  </si>
  <si>
    <t>051</t>
  </si>
  <si>
    <t>Počet</t>
  </si>
  <si>
    <t>Sociálne náklady ( 527, 528 )</t>
  </si>
  <si>
    <t>PS,Z,CO</t>
  </si>
  <si>
    <t>Vysvetlivky:</t>
  </si>
  <si>
    <t>144</t>
  </si>
  <si>
    <t>020</t>
  </si>
  <si>
    <t>A.VIII.</t>
  </si>
  <si>
    <t>Netto v bežnom
účtovnom období</t>
  </si>
  <si>
    <t>23. Informácie k časti G. písm. b) prílohy č. 3 o rezervách</t>
  </si>
  <si>
    <t>030</t>
  </si>
  <si>
    <t>701000</t>
  </si>
  <si>
    <t>Pôžičky ÚJ 
v kons. celku</t>
  </si>
  <si>
    <t>Finančný výnos</t>
  </si>
  <si>
    <t>Dlhodobý finančný majetok súčet (r. 022 až 032)</t>
  </si>
  <si>
    <t>Grafika, eventy</t>
  </si>
  <si>
    <t>546000</t>
  </si>
  <si>
    <t>Výdavky budúcich období krátkodobé ( 383A )</t>
  </si>
  <si>
    <t>Základné imanie ( 411 alebo +/-491 )</t>
  </si>
  <si>
    <t>Daň z príjmov</t>
  </si>
  <si>
    <t>531</t>
  </si>
  <si>
    <t>Opravné položky k finančnému majetku (+/-) (565)</t>
  </si>
  <si>
    <t>Bankové účty termínované</t>
  </si>
  <si>
    <t>Výsledok hospodárenia z finančnej činnosti (+/-) (r.29 - r.45)</t>
  </si>
  <si>
    <t>57</t>
  </si>
  <si>
    <t>12.</t>
  </si>
  <si>
    <t>Zaokrúhlené
(brutto)</t>
  </si>
  <si>
    <t>Účtovná hodnota</t>
  </si>
  <si>
    <t>Príjmy budúcich období krátkodobé ( 385A )</t>
  </si>
  <si>
    <t>33</t>
  </si>
  <si>
    <t>Zaokrúhlené
(sledované)</t>
  </si>
  <si>
    <t>547</t>
  </si>
  <si>
    <t>V.</t>
  </si>
  <si>
    <t>C.</t>
  </si>
  <si>
    <t>K.</t>
  </si>
  <si>
    <t>056</t>
  </si>
  <si>
    <t>562000</t>
  </si>
  <si>
    <t>Podiel.cenné papiere a podiely s podielovu účasťou okrem prepojených ÚJ  (062A) - /096A/</t>
  </si>
  <si>
    <t>094</t>
  </si>
  <si>
    <t>Pohľadávky z obchodného styku súčet (r.043 až r.045)</t>
  </si>
  <si>
    <t>049</t>
  </si>
  <si>
    <t>Obežný majetok  r.034 + r.041 + r.053 + r.066 + r.071</t>
  </si>
  <si>
    <t>378</t>
  </si>
  <si>
    <t>Výnosy z nehnuteľnosti na predaj</t>
  </si>
  <si>
    <t>Účty v bankách ( 221A, 22X +/-261 )</t>
  </si>
  <si>
    <t>Krátkodobé záväzky spolu</t>
  </si>
  <si>
    <t>Ostatné pohľadávky</t>
  </si>
  <si>
    <t>335000</t>
  </si>
  <si>
    <t>B.</t>
  </si>
  <si>
    <t>Majetok vykázaný v súvahe</t>
  </si>
  <si>
    <t>Poskytnuté preddavky tuzemsko</t>
  </si>
  <si>
    <t>Daň</t>
  </si>
  <si>
    <t>B. II. 1.</t>
  </si>
  <si>
    <t>Základné imanie</t>
  </si>
  <si>
    <t>19</t>
  </si>
  <si>
    <t>070</t>
  </si>
  <si>
    <t>B. I.</t>
  </si>
  <si>
    <t>Mesačný obrat
Má dať</t>
  </si>
  <si>
    <t>648</t>
  </si>
  <si>
    <t>032</t>
  </si>
  <si>
    <t>Poštovné</t>
  </si>
  <si>
    <t>054</t>
  </si>
  <si>
    <t>710</t>
  </si>
  <si>
    <t>Daňové pohľadávky a dotácie</t>
  </si>
  <si>
    <t>Citroen C1 BL753KG</t>
  </si>
  <si>
    <t>Krátkodobé pohľadávky spolu</t>
  </si>
  <si>
    <t>10</t>
  </si>
  <si>
    <t>Bankové účty - SF</t>
  </si>
  <si>
    <t>518500</t>
  </si>
  <si>
    <t>100</t>
  </si>
  <si>
    <t>43</t>
  </si>
  <si>
    <t>Pohľadávky z derivátových operácií (373A, 376A)</t>
  </si>
  <si>
    <t>Syntetický účet</t>
  </si>
  <si>
    <t>Ostatné záväzky v rámci podielovej účasti okrem záväzkov voči prep.ÚJ  (361A,36XA,471A,47XA)</t>
  </si>
  <si>
    <t>Zákonný rezervný fond</t>
  </si>
  <si>
    <t>iný obchod</t>
  </si>
  <si>
    <t>012</t>
  </si>
  <si>
    <t>Základ dane</t>
  </si>
  <si>
    <t>548000</t>
  </si>
  <si>
    <t>479100</t>
  </si>
  <si>
    <t>Odpis pohľadávky</t>
  </si>
  <si>
    <t>B. II.</t>
  </si>
  <si>
    <t>Záväzky r. 102 + r. 118 + r. 121 + r. 122 + r.136 + r. 139 + r. 140</t>
  </si>
  <si>
    <t>Zaúčtovaná do vlastného imania</t>
  </si>
  <si>
    <t>Zmena stavu vnútroorganizačných zásob (+/-) (účtovná skupina 61)</t>
  </si>
  <si>
    <t>Z. z., ktorou sa vydáva Štatistická klasifikácia ekonomických činností.</t>
  </si>
  <si>
    <t>518</t>
  </si>
  <si>
    <t>Zákonný rezervný fond a nedeliteľný fond (417A,418,421A,422)</t>
  </si>
  <si>
    <t>Za bežné účtovné obdobie</t>
  </si>
  <si>
    <t>Ostatné rezervy ( 459A, 45XA )</t>
  </si>
  <si>
    <t>Bežné bankové úvery ( 221A, 231, 232, 23X, 461A, 46XA )</t>
  </si>
  <si>
    <t>1.  Informácie k časti A. písm. c) prílohy č. 3 o počte zamestnancov</t>
  </si>
  <si>
    <t>Záväzky so zostatkovou dobou splatnosti nad päť rokov</t>
  </si>
  <si>
    <t>Prijaté preddavky tuzemsko</t>
  </si>
  <si>
    <t>Ostatné pohľadávky v rámci konsolidovaného celku</t>
  </si>
  <si>
    <t>Dočasné rozdiely medzi účtovnou hodnotou záväzkov a daňovou základňou, z toho:</t>
  </si>
  <si>
    <t>Náklady na sociálne poistenie ( 524, 525, 526 )</t>
  </si>
  <si>
    <t>Opravné položky k dlhodobému NM a dlhodobému HM ( 553 )</t>
  </si>
  <si>
    <t>059</t>
  </si>
  <si>
    <t>Ostatné výnosy z kratkodobého finančného majetku (666A)</t>
  </si>
  <si>
    <t>16</t>
  </si>
  <si>
    <t>J.</t>
  </si>
  <si>
    <t>Do splatnosti  od troch rokov do piatich rokov vrátane</t>
  </si>
  <si>
    <t>Poč.stav mesiaca
Má dať</t>
  </si>
  <si>
    <t>Zmluvy, ktoré sa neúčtujú na súvahových účtoch</t>
  </si>
  <si>
    <t>Poskytnuté preddavky na DNM</t>
  </si>
  <si>
    <t>Dlhodobé záväzky súčet (r. 103 + r. 107 až r. 117)</t>
  </si>
  <si>
    <t>4.</t>
  </si>
  <si>
    <t>Rozdelenie účtovného zisku</t>
  </si>
  <si>
    <t>Výnosy z dlhodobého finančného majetku súčet (r.32 až r.34)</t>
  </si>
  <si>
    <t>524100</t>
  </si>
  <si>
    <t>Stav v minulom
účtovnom období</t>
  </si>
  <si>
    <t>Zákonné sociálne zabezpečenie</t>
  </si>
  <si>
    <t>13</t>
  </si>
  <si>
    <t>Účet</t>
  </si>
  <si>
    <t>088</t>
  </si>
  <si>
    <t>Oprávky k Citroen C1</t>
  </si>
  <si>
    <t>Odberatelia</t>
  </si>
  <si>
    <t>079</t>
  </si>
  <si>
    <t>07</t>
  </si>
  <si>
    <t>A.  I. 1.</t>
  </si>
  <si>
    <t>Ostatná tvorba sociálneho fondu</t>
  </si>
  <si>
    <t>1.b.</t>
  </si>
  <si>
    <t>Tržby z predaja dlhodobého NM, dlhodobého HM a materiálu (641,642)</t>
  </si>
  <si>
    <t>Za bezprostredne predchádzajúce účtovné obdobie</t>
  </si>
  <si>
    <t>Zúčtovanie OP z dôvodu vyradenia majetku 
z účtovníctva</t>
  </si>
  <si>
    <t>Mzdové náklady</t>
  </si>
  <si>
    <t>002</t>
  </si>
  <si>
    <t>Dlhodobé pohľadávky</t>
  </si>
  <si>
    <t>Pohľadávky voči zamestnancom</t>
  </si>
  <si>
    <t>Mzdové náklady ( 521, 522 )</t>
  </si>
  <si>
    <t>28</t>
  </si>
  <si>
    <t>18. Informácie k časti  F. písm. x) prílohy č. 3 o vývoji opravnej položky ku krátkodobému finančnému majetku</t>
  </si>
  <si>
    <t>082300</t>
  </si>
  <si>
    <t>Pohľadávky z obchodného styku voči prepojeným ÚJ (311A,312A,313A,314A,315A,31XA)-/391A/</t>
  </si>
  <si>
    <t>Ostatné fondy zo zisku r. 091 + r. 092</t>
  </si>
  <si>
    <t>Obstarávaný  DFM</t>
  </si>
  <si>
    <t>Zmena reálnej hodnoty (+/-) s vplyvom na</t>
  </si>
  <si>
    <t>Ostatné náklady na finančnú činnosť (568,569)</t>
  </si>
  <si>
    <t>379300</t>
  </si>
  <si>
    <t>Dlhodobý finančný majetok spolu</t>
  </si>
  <si>
    <t>211200</t>
  </si>
  <si>
    <t>I.</t>
  </si>
  <si>
    <t>Tovar ( 132,133,13X,139 ) - /196,19X/</t>
  </si>
  <si>
    <t>06</t>
  </si>
  <si>
    <t>Výnosové úroky (r.40 + r.41)</t>
  </si>
  <si>
    <t>Ostatné dlhodobé záväzky  Robert Seidner</t>
  </si>
  <si>
    <t>Odpisy dlhodob.nehmot.a hmot.majetku</t>
  </si>
  <si>
    <t>III.</t>
  </si>
  <si>
    <t>336200</t>
  </si>
  <si>
    <t>Suma odloženej dani z príjmov, ktorá sa vzťahuje na položky účtované priamo na účty vlastného imania bez účtovania na účty nákladov a výnosov</t>
  </si>
  <si>
    <t>365000</t>
  </si>
  <si>
    <t>N.</t>
  </si>
  <si>
    <t>Obstarávaný dlhodobý nehmotný majetok  ( 041 ) - 093</t>
  </si>
  <si>
    <t>a počet riadkov v nich uvádzajú podľa potrieb účtovnej jednotky.</t>
  </si>
  <si>
    <t>Služby (účtovná skupina 51)</t>
  </si>
  <si>
    <t>29</t>
  </si>
  <si>
    <t>daňové poradenstvo</t>
  </si>
  <si>
    <t>017</t>
  </si>
  <si>
    <t>Suma istiny v príslušnej mene za bežné účtovné obdobie</t>
  </si>
  <si>
    <t>P.</t>
  </si>
  <si>
    <t>výsledok hospodárenia</t>
  </si>
  <si>
    <t>Kurzové zisky (663)</t>
  </si>
  <si>
    <t>11. Informácie k časti F. písm. o) prílohy č. 3 o opravných položkách k zásobám</t>
  </si>
  <si>
    <t>Časové rozlíšenie súčet (r. 142 až r. 145)</t>
  </si>
  <si>
    <t>411000</t>
  </si>
  <si>
    <t>Ostatné záväzky z obchodného styku (321A,475A,476A)</t>
  </si>
  <si>
    <t>Náklady na zákazkovú výrobu</t>
  </si>
  <si>
    <t>Stavby</t>
  </si>
  <si>
    <t>249</t>
  </si>
  <si>
    <t>Prevod podielov na výsledku hospodárenia spoločníkom (+/-) (596)</t>
  </si>
  <si>
    <t>068</t>
  </si>
  <si>
    <t>121</t>
  </si>
  <si>
    <t>Presuny</t>
  </si>
  <si>
    <t>Ostatné krátkodobé finančné výpomoci</t>
  </si>
  <si>
    <t>Dlhodobé rezervy, z toho:</t>
  </si>
  <si>
    <t>132</t>
  </si>
  <si>
    <t>Záväzky zo sociálneho poistenia ( 336A )</t>
  </si>
  <si>
    <t>568</t>
  </si>
  <si>
    <t>Obstarávaný DFM na účely vykonania vplyvu v inej ÚJ</t>
  </si>
  <si>
    <t>25</t>
  </si>
  <si>
    <t>Ostatné dlhodobé záväzky  Združenie</t>
  </si>
  <si>
    <t>Zaokrúhlené
(minulé)</t>
  </si>
  <si>
    <t>1.c.</t>
  </si>
  <si>
    <t>Náklady na krátkodobý finančný majetok (566)</t>
  </si>
  <si>
    <t>Sumár od začiatku zákazkovej výroby až do konca bežného účtovného obdobia</t>
  </si>
  <si>
    <t>Výstup tuzemsko 10%</t>
  </si>
  <si>
    <t>VII.</t>
  </si>
  <si>
    <t>5.</t>
  </si>
  <si>
    <t>Účtovná strata</t>
  </si>
  <si>
    <t>Náklady na precenenie cenných papierov a náklady na derivátové operácie (564,567)</t>
  </si>
  <si>
    <t>005</t>
  </si>
  <si>
    <t>531000</t>
  </si>
  <si>
    <t>Podiel ÚJ na hlasovacích právach v %</t>
  </si>
  <si>
    <t>Peniaze na ceste</t>
  </si>
  <si>
    <t>Opravy a udržovanie</t>
  </si>
  <si>
    <t>035</t>
  </si>
  <si>
    <t>ZI – základné imanie</t>
  </si>
  <si>
    <t>131</t>
  </si>
  <si>
    <t>XI.1.</t>
  </si>
  <si>
    <t>A K T Í V 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</si>
  <si>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</si>
  <si>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095</t>
  </si>
  <si>
    <t>Výsledok hospodárenia ÚJ, v ktorej má ÚJ umiestnený DFM</t>
  </si>
  <si>
    <t>A. II. 1</t>
  </si>
  <si>
    <t>Zaokrúhlené
(korekcia)</t>
  </si>
  <si>
    <t>036</t>
  </si>
  <si>
    <t>R.1.</t>
  </si>
  <si>
    <t>Výnosy z kratkodobého finančného majetku od prepojených ÚJ (666A)</t>
  </si>
  <si>
    <t>Finančný náklad</t>
  </si>
  <si>
    <t>Stavby ( 021 ) - / 081, 092A/</t>
  </si>
  <si>
    <t>08</t>
  </si>
  <si>
    <t xml:space="preserve">Iné </t>
  </si>
  <si>
    <t>21</t>
  </si>
  <si>
    <t>044</t>
  </si>
  <si>
    <t>Ostatné nákladové úroky ( 562A )</t>
  </si>
  <si>
    <t>Názov účtu</t>
  </si>
  <si>
    <t>Hospodársky výsledok v schval. konaní</t>
  </si>
  <si>
    <t>143</t>
  </si>
  <si>
    <t>Stav na konci účtovného obdobia</t>
  </si>
  <si>
    <t>Ostatný dlhodobý nehmotný majetok ( 019,01X ) - /079, 07X,091A/</t>
  </si>
  <si>
    <t>DNM – dlhodobý nehmotný majetok</t>
  </si>
  <si>
    <t>03</t>
  </si>
  <si>
    <t>Zákonné rezervy ( 451A )</t>
  </si>
  <si>
    <t>kúpa</t>
  </si>
  <si>
    <t>53</t>
  </si>
  <si>
    <t>Vyradenie dlhového CP z účtovníctva v účtovnom období</t>
  </si>
  <si>
    <t>L.</t>
  </si>
  <si>
    <t>034</t>
  </si>
  <si>
    <t>Názov položky</t>
  </si>
  <si>
    <t xml:space="preserve">Čerpanie sociálneho fondu </t>
  </si>
  <si>
    <t>Prídel do sociálneho fondu</t>
  </si>
  <si>
    <t>261</t>
  </si>
  <si>
    <t>27</t>
  </si>
  <si>
    <t>Dlhodobý hmotný majetok</t>
  </si>
  <si>
    <t>09</t>
  </si>
  <si>
    <t>Záv. v rámci pod.účasti okrem záv.voči prep.ÚJ (321A,322A,324A,325A,326A,32XA,475A,476A,478A,47XA)</t>
  </si>
  <si>
    <t>31. Informácie k časti G. písm. m) prílohy č. 3 o majetku prenajatom formou finančného prenájmu</t>
  </si>
  <si>
    <t>Poskytnuté preddavky na dlhodobý nehmotný majetok ( 051 ) - 095A</t>
  </si>
  <si>
    <t>Obstarávaný DNM</t>
  </si>
  <si>
    <t>336</t>
  </si>
  <si>
    <t>32</t>
  </si>
  <si>
    <t>01</t>
  </si>
  <si>
    <t>II.</t>
  </si>
  <si>
    <t>015</t>
  </si>
  <si>
    <t>Stav OP na konci účtovného obdobia</t>
  </si>
  <si>
    <t>pohľadávky</t>
  </si>
  <si>
    <t>23</t>
  </si>
  <si>
    <t>Splatnosť</t>
  </si>
  <si>
    <t>Hrubý zisk / hrubá strata</t>
  </si>
  <si>
    <t>428001</t>
  </si>
  <si>
    <t>Zásoby súčet (r. 035 až r.040)</t>
  </si>
  <si>
    <t>Možnosť umorovať daňovú stratu v budúcnosti</t>
  </si>
  <si>
    <t>Hodnota pohľadávok, na ktoré sa zriadilo záložné právo</t>
  </si>
  <si>
    <t>Čistý obrat (časť účt.tr. 6 podľa zákona)</t>
  </si>
  <si>
    <t>Popis</t>
  </si>
  <si>
    <t>40</t>
  </si>
  <si>
    <t>Poskytnuté preddavky na DFM</t>
  </si>
  <si>
    <t>A.III. 1.</t>
  </si>
  <si>
    <t>421000</t>
  </si>
  <si>
    <t>Záväzky z obch.styku v rámci pod.účasti okrem záv.voči prep.ÚJ (321A,475A,476A)</t>
  </si>
  <si>
    <t>V lehote splatnosti</t>
  </si>
  <si>
    <t>Iné pohľadávky (335A,33XA,371A,374A,375A,378A) - /391A/</t>
  </si>
  <si>
    <t>024</t>
  </si>
  <si>
    <t>Kratkodobé finačné výpomoci ( 241, 249, 24X, 473A, /-/255A )</t>
  </si>
  <si>
    <t>6. Informácie k časti F. písm. j) prílohy č. 3 o  dlhodobom finančnom majetku</t>
  </si>
  <si>
    <t>Ostatné služby</t>
  </si>
  <si>
    <t>Oceňovacie rozdiely z precenenia majetku a záväzkov (+/-414)</t>
  </si>
  <si>
    <t>138</t>
  </si>
  <si>
    <t>4.  Informácie k časti F. písm. a) prílohy č. 3 o dlhodobom hmotnom majetku</t>
  </si>
  <si>
    <t>ostatné neaudítorské služby</t>
  </si>
  <si>
    <r>
      <t>Krátkodobé finančné výpomoci</t>
    </r>
    <r>
      <rPr>
        <sz val="8"/>
        <color theme="1"/>
        <rFont val="Arial"/>
        <family val="2"/>
      </rPr>
      <t> </t>
    </r>
  </si>
  <si>
    <t>009</t>
  </si>
  <si>
    <t>053</t>
  </si>
  <si>
    <t>Ostatné náklady na hospodársku činnosť (543,544,545,546,548,549,555,557)</t>
  </si>
  <si>
    <t>Ostatné pohľ. v rámci podielovej účasti okrem pohľ.voči prep.ÚJ  (351A) - /391A/</t>
  </si>
  <si>
    <t>016</t>
  </si>
  <si>
    <t>58</t>
  </si>
  <si>
    <t>Časové rozlíšenie súčet r. 075 až r.078</t>
  </si>
  <si>
    <t>025</t>
  </si>
  <si>
    <t>45</t>
  </si>
  <si>
    <t>33. Informácie k časti H. písm. g)  prílohy č. 3 o čistom obrate</t>
  </si>
  <si>
    <t>Čistý obrat celkom</t>
  </si>
  <si>
    <t>042</t>
  </si>
  <si>
    <t>Dlhodobé záväzky z derivátových operácií (373A, 377A)</t>
  </si>
  <si>
    <t>S,M</t>
  </si>
  <si>
    <t>Bankové účty</t>
  </si>
  <si>
    <t>52</t>
  </si>
  <si>
    <t>59</t>
  </si>
  <si>
    <t>342100</t>
  </si>
  <si>
    <t>Krátkodobé rezervy r.137 +r.138</t>
  </si>
  <si>
    <t>Úroky</t>
  </si>
  <si>
    <t>47</t>
  </si>
  <si>
    <t>Ostatné výnosy z hospodárskej činnosti</t>
  </si>
  <si>
    <t>Odpisy dlhodobého nehmot.a hmot.majetku</t>
  </si>
  <si>
    <t>Ostatné výnosy z cenných papierov a podielov (665 A)</t>
  </si>
  <si>
    <t>60</t>
  </si>
  <si>
    <t>Dlhodobé pohľadávky spolu</t>
  </si>
  <si>
    <t>428000</t>
  </si>
  <si>
    <t>120</t>
  </si>
  <si>
    <t>do jedného roka vrátane</t>
  </si>
  <si>
    <t>Možnosť previesť nevyužité daňové odpočty</t>
  </si>
  <si>
    <t>Dlhodobé pohľadávky súčet (r.042 + r.046 až r.052)</t>
  </si>
  <si>
    <t>058</t>
  </si>
  <si>
    <t>221</t>
  </si>
  <si>
    <t>602000</t>
  </si>
  <si>
    <t>Odložená daňová pohľadávka</t>
  </si>
  <si>
    <t>073</t>
  </si>
  <si>
    <t>Výrobky ( 123 ) - /194/</t>
  </si>
  <si>
    <t>545000</t>
  </si>
  <si>
    <t>099</t>
  </si>
  <si>
    <t>311100</t>
  </si>
  <si>
    <t>140</t>
  </si>
  <si>
    <t>Dlhodobý nehmotný majetok  súčet (r.004 až 010)</t>
  </si>
  <si>
    <t>Poskytnuté preddavky na zásoby ( 314A ) - /391A/</t>
  </si>
  <si>
    <r>
      <t>Dlhodobé pôžičky</t>
    </r>
    <r>
      <rPr>
        <sz val="8"/>
        <color theme="1"/>
        <rFont val="Arial"/>
        <family val="2"/>
      </rPr>
      <t> </t>
    </r>
  </si>
  <si>
    <t>431000</t>
  </si>
  <si>
    <t>XI.</t>
  </si>
  <si>
    <t>úradom Slovenskej republiky.</t>
  </si>
  <si>
    <t>PHM Citroen 753 KG</t>
  </si>
  <si>
    <t>037</t>
  </si>
  <si>
    <t>Mesačný obrat
Dal</t>
  </si>
  <si>
    <t>345000</t>
  </si>
  <si>
    <t>Celkový obrat
Dal</t>
  </si>
  <si>
    <t>Tržby z predaja služieb</t>
  </si>
  <si>
    <t>kons. – konsolidovaný</t>
  </si>
  <si>
    <t>Ostatné dlhodobé záväzky</t>
  </si>
  <si>
    <t>Zostatková hodnota</t>
  </si>
  <si>
    <t>Dlhové CP držané 
do splatnosti</t>
  </si>
  <si>
    <t>052</t>
  </si>
  <si>
    <t>Opravné položky k zásobám (+/-) (505)</t>
  </si>
  <si>
    <t>Náklady vynaložené na obstaranie predaného tovaru ( 504, 507)</t>
  </si>
  <si>
    <t>obchodné zastúpenie</t>
  </si>
  <si>
    <t>Náklady bud.období - poistné</t>
  </si>
  <si>
    <t>(5) V bodoch č. 2, 9, 22, 25, 29, 30, 31, 32, 35, 37, 39, 46, 48 a 49 sa obsahová náplň tabuliek</t>
  </si>
  <si>
    <t>Daň z príjmov ( r.58+r.59)</t>
  </si>
  <si>
    <t>Záväzky z derivátových operácií (373A, 377A)</t>
  </si>
  <si>
    <t>114</t>
  </si>
  <si>
    <t>Odložený daňový záväzok</t>
  </si>
  <si>
    <t>085</t>
  </si>
  <si>
    <t>076</t>
  </si>
  <si>
    <t>Úhrada straty spoločníkmi</t>
  </si>
  <si>
    <t>BS,015,B</t>
  </si>
  <si>
    <t>34. Informácie k časti I. prílohy č. 3 o nákladoch voči audítorovi, audítorskej spoločnosti</t>
  </si>
  <si>
    <t>Celkový obrat
Má dať</t>
  </si>
  <si>
    <t>Pohľadávky z obchodného styku súčet (r. 055 až r. 057)</t>
  </si>
  <si>
    <t>345</t>
  </si>
  <si>
    <t>Spotreba materiálu,energie a ostatných neskladovateľných dodávok (501,502,503)</t>
  </si>
  <si>
    <t>Netto v minulom
účtovnom období</t>
  </si>
  <si>
    <t>Softvér</t>
  </si>
  <si>
    <t>518510</t>
  </si>
  <si>
    <t>Nerozdelený zisk minulých rokov</t>
  </si>
  <si>
    <t>472</t>
  </si>
  <si>
    <t>291000</t>
  </si>
  <si>
    <t>033</t>
  </si>
  <si>
    <t>135</t>
  </si>
  <si>
    <t>XII.</t>
  </si>
  <si>
    <t>Dlhodobé pôžičky</t>
  </si>
  <si>
    <t>Hodnota zákazkovej výroby</t>
  </si>
  <si>
    <t>Spolu vlastné imanie a záväzky ( r.080 + r.101 + r.141 )</t>
  </si>
  <si>
    <t>Označenie</t>
  </si>
  <si>
    <t>Zaokrúhlené
(netto)</t>
  </si>
  <si>
    <t>Rezervný fond na vlastné akcie a vlastné podiely ( 417A,421A )</t>
  </si>
  <si>
    <t>Zmena stavu vnútroorga-nizačných zásob vo výkaze ziskov a strát</t>
  </si>
  <si>
    <t>Použitie</t>
  </si>
  <si>
    <t>Zmena stavu vnútroorganizačných zásob</t>
  </si>
  <si>
    <t>Ostatné výnosy z hospodárskej činnosti (644,645,646,648,655,657)</t>
  </si>
  <si>
    <t>Do splatnosti viac ako päť rokov</t>
  </si>
  <si>
    <t>výpomoc</t>
  </si>
  <si>
    <t>A. I.1.</t>
  </si>
  <si>
    <t>511000</t>
  </si>
  <si>
    <t>Peniaze na ceste</t>
  </si>
  <si>
    <t>098</t>
  </si>
  <si>
    <t>Zaúčtovaná  ako náklad</t>
  </si>
  <si>
    <t>006</t>
  </si>
  <si>
    <t>Zrušenie</t>
  </si>
  <si>
    <t>BS,110,S</t>
  </si>
  <si>
    <t>34</t>
  </si>
  <si>
    <t>Sociálne poistenie ( 336A ) - /391A/</t>
  </si>
  <si>
    <t>Ostatné kapitálové fondy ( 413 )</t>
  </si>
  <si>
    <t>Poč.stav mesiaca
Dal</t>
  </si>
  <si>
    <t>551000</t>
  </si>
  <si>
    <t>Výsledok hospodárenia za účtovné obdobie po zdanení (+-)</t>
  </si>
  <si>
    <t>(2) Daňové identifikačné číslo (DIČ) sa vyplňuje, ak ho má účtovná jednotka pridelené.</t>
  </si>
  <si>
    <t>Dlhové cen.papiere a ostatný dlhodobý finančný majetok ( 065A,069A,06XA ) - /096A/</t>
  </si>
  <si>
    <t>Oceniteľné práva ( 014 ) - /074, 091A/</t>
  </si>
  <si>
    <t>521100</t>
  </si>
  <si>
    <t>Oceňovacie rozdiely z precenenia súčet (r. 094 až r. 096)</t>
  </si>
  <si>
    <t>Krátkodobý  finančný majetok</t>
  </si>
  <si>
    <t>Zaúčtovaná ako náklad</t>
  </si>
  <si>
    <t>M.</t>
  </si>
  <si>
    <t xml:space="preserve">Suma prijatých preddavkov </t>
  </si>
  <si>
    <t>343200</t>
  </si>
  <si>
    <t>CP – cenný papier</t>
  </si>
  <si>
    <t>Ostat.služby</t>
  </si>
  <si>
    <t>Začiatočný účet súvahový</t>
  </si>
  <si>
    <t>10.</t>
  </si>
  <si>
    <t>30. Informácie k časti G. písm. l) prílohy č. 3 o položkách zabezpečených derivátmi</t>
  </si>
  <si>
    <t>391000</t>
  </si>
  <si>
    <t>Nevyfakturované dodávky</t>
  </si>
  <si>
    <t>342000</t>
  </si>
  <si>
    <t>Softwér ( 013 ) - /073, 091A/</t>
  </si>
  <si>
    <t>Osobné náklady ( r.16 až r.19 )</t>
  </si>
  <si>
    <t>Zvieratá ( 124 ) - /195/</t>
  </si>
  <si>
    <t>Zo štatutárnych a ostatných fondov</t>
  </si>
  <si>
    <t>iné uisťovacie audítorské služby</t>
  </si>
  <si>
    <t>Výnosy zo zákazky</t>
  </si>
  <si>
    <t>Pokladnica, ceniny</t>
  </si>
  <si>
    <t>Náklady budúcich období krátkodobé ( 381A,382A )</t>
  </si>
  <si>
    <t>T E X T</t>
  </si>
  <si>
    <t>112</t>
  </si>
  <si>
    <t>Podiel ÚJ na ZI v  %</t>
  </si>
  <si>
    <t>Iné</t>
  </si>
  <si>
    <t>Zákonné sociálne poistenie</t>
  </si>
  <si>
    <t>063</t>
  </si>
  <si>
    <t>Poč.stav k 1.1.
Má dať</t>
  </si>
  <si>
    <t>26. Informácie k časti G. písm. g) prílohy č. 3 o záväzkoch zo sociálneho fondu</t>
  </si>
  <si>
    <t>648000</t>
  </si>
  <si>
    <t>Dodávatelia</t>
  </si>
  <si>
    <t>081</t>
  </si>
  <si>
    <t>087</t>
  </si>
  <si>
    <t>X.1.</t>
  </si>
  <si>
    <t>591000</t>
  </si>
  <si>
    <t>Samostatné hnuteľné veci a súbory hnuteľných vecí (022) -/082, 092A/</t>
  </si>
  <si>
    <t>Dlhové CP držané do splatnosti spolu</t>
  </si>
  <si>
    <t>Nedokonč. výroba a polotovary (121,122, 12X) - /192,193,19X/</t>
  </si>
  <si>
    <t>Aktivácia (účtovná skupina 62)</t>
  </si>
  <si>
    <t>077</t>
  </si>
  <si>
    <t>odpočítateľné</t>
  </si>
  <si>
    <t>117</t>
  </si>
  <si>
    <t>315000</t>
  </si>
  <si>
    <t>710000</t>
  </si>
  <si>
    <t>Očakávané budúce obchody dosiaľ zmluvne nezabezpečené</t>
  </si>
  <si>
    <t>086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</si>
  <si>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</si>
  <si>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</si>
  <si>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</si>
  <si>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****</t>
  </si>
  <si>
    <t>Vyfakturované nároky za vykonanú prácu na zákazkovej výrobe</t>
  </si>
  <si>
    <t>54</t>
  </si>
  <si>
    <t>1.a.</t>
  </si>
  <si>
    <t>Aktivované náklady na vývoj (012) - /072,091A/</t>
  </si>
  <si>
    <t>Oceňovacie rozdiely z kapitalových účastnín ( +/- 415 )</t>
  </si>
  <si>
    <t>113</t>
  </si>
  <si>
    <t>Krátkodobý  finančný majetok, na ktorý bolo zriadené záložné právo</t>
  </si>
  <si>
    <t>(6) V bode č. 46 sa kód druhu obchodu vyplňuje takto:</t>
  </si>
  <si>
    <t>B.III.</t>
  </si>
  <si>
    <t>GL,PS,013,MD-D</t>
  </si>
  <si>
    <t>náklady za overenie individuálnej účtovnej závierky</t>
  </si>
  <si>
    <t>007</t>
  </si>
  <si>
    <t>139</t>
  </si>
  <si>
    <t>527</t>
  </si>
  <si>
    <t>Goodwill (015) - /075,091A/</t>
  </si>
  <si>
    <t>Materiál</t>
  </si>
  <si>
    <t>261000</t>
  </si>
  <si>
    <t>Oprávky k samostat.hnut.veciam a súborom</t>
  </si>
  <si>
    <t>C.   1.</t>
  </si>
  <si>
    <t>Čistá hodnota zákazky (316A)</t>
  </si>
  <si>
    <t>A. IV.</t>
  </si>
  <si>
    <t>Bezprostredne predchádzajúce účtovné obdobie</t>
  </si>
  <si>
    <t>Mena</t>
  </si>
  <si>
    <t>518400</t>
  </si>
  <si>
    <t>Ostatné finančné náklady</t>
  </si>
  <si>
    <t>Dary</t>
  </si>
  <si>
    <t>Pohľadávky z obchodného styku</t>
  </si>
  <si>
    <t>A.VI.1.</t>
  </si>
  <si>
    <t>Tvorba OP</t>
  </si>
  <si>
    <t>SP</t>
  </si>
  <si>
    <t>428</t>
  </si>
  <si>
    <t>Tvorba 
OP</t>
  </si>
  <si>
    <t>027</t>
  </si>
  <si>
    <t>Stav  OP na konci účtovného obdobia</t>
  </si>
  <si>
    <t>107</t>
  </si>
  <si>
    <t>DPH- zúčtovanie s DÚ</t>
  </si>
  <si>
    <t>H.</t>
  </si>
  <si>
    <t>Iné záväzky ( 372A, 379A, 474A, 475A, 479A, 47XA )</t>
  </si>
  <si>
    <t>Samostatné hnuteľné veci a súbory hnuteľných vecí</t>
  </si>
  <si>
    <t>Dlhodobé bankové úvery ( 461A, 46XA )</t>
  </si>
  <si>
    <t>Pokladňa EUR</t>
  </si>
  <si>
    <t>291</t>
  </si>
  <si>
    <t>Konečný zostatok sociálneho fondu</t>
  </si>
  <si>
    <t>343819</t>
  </si>
  <si>
    <t>F.</t>
  </si>
  <si>
    <t>Účty v bankách s dobou viazanosti dhšou ako 1 rok (22XA)</t>
  </si>
  <si>
    <t>115</t>
  </si>
  <si>
    <t>Spotreba materiálu</t>
  </si>
  <si>
    <t>30</t>
  </si>
  <si>
    <t>Zmena základného imania +/- 419</t>
  </si>
  <si>
    <t>17</t>
  </si>
  <si>
    <t>Q.</t>
  </si>
  <si>
    <t>poskytnutie služby</t>
  </si>
  <si>
    <t>Pôžičky v rámci podielovej účasti okrem prepojeným ÚJ (066A) - /096A/</t>
  </si>
  <si>
    <t>069</t>
  </si>
  <si>
    <t>Daň z príjmov splatná (591,595)</t>
  </si>
  <si>
    <t>Číslo 
riad.</t>
  </si>
  <si>
    <t>Zníženie hodnoty</t>
  </si>
  <si>
    <t>Tžby z predaja vlastných výrobkov ( 601 )</t>
  </si>
  <si>
    <t>A. V.</t>
  </si>
  <si>
    <t>050</t>
  </si>
  <si>
    <t>Pohľadávky za upísané vlastné imanie ( /-/353 )</t>
  </si>
  <si>
    <t>Peniaze ( 211,213,21X )</t>
  </si>
  <si>
    <t>Ostatné výnosové úroky (662A)</t>
  </si>
  <si>
    <t>Ostatné fondy ( 427, 42X )</t>
  </si>
  <si>
    <t>Výsledok hospodárenia pred  zdanením, z toho:</t>
  </si>
  <si>
    <t>Obchodné meno a sídlo spoločnosti, v ktorej má ÚJ umiestnený DFM</t>
  </si>
  <si>
    <t>381110</t>
  </si>
  <si>
    <t>040</t>
  </si>
  <si>
    <t>Ostatné dlhodobé zázäzky ( 479A, 47XA )</t>
  </si>
  <si>
    <t>Iné záväzky</t>
  </si>
  <si>
    <t>Ostatné pôžičky (067A) - /096A/</t>
  </si>
  <si>
    <t>111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</si>
  <si>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</si>
  <si>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</si>
  <si>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</si>
  <si>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</si>
  <si>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>G.</t>
  </si>
  <si>
    <t>Emisné ážio ( 412 )</t>
  </si>
  <si>
    <t xml:space="preserve">7. Informácie k časti F. písm. m) prílohy č. 3 o dlhodobom finančnom majetku </t>
  </si>
  <si>
    <t>R.</t>
  </si>
  <si>
    <t xml:space="preserve">22. Informácie k časti G. písm. a) tretiemu bodu prílohy č. 3 o rozdelení účtovného zisku alebo o vysporiadaní účtovnej straty </t>
  </si>
  <si>
    <t>Spotreba mat.-drobný nákup</t>
  </si>
  <si>
    <t>Ostatné záväzky voči prepojeným ÚJ (361A,36XA,471A,47XA)</t>
  </si>
  <si>
    <t>381000</t>
  </si>
  <si>
    <t>11.</t>
  </si>
  <si>
    <t>Dlhodobé záväzky spolu</t>
  </si>
  <si>
    <t>E.</t>
  </si>
  <si>
    <t>045</t>
  </si>
  <si>
    <t>27. Informácie k časti G. písm. h) prílohy č. 3 o vydaných dlhopisoch</t>
  </si>
  <si>
    <t>Do splatnosti od troch rokov do piatich rokov vrátane</t>
  </si>
  <si>
    <t>Do splatnosti od jedného roka do troch rokov vrátane</t>
  </si>
  <si>
    <t>VI – vlastné imanie</t>
  </si>
  <si>
    <t>072</t>
  </si>
  <si>
    <t>A.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</si>
  <si>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</si>
  <si>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</si>
  <si>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548</t>
  </si>
  <si>
    <t>Krátkodobý fin.maj.bez krátkod.fin.maj. v prepojených ÚJ (251A,253A,256A,257A,25XA) - /291A,29XA/</t>
  </si>
  <si>
    <t>Samostat. hnuteľné veci a súbory h. vecí</t>
  </si>
  <si>
    <t>Do splatnosti do jedného roka vrátane</t>
  </si>
  <si>
    <t>Reprezentačné</t>
  </si>
  <si>
    <t>538</t>
  </si>
  <si>
    <t>Oceniteľné práva</t>
  </si>
  <si>
    <t>Ostatné priame dane</t>
  </si>
  <si>
    <t>E.1.</t>
  </si>
  <si>
    <t>B.IV. 1.</t>
  </si>
  <si>
    <t>Suma prijatých preddavkov</t>
  </si>
  <si>
    <t>Ostatné služby -ostatné</t>
  </si>
  <si>
    <t>61</t>
  </si>
  <si>
    <t>licencia</t>
  </si>
  <si>
    <t>11</t>
  </si>
  <si>
    <t>Vyradenie pôžičky z účtovníctva 
v účtovnom období</t>
  </si>
  <si>
    <t>091</t>
  </si>
  <si>
    <t>126</t>
  </si>
  <si>
    <t>221100</t>
  </si>
  <si>
    <t>501320</t>
  </si>
  <si>
    <t>Nerozdelený zisk 2014</t>
  </si>
  <si>
    <t>048</t>
  </si>
  <si>
    <t>Prídel do štatutárnych a ostatných fondov</t>
  </si>
  <si>
    <t>022</t>
  </si>
  <si>
    <t>378000</t>
  </si>
  <si>
    <t>Splatná daň z príjmov</t>
  </si>
  <si>
    <t>Goodwill</t>
  </si>
  <si>
    <t>Materiál ( 112, 119, 11X ) - / 191, 19X /</t>
  </si>
  <si>
    <t>Dlhodobý finančný majetok</t>
  </si>
  <si>
    <t>Odpisy dlhodobého NM a dlhodobého HM ( 551 )</t>
  </si>
  <si>
    <t>Úrok</t>
  </si>
  <si>
    <t>Za bežné 
účtovné obdobie</t>
  </si>
  <si>
    <t>342</t>
  </si>
  <si>
    <t>097</t>
  </si>
  <si>
    <t>Krátkodobé záväzky  súčet ( r. 123 + r. 127 až r. 135)</t>
  </si>
  <si>
    <t>604</t>
  </si>
  <si>
    <t>116</t>
  </si>
  <si>
    <t>Náklady na finančnú činnosť spolu r.46+r.47+r.48+r.49+r.52+r.53+r.54</t>
  </si>
  <si>
    <t>8.</t>
  </si>
  <si>
    <t>A. VII.</t>
  </si>
  <si>
    <t>Náklady na obstaranie nehnuteľnosti na predaj od začiatku obstarávania</t>
  </si>
  <si>
    <t>Poč.stav k 1.1.
Dal</t>
  </si>
  <si>
    <t>Predané cenné papiere a podiely (561)</t>
  </si>
  <si>
    <t>Hodnota za bežné účtovné obdobie</t>
  </si>
  <si>
    <t>Zabezpečovaná položka</t>
  </si>
  <si>
    <t>**</t>
  </si>
  <si>
    <t>Zúčtovanie OP z dôvodu zániku opodstatnenosti</t>
  </si>
  <si>
    <t>Emisný kurz</t>
  </si>
  <si>
    <t>39</t>
  </si>
  <si>
    <t>518300</t>
  </si>
  <si>
    <t>078</t>
  </si>
  <si>
    <t>075</t>
  </si>
  <si>
    <t>110</t>
  </si>
  <si>
    <t>249000</t>
  </si>
  <si>
    <t>Sadzba dane z príjmov ( v %)</t>
  </si>
  <si>
    <t>Zúčt. s inštitúciami soc. zabezpečenia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</si>
  <si>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</si>
  <si>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</si>
  <si>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</si>
  <si>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</si>
  <si>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</si>
  <si>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008</t>
  </si>
  <si>
    <t>počet vedúcich zamestnancov</t>
  </si>
  <si>
    <t>Dlhodobý hmotný majetok súčet (r. 012 až 020)</t>
  </si>
  <si>
    <t>***</t>
  </si>
  <si>
    <t>Sumár od začiatku zákazkovej výstavby nehnuteľnosti určenej 
na predaj až do konca bežného účtovného obdobia</t>
  </si>
  <si>
    <t>Po lehote splatnosti</t>
  </si>
  <si>
    <t>know-how</t>
  </si>
  <si>
    <t>011</t>
  </si>
  <si>
    <t>B.  V. 1.</t>
  </si>
  <si>
    <t>2.</t>
  </si>
  <si>
    <t>50</t>
  </si>
  <si>
    <t>Vydané dlhopisy ( 473A/-/255A )</t>
  </si>
  <si>
    <t>6.</t>
  </si>
  <si>
    <t>Zostatok
Má dať</t>
  </si>
  <si>
    <t>336100</t>
  </si>
  <si>
    <t>Pohľadávky voči dcérskej účtovnej jednotke a materskej účtovnej jednotke</t>
  </si>
  <si>
    <t>092</t>
  </si>
  <si>
    <t>Podiel.cenné papiere a podiely v prepojených ÚJ (061A,062A,063A) - /096A/</t>
  </si>
  <si>
    <t>Dohodnutá cena  podkladového nástroja</t>
  </si>
  <si>
    <t>Majetkové CP na obchodovanie</t>
  </si>
  <si>
    <t>Náklady voči audítorovi, audítorskej spoločnosti, z toho:</t>
  </si>
  <si>
    <t>010</t>
  </si>
  <si>
    <t>124</t>
  </si>
  <si>
    <t>Daň z príjmov z bež. čin. - splatná</t>
  </si>
  <si>
    <t>Úhrada straty minulých období</t>
  </si>
  <si>
    <t>127</t>
  </si>
  <si>
    <t>Uplatnená daňová pohľadávka</t>
  </si>
  <si>
    <t>Dcérske účtovné jednotky</t>
  </si>
  <si>
    <t>105</t>
  </si>
  <si>
    <t>Dlhodobé zmenky na úhradu ( 478A )</t>
  </si>
  <si>
    <t>061</t>
  </si>
  <si>
    <t>Pozemky</t>
  </si>
  <si>
    <t>Podielové CP a podiely 
v spoločnosti
s podstatným
vplyvom</t>
  </si>
  <si>
    <t>Tržby za tovar</t>
  </si>
  <si>
    <t>524</t>
  </si>
  <si>
    <t>Nákladové úroky na prepojené ÚJ ( 562A )</t>
  </si>
  <si>
    <t>001</t>
  </si>
  <si>
    <t>Pohľadávky voči spoločníkom,členom a združeniu (354A,355A,358A,35XA,398A) -/391A/</t>
  </si>
  <si>
    <t>IX.1.</t>
  </si>
  <si>
    <t>431</t>
  </si>
  <si>
    <t>44</t>
  </si>
  <si>
    <t>Záväzky voči spoločníkom a združeniu ( 364, 365, 366, 367, 368, 398A, 478A, 479A)</t>
  </si>
  <si>
    <t>Ostatné náklady na hosp.činnosť</t>
  </si>
  <si>
    <t>15. Informácie k časti F. písm. s) prílohy č. 3 o  vekovej štruktúre pohľadávok</t>
  </si>
  <si>
    <t>Zakladné stádo a ťažné zvieratá ( 026 ) - / 086, 092A/</t>
  </si>
  <si>
    <t>118</t>
  </si>
  <si>
    <t>Záväzky zo sociálneho fondu</t>
  </si>
  <si>
    <t>A. III.</t>
  </si>
  <si>
    <t>9. Informácie k časti F. písm. j) a l) prílohy č. 3 o dlhových CP držaných do splatnosti</t>
  </si>
  <si>
    <t>Hrubé mzdy zamestnancov</t>
  </si>
  <si>
    <t>Záväzky z obchodného styku súčet (r. 124 až r. 126)</t>
  </si>
  <si>
    <t>022300</t>
  </si>
  <si>
    <t>311</t>
  </si>
  <si>
    <t>7.</t>
  </si>
  <si>
    <t>Krátkodobý finančný majetok súčet (r.067 až r.070)</t>
  </si>
  <si>
    <t>Tržby za tovar</t>
  </si>
  <si>
    <t>Výnosy z precenenia cenných papierov a výnosy z derivátových operácií (664,667)</t>
  </si>
  <si>
    <t>Zvieratá</t>
  </si>
  <si>
    <t>35</t>
  </si>
  <si>
    <t>Stav na začiatku účtovného obdobia</t>
  </si>
  <si>
    <t>36. Informácie k časti J.  písm. f) a g) prílohy č. 3 o daniach z príjmov</t>
  </si>
  <si>
    <t>341</t>
  </si>
  <si>
    <t/>
  </si>
  <si>
    <t>046</t>
  </si>
  <si>
    <t>Umorenie daňovej straty</t>
  </si>
  <si>
    <t>Sociálne poistenie</t>
  </si>
  <si>
    <t>211100</t>
  </si>
  <si>
    <t>Výsledok hospodárenia za účtovné obdobie po zdanení (+/-) (r.56 - r.57 - r.60)</t>
  </si>
  <si>
    <t>Vlastné akcie a vlastné obchodné podiely (252)</t>
  </si>
  <si>
    <t>Stav  OP na začiatku účtovného obdobia</t>
  </si>
  <si>
    <t>Ostatné náklady na hospodársku činnosť</t>
  </si>
  <si>
    <t>42</t>
  </si>
  <si>
    <t>Deriváty určené na obchodovanie, z toho:</t>
  </si>
  <si>
    <t>Zvýšenie hodnoty</t>
  </si>
  <si>
    <t>Neuhradená strata 2018</t>
  </si>
  <si>
    <t>055</t>
  </si>
  <si>
    <t>Výnosy budúcich období krátkodobé ( 384A )</t>
  </si>
  <si>
    <t>047</t>
  </si>
  <si>
    <t>321100</t>
  </si>
  <si>
    <t>108</t>
  </si>
  <si>
    <t>Tvorba</t>
  </si>
  <si>
    <t>Ine zavazky</t>
  </si>
  <si>
    <t>Zásoby spolu</t>
  </si>
  <si>
    <t>Neuhradená strata 2017</t>
  </si>
  <si>
    <t>Konečný zostatok</t>
  </si>
  <si>
    <t>Tržby za vlastné výrobky</t>
  </si>
  <si>
    <t>Konečný účet súvahový</t>
  </si>
  <si>
    <t>Výnosy z kratkodobého fin.majetku v podielovej účasti okrem výnosov prepojených ÚJ (666A)</t>
  </si>
  <si>
    <t>Zákonné rezervy ( 323A, 451A )</t>
  </si>
  <si>
    <t>Dlhodobý nehmotný majetok, na ktorý je zriadené záložné právo</t>
  </si>
  <si>
    <t>Hodnota zákazkovej výstavby nehnuteľnosti určenej na predaj</t>
  </si>
  <si>
    <t>343919</t>
  </si>
  <si>
    <t>Pohľadávky kryté záložným právom alebo inou formou zabezpečenia</t>
  </si>
  <si>
    <t>21. Informácie k časti F. písm. zc) prílohy č. 3 o majetku prenajatom formou finančného prenájmu</t>
  </si>
  <si>
    <t>129</t>
  </si>
  <si>
    <t>Vplyv ocenenia na vlastné imanie</t>
  </si>
  <si>
    <t>Dlhodobé prijaté preddavky ( 475A )</t>
  </si>
  <si>
    <t>133</t>
  </si>
  <si>
    <t>Opravné položky k pohľadávkam (+/-) (547)</t>
  </si>
  <si>
    <t>OP – opravná položka</t>
  </si>
  <si>
    <t>Daň z pridanej hodnoty</t>
  </si>
  <si>
    <t>321</t>
  </si>
  <si>
    <t>Ostatné pohľadávky voči prepojeným ÚJ ( 351A )-/391A/</t>
  </si>
  <si>
    <t>Iné pohľadávky (335A,336A,33XA,371A,374A,375A,378A)-/391A/</t>
  </si>
  <si>
    <t>343910</t>
  </si>
  <si>
    <t>Výnosy z cenných papierov a podielov v podielovej účasti okrem výnosov prepojených ÚJ (665 A)</t>
  </si>
  <si>
    <t>A. VII.1.</t>
  </si>
  <si>
    <t>Záväzky voči zamestnancom ( 331,333,33X,479A )</t>
  </si>
  <si>
    <t>Pohľadávky spolu</t>
  </si>
  <si>
    <t>096</t>
  </si>
  <si>
    <t>Ostatné pokuty a penále</t>
  </si>
  <si>
    <t>Použité skratky:</t>
  </si>
  <si>
    <t>Opravná položka k nadobudnut.majetku  ( +/-097, +/-098 )</t>
  </si>
  <si>
    <t>Poskytnuté preddavky na DHM</t>
  </si>
  <si>
    <t>Suma odloženého daňového záväzku účtovaného ako náklad alebo výnos vyplývajúci zo zmeny sadzby dane z príjmov</t>
  </si>
  <si>
    <t>Nákladové úroky ( r.50 + r.51 )</t>
  </si>
  <si>
    <t>A.  I.</t>
  </si>
  <si>
    <t>Skutočnosť v účtovnom 
období sledovanom</t>
  </si>
  <si>
    <t>XIII.</t>
  </si>
  <si>
    <t>093</t>
  </si>
  <si>
    <t>G.1.</t>
  </si>
  <si>
    <t>Pohľ.z obch.styku v rámci pod.účasti okrem pohľ.voči prep.ÚJ (311A,312A,313A,314A,315A,31XA)-/391A/</t>
  </si>
  <si>
    <t>031</t>
  </si>
  <si>
    <t>023</t>
  </si>
  <si>
    <t>Odmeny členom orgánov spoločnosti a družstva ( 523 )</t>
  </si>
  <si>
    <t>Úprava nárokov podľa stupňa dokončenia alebo metódou nulového zisku</t>
  </si>
  <si>
    <t>066</t>
  </si>
  <si>
    <t>142</t>
  </si>
  <si>
    <t>067</t>
  </si>
  <si>
    <t>335</t>
  </si>
  <si>
    <t xml:space="preserve">Pohľadávky z obchodného styku </t>
  </si>
  <si>
    <t>Pohľadávky  z obchodného styku</t>
  </si>
  <si>
    <t>Daňové pohľadávky a dotácie ( 341,342,343,345,346,347 ) - /391A/</t>
  </si>
  <si>
    <t>109</t>
  </si>
  <si>
    <t>102</t>
  </si>
  <si>
    <t>B. VII.</t>
  </si>
  <si>
    <t>Hodnota predmetu</t>
  </si>
  <si>
    <t>Ostatné realizovateľné CP</t>
  </si>
  <si>
    <t>602300</t>
  </si>
  <si>
    <t>Výnosy zo zákazkovej výroby</t>
  </si>
  <si>
    <t>25. Informácie k časti F. písm. v) a časti G. písm. f) prílohy č. 3 o odloženej daňovej pohľadávke alebo o odloženom daňovom záväzku</t>
  </si>
  <si>
    <t>B.  I.</t>
  </si>
  <si>
    <t>Výnosové úroky od prepojených ÚJ (662A)</t>
  </si>
  <si>
    <t>súvisiace audítorské služby</t>
  </si>
  <si>
    <t>Výstup tuzemsko 19%</t>
  </si>
  <si>
    <t>122</t>
  </si>
  <si>
    <t>547000</t>
  </si>
  <si>
    <t>060</t>
  </si>
  <si>
    <t>Tvorba sociálneho fondu na ťarchu nákladov</t>
  </si>
  <si>
    <t>019</t>
  </si>
  <si>
    <t>090</t>
  </si>
  <si>
    <t>104</t>
  </si>
  <si>
    <t>Záväzky so zostatkovou dobou splatnosti 
jeden rok až päť rokov</t>
  </si>
  <si>
    <t>20</t>
  </si>
  <si>
    <t>411</t>
  </si>
  <si>
    <t>02</t>
  </si>
  <si>
    <t>Neobežný majetok r. 003+r.011+r.021</t>
  </si>
  <si>
    <t xml:space="preserve">Spolu </t>
  </si>
  <si>
    <t>Reálna hodnota</t>
  </si>
  <si>
    <t>Pohľadávky voči spoločníkom, členom a združeniu</t>
  </si>
  <si>
    <t>314100</t>
  </si>
  <si>
    <t>Istina</t>
  </si>
  <si>
    <t>Sumár od začiatku zákazkovej výroby až 
do konca bežného účtovného obdobia</t>
  </si>
  <si>
    <t>Tvorba sociálneho fondu zo zisku</t>
  </si>
  <si>
    <t>082</t>
  </si>
  <si>
    <t>Stav v bežnom
účtovnom období</t>
  </si>
  <si>
    <r>
      <t>Krátkodobé pôžičky</t>
    </r>
    <r>
      <rPr>
        <sz val="8"/>
        <color theme="1"/>
        <rFont val="Arial"/>
        <family val="2"/>
      </rPr>
      <t> </t>
    </r>
  </si>
  <si>
    <t>Záväzky z obchodného styku voči prepojeným ÚJ (321A,475A,476A)</t>
  </si>
  <si>
    <t xml:space="preserve">Výnosy zo zákazkovej výstavby nehnuteľnosti určenej na predaj </t>
  </si>
  <si>
    <t>Cestná daň</t>
  </si>
  <si>
    <t>064</t>
  </si>
  <si>
    <t>Výnosy z finančnej činnosti spolu r.30+r.31+r.35+r.39+r.42+r.43+r.44</t>
  </si>
  <si>
    <t>Začiatočný stav sociálneho fondu</t>
  </si>
  <si>
    <t>Tvorba sociálneho fondu spolu</t>
  </si>
  <si>
    <t>48</t>
  </si>
  <si>
    <t>(1) Identifikačné číslo organizácie (IČO) sa vyplňuje podľa Registra organizácií vedeného Štatistickým</t>
  </si>
  <si>
    <t>Neuhradená strata 2015 +2016</t>
  </si>
  <si>
    <t>Pestov. celky trvalých porastov ( 025 ) - / 085, 092A/</t>
  </si>
  <si>
    <t>Podielové CP a podiely v DÚJ</t>
  </si>
  <si>
    <t>479</t>
  </si>
  <si>
    <t>Vlastné imanie r.081+r.085+r.086+r.087+r.090+r.093+r.097+r.100</t>
  </si>
  <si>
    <t>A.VI.</t>
  </si>
  <si>
    <t>Iné výnosy súvisiace s bežnou činnosťou</t>
  </si>
  <si>
    <t>Spolu majetok r.002+r.033+r.074</t>
  </si>
  <si>
    <t>119</t>
  </si>
  <si>
    <t>3. Informácie k časti F. písm. c) prílohy č. 3 o dlhodobom nehmotnom majetku</t>
  </si>
  <si>
    <t>A.III.</t>
  </si>
  <si>
    <t>Daňovo neuznané náklady</t>
  </si>
  <si>
    <t>Korekcia v bežnom
účtovnom období</t>
  </si>
  <si>
    <t>511</t>
  </si>
  <si>
    <t>518200</t>
  </si>
  <si>
    <t>Prírastky</t>
  </si>
  <si>
    <t>DPFOZČ</t>
  </si>
  <si>
    <t>Výsledok hospodárenia minulých rokov r. 098 + r.099</t>
  </si>
  <si>
    <t>Záväzky zo sociálneho fondu (472)</t>
  </si>
  <si>
    <t>Brutto v bežnom
účtovnom období</t>
  </si>
  <si>
    <t>41</t>
  </si>
  <si>
    <t>Poskytnuté preddavky na dlhod. fin. majetok ( 053 ) - /095A/</t>
  </si>
  <si>
    <t>Suma istiny v príslušnej mene za bezprostredne predchádzajúce účtovné obdobie</t>
  </si>
  <si>
    <t>538000</t>
  </si>
  <si>
    <t>028</t>
  </si>
  <si>
    <t>Názov syntetického účtu</t>
  </si>
  <si>
    <t>Rozdelenie podielu na zisku spoločníkom, členom</t>
  </si>
  <si>
    <t>Iné pohľadávky postúpenie Libroker RMC</t>
  </si>
  <si>
    <t>429</t>
  </si>
  <si>
    <t>55</t>
  </si>
  <si>
    <t>Opravné položky</t>
  </si>
  <si>
    <t>Ostatný DHM</t>
  </si>
  <si>
    <t>Skutočnosť v účtovnom
období minulom</t>
  </si>
  <si>
    <t>Iné pohľadávky</t>
  </si>
  <si>
    <t>IČO – identifikačné číslo organizácie</t>
  </si>
  <si>
    <t>B. VI.</t>
  </si>
  <si>
    <t>Ostatné pokuty,penále a úroky z omešk.</t>
  </si>
  <si>
    <t>15</t>
  </si>
  <si>
    <t>071</t>
  </si>
  <si>
    <t>Náklady budúcich období</t>
  </si>
  <si>
    <t>331</t>
  </si>
  <si>
    <t>20. Informácie k časti F. písm.  za) prílohy č. 3 o ocenení krátkodobého finančného  majetku, ku dňu ku ktorému sa zostavuje účtovná závierka reálnou hodnotou</t>
  </si>
  <si>
    <t>562</t>
  </si>
  <si>
    <t>Prvotné ocenenie</t>
  </si>
  <si>
    <t>Pohľadávky</t>
  </si>
  <si>
    <t>Nedokončená výroba a polotovary vlastnej výroby</t>
  </si>
  <si>
    <t>057</t>
  </si>
  <si>
    <t>326000</t>
  </si>
  <si>
    <t>Výsledok hospodárenia za účtovné obdobie pred zdanením (+/-) (r.27+r.55)</t>
  </si>
  <si>
    <t>Záväzok vykázaný v súvahe</t>
  </si>
  <si>
    <t>PSČ – poštové smerovacie číslo</t>
  </si>
  <si>
    <t>Nehnuteľnosť na predaj</t>
  </si>
  <si>
    <t>záväzku</t>
  </si>
  <si>
    <t>Tžby z predaja služieb ( 602, 606 )</t>
  </si>
  <si>
    <t>Neuhradená strata 2018, 2019</t>
  </si>
  <si>
    <t>391</t>
  </si>
  <si>
    <t>043</t>
  </si>
  <si>
    <t>Záväzky z obchodného styku voči prepojeným ÚJ (321A,322A,324A,325A,326A,32XA,475A,476A,478A,47XA)</t>
  </si>
  <si>
    <t>Ost. kratkodobé fin. výp. - Združenie</t>
  </si>
  <si>
    <t>Tržby z predaja cenných papierov a podielov (661)</t>
  </si>
  <si>
    <t>S.</t>
  </si>
  <si>
    <t>Pôžičky a ostatný dlhodobý fin. majetok s dobou splat. najviac 1 rok ( 066A,067A,069A,06XA )-/096A/</t>
  </si>
  <si>
    <t>136</t>
  </si>
  <si>
    <t>22</t>
  </si>
  <si>
    <t>14</t>
  </si>
  <si>
    <t>Príjmy budúcich období dlhodobé ( 385A )</t>
  </si>
  <si>
    <t>12</t>
  </si>
  <si>
    <t>O.</t>
  </si>
  <si>
    <t>B.III. 1.</t>
  </si>
  <si>
    <t>13. Informácie k časti F. písm. q) prílohy č. 3 o zákazkovej výrobe a o zákazkovej výstavbe nehnuteľnosti určenej na predaj</t>
  </si>
  <si>
    <t>029</t>
  </si>
  <si>
    <t>Náklady na hospodársku činnosť spolu r.11+r.12+r.13+r.14+r15+r.20+r.21+r.24+r.25+r.26</t>
  </si>
  <si>
    <t>VIII.</t>
  </si>
  <si>
    <t>Výnosy z cenných papierov a podielov od prepojených ÚJ (665 A)</t>
  </si>
  <si>
    <t>VI.</t>
  </si>
  <si>
    <t>18</t>
  </si>
  <si>
    <t>Nerozdelený zisk z minulých rokov ( 428 )</t>
  </si>
  <si>
    <t>604100</t>
  </si>
  <si>
    <t>*</t>
  </si>
  <si>
    <t>Obstarávaný dlhodobý hmotný majetok ( 042 ) - /094/</t>
  </si>
  <si>
    <t>Iné dlhodobé záväzky ( 336A, 372A, 474A, 47XA)</t>
  </si>
  <si>
    <t>314</t>
  </si>
  <si>
    <t>od jedného roka do piatich rokov vrátane</t>
  </si>
  <si>
    <t>Prevod do neuhradenej straty minulých rokov</t>
  </si>
  <si>
    <t>ÚJ – účtovná jednotka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</si>
</sst>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8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 applyBorder="1"/>
    <xf numFmtId="9" fontId="4" fillId="0" borderId="2" xfId="1" applyFont="1" applyBorder="1" applyAlignment="1">
      <alignment horizontal="right" vertical="center"/>
    </xf>
    <xf numFmtId="0" fontId="4" fillId="0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 applyBorder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0" fontId="4" fillId="0" borderId="3" xfId="0" applyFont="1" applyBorder="1" applyAlignment="1">
      <alignment vertical="center" wrapText="1"/>
    </xf>
    <xf numFmtId="49" fontId="4" fillId="0" borderId="0" xfId="0" applyNumberFormat="1" applyFont="1" applyBorder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2" borderId="0" xfId="0" applyFont="1" applyFill="1"/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Border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Border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ont="1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0" xfId="0" applyFont="1"/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 applyBorder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left" vertical="top"/>
    </xf>
    <xf numFmtId="0" fontId="0" fillId="2" borderId="0" xfId="0" applyFont="1" applyFill="1" applyAlignment="1">
      <alignment horizontal="right"/>
    </xf>
    <xf numFmtId="3" fontId="4" fillId="2" borderId="24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164" fontId="4" fillId="0" borderId="0" xfId="0" applyNumberFormat="1" applyFont="1" applyBorder="1"/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wrapText="1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" xfId="0" builtinId="0"/>
    <cellStyle name="Normálna 2" xfId="2" xr:uid="{00000000-0005-0000-0000-000002000000}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opLeftCell="A31" zoomScaleNormal="100" zoomScaleSheetLayoutView="100" workbookViewId="0"/>
  </sheetViews>
  <sheetFormatPr defaultColWidth="8.85546875"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277</v>
      </c>
    </row>
    <row r="2" spans="1:2" x14ac:dyDescent="0.25">
      <c r="A2" t="s">
        <v>1044</v>
      </c>
    </row>
    <row r="3" spans="1:2" x14ac:dyDescent="0.25">
      <c r="A3" t="s">
        <v>591</v>
      </c>
    </row>
    <row r="4" spans="1:2" x14ac:dyDescent="0.25">
      <c r="A4" t="s">
        <v>656</v>
      </c>
    </row>
    <row r="5" spans="1:2" x14ac:dyDescent="0.25">
      <c r="A5" t="s">
        <v>7</v>
      </c>
    </row>
    <row r="6" spans="1:2" x14ac:dyDescent="0.25">
      <c r="A6" t="s">
        <v>358</v>
      </c>
    </row>
    <row r="7" spans="1:2" x14ac:dyDescent="0.25">
      <c r="A7" t="s">
        <v>171</v>
      </c>
    </row>
    <row r="8" spans="1:2" x14ac:dyDescent="0.25">
      <c r="A8" t="s">
        <v>607</v>
      </c>
    </row>
    <row r="9" spans="1:2" x14ac:dyDescent="0.25">
      <c r="A9" t="s">
        <v>427</v>
      </c>
    </row>
    <row r="10" spans="1:2" x14ac:dyDescent="0.25">
      <c r="A10" t="s">
        <v>718</v>
      </c>
    </row>
    <row r="11" spans="1:2" x14ac:dyDescent="0.25">
      <c r="A11" s="39" t="s">
        <v>216</v>
      </c>
      <c r="B11" s="39" t="s">
        <v>184</v>
      </c>
    </row>
    <row r="12" spans="1:2" x14ac:dyDescent="0.25">
      <c r="A12" s="149">
        <v>1</v>
      </c>
      <c r="B12" s="52" t="s">
        <v>497</v>
      </c>
    </row>
    <row r="13" spans="1:2" x14ac:dyDescent="0.25">
      <c r="A13" s="149">
        <v>2</v>
      </c>
      <c r="B13" s="52" t="s">
        <v>109</v>
      </c>
    </row>
    <row r="14" spans="1:2" x14ac:dyDescent="0.25">
      <c r="A14" s="149">
        <v>3</v>
      </c>
      <c r="B14" s="52" t="s">
        <v>763</v>
      </c>
    </row>
    <row r="15" spans="1:2" x14ac:dyDescent="0.25">
      <c r="A15" s="149">
        <v>4</v>
      </c>
      <c r="B15" s="52" t="s">
        <v>605</v>
      </c>
    </row>
    <row r="16" spans="1:2" x14ac:dyDescent="0.25">
      <c r="A16" s="149">
        <v>5</v>
      </c>
      <c r="B16" s="52" t="s">
        <v>821</v>
      </c>
    </row>
    <row r="17" spans="1:2" x14ac:dyDescent="0.25">
      <c r="A17" s="149">
        <v>6</v>
      </c>
      <c r="B17" s="52" t="s">
        <v>152</v>
      </c>
    </row>
    <row r="18" spans="1:2" x14ac:dyDescent="0.25">
      <c r="A18" s="149">
        <v>7</v>
      </c>
      <c r="B18" s="52" t="s">
        <v>875</v>
      </c>
    </row>
    <row r="19" spans="1:2" x14ac:dyDescent="0.25">
      <c r="A19" s="149">
        <v>8</v>
      </c>
      <c r="B19" s="52" t="s">
        <v>84</v>
      </c>
    </row>
    <row r="20" spans="1:2" x14ac:dyDescent="0.25">
      <c r="A20" s="149">
        <v>9</v>
      </c>
      <c r="B20" s="52" t="s">
        <v>641</v>
      </c>
    </row>
    <row r="21" spans="1:2" x14ac:dyDescent="0.25">
      <c r="A21" s="149">
        <v>10</v>
      </c>
      <c r="B21" s="52" t="s">
        <v>240</v>
      </c>
    </row>
    <row r="22" spans="1:2" x14ac:dyDescent="0.25">
      <c r="A22" s="149">
        <v>11</v>
      </c>
      <c r="B22" s="52" t="s">
        <v>348</v>
      </c>
    </row>
    <row r="24" spans="1:2" x14ac:dyDescent="0.25">
      <c r="A24" t="s">
        <v>980</v>
      </c>
    </row>
    <row r="25" spans="1:2" x14ac:dyDescent="0.25">
      <c r="A25" t="s">
        <v>598</v>
      </c>
    </row>
    <row r="26" spans="1:2" x14ac:dyDescent="0.25">
      <c r="A26" t="s">
        <v>666</v>
      </c>
    </row>
    <row r="27" spans="1:2" x14ac:dyDescent="0.25">
      <c r="A27" t="s">
        <v>96</v>
      </c>
    </row>
    <row r="28" spans="1:2" x14ac:dyDescent="0.25">
      <c r="A28" t="s">
        <v>159</v>
      </c>
    </row>
    <row r="29" spans="1:2" x14ac:dyDescent="0.25">
      <c r="A29" t="s">
        <v>31</v>
      </c>
    </row>
    <row r="30" spans="1:2" x14ac:dyDescent="0.25">
      <c r="A30" t="s">
        <v>494</v>
      </c>
    </row>
    <row r="31" spans="1:2" x14ac:dyDescent="0.25">
      <c r="A31" t="s">
        <v>91</v>
      </c>
    </row>
    <row r="32" spans="1:2" x14ac:dyDescent="0.25">
      <c r="A32" t="s">
        <v>1079</v>
      </c>
    </row>
    <row r="33" spans="1:1" x14ac:dyDescent="0.25">
      <c r="A33" t="s">
        <v>968</v>
      </c>
    </row>
    <row r="34" spans="1:1" x14ac:dyDescent="0.25">
      <c r="A34" t="s">
        <v>1095</v>
      </c>
    </row>
    <row r="35" spans="1:1" x14ac:dyDescent="0.25">
      <c r="A35" t="s">
        <v>1129</v>
      </c>
    </row>
    <row r="36" spans="1:1" x14ac:dyDescent="0.25">
      <c r="A36" t="s">
        <v>803</v>
      </c>
    </row>
    <row r="37" spans="1:1" x14ac:dyDescent="0.25">
      <c r="A37" t="s">
        <v>470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8"/>
  <sheetViews>
    <sheetView showGridLines="0" zoomScaleNormal="100" zoomScaleSheetLayoutView="100" workbookViewId="0"/>
  </sheetViews>
  <sheetFormatPr defaultColWidth="8.85546875"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44" t="s">
        <v>917</v>
      </c>
    </row>
    <row r="2" spans="1:10" ht="74.25" customHeight="1" thickTop="1" thickBot="1" x14ac:dyDescent="0.3">
      <c r="A2" s="211" t="s">
        <v>601</v>
      </c>
      <c r="B2" s="211" t="s">
        <v>263</v>
      </c>
      <c r="C2" s="47" t="s">
        <v>238</v>
      </c>
      <c r="D2" s="211" t="s">
        <v>942</v>
      </c>
      <c r="E2" s="211" t="s">
        <v>768</v>
      </c>
      <c r="F2" s="47" t="s">
        <v>499</v>
      </c>
      <c r="G2" s="211" t="s">
        <v>492</v>
      </c>
    </row>
    <row r="3" spans="1:10" ht="27" customHeight="1" thickTop="1" thickBot="1" x14ac:dyDescent="0.3">
      <c r="A3" s="174" t="s">
        <v>640</v>
      </c>
      <c r="B3" s="31"/>
      <c r="C3" s="22"/>
      <c r="D3" s="22"/>
      <c r="E3" s="22"/>
      <c r="F3" s="22"/>
      <c r="G3" s="230">
        <f>SUM(C3:F3)</f>
        <v>0</v>
      </c>
    </row>
    <row r="4" spans="1:10" ht="34.5" thickBot="1" x14ac:dyDescent="0.3">
      <c r="A4" s="174" t="s">
        <v>375</v>
      </c>
      <c r="B4" s="158"/>
      <c r="C4" s="41"/>
      <c r="D4" s="41"/>
      <c r="E4" s="41"/>
      <c r="F4" s="41"/>
      <c r="G4" s="128">
        <f>SUM(C4:F4)</f>
        <v>0</v>
      </c>
    </row>
    <row r="5" spans="1:10" ht="34.5" thickBot="1" x14ac:dyDescent="0.3">
      <c r="A5" s="174" t="s">
        <v>802</v>
      </c>
      <c r="B5" s="158"/>
      <c r="C5" s="41"/>
      <c r="D5" s="41"/>
      <c r="E5" s="41"/>
      <c r="F5" s="41"/>
      <c r="G5" s="128">
        <f>SUM(C5:F5)</f>
        <v>0</v>
      </c>
    </row>
    <row r="6" spans="1:10" ht="27" customHeight="1" thickBot="1" x14ac:dyDescent="0.3">
      <c r="A6" s="174" t="s">
        <v>811</v>
      </c>
      <c r="B6" s="158"/>
      <c r="C6" s="41"/>
      <c r="D6" s="41"/>
      <c r="E6" s="41"/>
      <c r="F6" s="41"/>
      <c r="G6" s="128">
        <f>SUM(C6:F6)</f>
        <v>0</v>
      </c>
    </row>
    <row r="7" spans="1:10" ht="27" customHeight="1" thickBot="1" x14ac:dyDescent="0.3">
      <c r="A7" s="129" t="s">
        <v>697</v>
      </c>
      <c r="B7" s="204" t="s">
        <v>71</v>
      </c>
      <c r="C7" s="14"/>
      <c r="D7" s="14"/>
      <c r="E7" s="14"/>
      <c r="F7" s="14"/>
      <c r="G7" s="64">
        <f>SUMIF(HK!A:A,"065*",HK!K:K)-SUMIF(HK!A:A,"065*",HK!L:L)</f>
        <v>0</v>
      </c>
      <c r="J7" s="156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8"/>
  <sheetViews>
    <sheetView showGridLines="0" zoomScaleNormal="100" zoomScaleSheetLayoutView="100" workbookViewId="0"/>
  </sheetViews>
  <sheetFormatPr defaultColWidth="8.85546875"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44" t="s">
        <v>165</v>
      </c>
    </row>
    <row r="2" spans="1:6" ht="58.5" customHeight="1" thickTop="1" thickBot="1" x14ac:dyDescent="0.3">
      <c r="A2" s="211" t="s">
        <v>630</v>
      </c>
      <c r="B2" s="47" t="s">
        <v>238</v>
      </c>
      <c r="C2" s="211" t="s">
        <v>942</v>
      </c>
      <c r="D2" s="211" t="s">
        <v>768</v>
      </c>
      <c r="E2" s="211" t="s">
        <v>823</v>
      </c>
      <c r="F2" s="47" t="s">
        <v>89</v>
      </c>
    </row>
    <row r="3" spans="1:6" ht="27" customHeight="1" thickTop="1" thickBot="1" x14ac:dyDescent="0.3">
      <c r="A3" s="174" t="s">
        <v>640</v>
      </c>
      <c r="B3" s="41"/>
      <c r="C3" s="41"/>
      <c r="D3" s="41"/>
      <c r="E3" s="41"/>
      <c r="F3" s="128">
        <f>SUM(B3:E3)</f>
        <v>0</v>
      </c>
    </row>
    <row r="4" spans="1:6" ht="27" customHeight="1" thickBot="1" x14ac:dyDescent="0.3">
      <c r="A4" s="174" t="s">
        <v>801</v>
      </c>
      <c r="B4" s="41"/>
      <c r="C4" s="41"/>
      <c r="D4" s="41"/>
      <c r="E4" s="41"/>
      <c r="F4" s="128">
        <f>SUM(B4:E4)</f>
        <v>0</v>
      </c>
    </row>
    <row r="5" spans="1:6" ht="27" customHeight="1" thickBot="1" x14ac:dyDescent="0.3">
      <c r="A5" s="174" t="s">
        <v>786</v>
      </c>
      <c r="B5" s="41"/>
      <c r="C5" s="41"/>
      <c r="D5" s="41"/>
      <c r="E5" s="41"/>
      <c r="F5" s="128">
        <f>SUM(B5:E5)</f>
        <v>0</v>
      </c>
    </row>
    <row r="6" spans="1:6" ht="27" customHeight="1" thickBot="1" x14ac:dyDescent="0.3">
      <c r="A6" s="174" t="s">
        <v>811</v>
      </c>
      <c r="B6" s="41"/>
      <c r="C6" s="41"/>
      <c r="D6" s="41"/>
      <c r="E6" s="41"/>
      <c r="F6" s="128">
        <f>SUM(B6:E6)</f>
        <v>0</v>
      </c>
    </row>
    <row r="7" spans="1:6" ht="27" customHeight="1" thickBot="1" x14ac:dyDescent="0.3">
      <c r="A7" s="129" t="s">
        <v>188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22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3"/>
  <sheetViews>
    <sheetView showGridLines="0" zoomScaleNormal="100" zoomScaleSheetLayoutView="100" workbookViewId="0"/>
  </sheetViews>
  <sheetFormatPr defaultColWidth="8.85546875"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44" t="s">
        <v>436</v>
      </c>
    </row>
    <row r="2" spans="1:8" ht="17.25" thickBot="1" x14ac:dyDescent="0.35">
      <c r="A2" s="251" t="s">
        <v>222</v>
      </c>
    </row>
    <row r="3" spans="1:8" ht="16.5" thickTop="1" thickBot="1" x14ac:dyDescent="0.3">
      <c r="A3" s="252" t="s">
        <v>80</v>
      </c>
      <c r="B3" s="257" t="s">
        <v>121</v>
      </c>
      <c r="C3" s="258"/>
      <c r="D3" s="258"/>
      <c r="E3" s="258"/>
      <c r="F3" s="259"/>
    </row>
    <row r="4" spans="1:8" ht="60" customHeight="1" thickTop="1" thickBot="1" x14ac:dyDescent="0.3">
      <c r="A4" s="266"/>
      <c r="B4" s="187" t="s">
        <v>938</v>
      </c>
      <c r="C4" s="184" t="s">
        <v>742</v>
      </c>
      <c r="D4" s="187" t="s">
        <v>65</v>
      </c>
      <c r="E4" s="184" t="s">
        <v>398</v>
      </c>
      <c r="F4" s="187" t="s">
        <v>518</v>
      </c>
    </row>
    <row r="5" spans="1:8" ht="23.25" customHeight="1" thickTop="1" thickBot="1" x14ac:dyDescent="0.3">
      <c r="A5" s="174" t="s">
        <v>726</v>
      </c>
      <c r="B5" s="139">
        <f>SUMIF(HK!A:A,"191*",HK!D:D)-SUMIF(HK!A:A,"191*",HK!C:C)</f>
        <v>0</v>
      </c>
      <c r="C5" s="41"/>
      <c r="D5" s="41"/>
      <c r="E5" s="41"/>
      <c r="F5" s="139">
        <f>SUMIF(HK!A:A,"191*",HK!L:L)-SUMIF(HK!A:A,"191*",HK!K:K)</f>
        <v>0</v>
      </c>
      <c r="H5" s="156"/>
    </row>
    <row r="6" spans="1:8" ht="34.5" thickBot="1" x14ac:dyDescent="0.3">
      <c r="A6" s="174" t="s">
        <v>194</v>
      </c>
      <c r="B6" s="139">
        <f>SUMIF(HK!A:A,"192*",HK!D:D)-SUMIF(HK!A:A,"192*",HK!C:C)+SUMIF(HK!A:A,"193*",HK!D:D)-SUMIF(HK!A:A,"193*",HK!C:C)</f>
        <v>0</v>
      </c>
      <c r="C6" s="41"/>
      <c r="D6" s="41"/>
      <c r="E6" s="41"/>
      <c r="F6" s="139">
        <f>SUMIF(HK!A:A,"192*",HK!L:L)-SUMIF(HK!A:A,"192*",HK!K:K)+SUMIF(HK!A:A,"193*",HK!L:L)-SUMIF(HK!A:A,"193*",HK!K:K)</f>
        <v>0</v>
      </c>
      <c r="H6" s="156"/>
    </row>
    <row r="7" spans="1:8" ht="23.25" customHeight="1" thickBot="1" x14ac:dyDescent="0.3">
      <c r="A7" s="174" t="s">
        <v>44</v>
      </c>
      <c r="B7" s="139">
        <f>SUMIF(HK!A:A,"194*",HK!D:D)-SUMIF(HK!A:A,"194*",HK!C:C)</f>
        <v>0</v>
      </c>
      <c r="C7" s="241"/>
      <c r="D7" s="241"/>
      <c r="E7" s="241"/>
      <c r="F7" s="139">
        <f>SUMIF(HK!A:A,"194*",HK!L:L)-SUMIF(HK!A:A,"194*",HK!K:K)</f>
        <v>0</v>
      </c>
      <c r="H7" s="156"/>
    </row>
    <row r="8" spans="1:8" ht="23.25" customHeight="1" thickBot="1" x14ac:dyDescent="0.3">
      <c r="A8" s="174" t="s">
        <v>213</v>
      </c>
      <c r="B8" s="139">
        <f>SUMIF(HK!A:A,"195*",HK!D:D)-SUMIF(HK!A:A,"195*",HK!C:C)</f>
        <v>0</v>
      </c>
      <c r="C8" s="241"/>
      <c r="D8" s="241"/>
      <c r="E8" s="241"/>
      <c r="F8" s="139">
        <f>SUMIF(HK!A:A,"195*",HK!L:L)-SUMIF(HK!A:A,"195*",HK!K:K)</f>
        <v>0</v>
      </c>
      <c r="H8" s="156"/>
    </row>
    <row r="9" spans="1:8" ht="23.25" customHeight="1" thickBot="1" x14ac:dyDescent="0.3">
      <c r="A9" s="174" t="s">
        <v>70</v>
      </c>
      <c r="B9" s="139">
        <f>SUMIF(HK!A:A,"196*",HK!D:D)-SUMIF(HK!A:A,"196*",HK!C:C)</f>
        <v>0</v>
      </c>
      <c r="C9" s="241"/>
      <c r="D9" s="241"/>
      <c r="E9" s="241"/>
      <c r="F9" s="139">
        <f>SUMIF(HK!A:A,"196*",HK!L:L)-SUMIF(HK!A:A,"196*",HK!K:K)</f>
        <v>0</v>
      </c>
      <c r="H9" s="156"/>
    </row>
    <row r="10" spans="1:8" ht="23.25" customHeight="1" thickBot="1" x14ac:dyDescent="0.3">
      <c r="A10" s="174" t="s">
        <v>1096</v>
      </c>
      <c r="B10" s="165"/>
      <c r="C10" s="165"/>
      <c r="D10" s="165"/>
      <c r="E10" s="165"/>
      <c r="F10" s="128">
        <f>SUM(B10:E10)</f>
        <v>0</v>
      </c>
    </row>
    <row r="11" spans="1:8" ht="23.25" customHeight="1" thickBot="1" x14ac:dyDescent="0.3">
      <c r="A11" s="174" t="s">
        <v>223</v>
      </c>
      <c r="B11" s="165"/>
      <c r="C11" s="165"/>
      <c r="D11" s="165"/>
      <c r="E11" s="165"/>
      <c r="F11" s="128">
        <f>SUM(B11:E11)</f>
        <v>0</v>
      </c>
    </row>
    <row r="12" spans="1:8" ht="23.25" customHeight="1" thickBot="1" x14ac:dyDescent="0.3">
      <c r="A12" s="129" t="s">
        <v>951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22">
        <f>SUM(F5:F11)</f>
        <v>0</v>
      </c>
    </row>
    <row r="13" spans="1:8" ht="17.25" thickTop="1" x14ac:dyDescent="0.3">
      <c r="A13" s="251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7"/>
  <sheetViews>
    <sheetView showGridLines="0" zoomScaleNormal="100" zoomScaleSheetLayoutView="100" workbookViewId="0"/>
  </sheetViews>
  <sheetFormatPr defaultColWidth="8.85546875"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44" t="s">
        <v>436</v>
      </c>
    </row>
    <row r="2" spans="1:2" ht="16.5" x14ac:dyDescent="0.3">
      <c r="A2" s="251"/>
    </row>
    <row r="3" spans="1:2" ht="17.25" thickBot="1" x14ac:dyDescent="0.35">
      <c r="A3" s="251" t="s">
        <v>5</v>
      </c>
    </row>
    <row r="4" spans="1:2" ht="24" customHeight="1" thickTop="1" thickBot="1" x14ac:dyDescent="0.3">
      <c r="A4" s="196" t="s">
        <v>1096</v>
      </c>
      <c r="B4" s="32" t="s">
        <v>214</v>
      </c>
    </row>
    <row r="5" spans="1:2" ht="24" thickTop="1" thickBot="1" x14ac:dyDescent="0.3">
      <c r="A5" s="195" t="s">
        <v>164</v>
      </c>
      <c r="B5" s="230"/>
    </row>
    <row r="6" spans="1:2" ht="24.75" customHeight="1" thickBot="1" x14ac:dyDescent="0.3">
      <c r="A6" s="37" t="s">
        <v>848</v>
      </c>
      <c r="B6" s="218"/>
    </row>
    <row r="7" spans="1:2" ht="15.75" thickTop="1" x14ac:dyDescent="0.25">
      <c r="A7" s="76"/>
      <c r="B7" s="197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44" t="s">
        <v>247</v>
      </c>
    </row>
    <row r="2" spans="1:2" ht="16.5" thickTop="1" thickBot="1" x14ac:dyDescent="0.3">
      <c r="A2" s="196" t="s">
        <v>80</v>
      </c>
      <c r="B2" s="32" t="s">
        <v>851</v>
      </c>
    </row>
    <row r="3" spans="1:2" ht="24" customHeight="1" thickTop="1" thickBot="1" x14ac:dyDescent="0.3">
      <c r="A3" s="195" t="s">
        <v>258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4"/>
  <sheetViews>
    <sheetView showGridLines="0" zoomScaleNormal="100" zoomScaleSheetLayoutView="100" workbookViewId="0"/>
  </sheetViews>
  <sheetFormatPr defaultColWidth="8.85546875"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44" t="s">
        <v>1114</v>
      </c>
    </row>
    <row r="2" spans="1:7" ht="17.25" thickBot="1" x14ac:dyDescent="0.35">
      <c r="A2" s="251" t="s">
        <v>222</v>
      </c>
    </row>
    <row r="3" spans="1:7" ht="45" customHeight="1" thickTop="1" thickBot="1" x14ac:dyDescent="0.3">
      <c r="A3" s="211" t="s">
        <v>129</v>
      </c>
      <c r="B3" s="47" t="s">
        <v>839</v>
      </c>
      <c r="C3" s="47" t="s">
        <v>397</v>
      </c>
      <c r="D3" s="47" t="s">
        <v>1031</v>
      </c>
    </row>
    <row r="4" spans="1:7" ht="20.25" customHeight="1" thickTop="1" thickBot="1" x14ac:dyDescent="0.3">
      <c r="A4" s="174" t="s">
        <v>1008</v>
      </c>
      <c r="B4" s="139">
        <f>SUMIF(HK!A:A,"606*",HK!L:L)-SUMIF(HK!A:A,"606*",HK!K:K)</f>
        <v>0</v>
      </c>
      <c r="C4" s="139">
        <f>SUMIF(HKM!A:A,"606*",HKM!L:L)-SUMIF(HKM!A:A,"606*",HKM!K:K)</f>
        <v>0</v>
      </c>
      <c r="D4" s="128"/>
      <c r="G4" s="156"/>
    </row>
    <row r="5" spans="1:7" ht="20.25" customHeight="1" thickBot="1" x14ac:dyDescent="0.3">
      <c r="A5" s="174" t="s">
        <v>440</v>
      </c>
      <c r="B5" s="128"/>
      <c r="C5" s="128"/>
      <c r="D5" s="128"/>
    </row>
    <row r="6" spans="1:7" ht="20.25" customHeight="1" thickBot="1" x14ac:dyDescent="0.3">
      <c r="A6" s="37" t="s">
        <v>522</v>
      </c>
      <c r="B6" s="218"/>
      <c r="C6" s="218"/>
      <c r="D6" s="218">
        <f>D4+D5</f>
        <v>0</v>
      </c>
    </row>
    <row r="7" spans="1:7" ht="15.75" thickTop="1" x14ac:dyDescent="0.25">
      <c r="A7" s="54"/>
      <c r="B7" s="146"/>
      <c r="C7" s="146"/>
      <c r="D7" s="146"/>
    </row>
    <row r="8" spans="1:7" x14ac:dyDescent="0.25">
      <c r="A8" s="54"/>
      <c r="B8" s="146"/>
      <c r="C8" s="146"/>
      <c r="D8" s="146"/>
    </row>
    <row r="9" spans="1:7" ht="15.75" thickBot="1" x14ac:dyDescent="0.3">
      <c r="A9" s="54" t="s">
        <v>4</v>
      </c>
      <c r="B9" s="146"/>
      <c r="C9" s="146"/>
      <c r="D9" s="146"/>
    </row>
    <row r="10" spans="1:7" ht="45" customHeight="1" thickTop="1" thickBot="1" x14ac:dyDescent="0.3">
      <c r="A10" s="211" t="s">
        <v>129</v>
      </c>
      <c r="B10" s="47" t="s">
        <v>839</v>
      </c>
      <c r="C10" s="47" t="s">
        <v>397</v>
      </c>
      <c r="D10" s="47" t="s">
        <v>873</v>
      </c>
    </row>
    <row r="11" spans="1:7" ht="35.25" thickTop="1" thickBot="1" x14ac:dyDescent="0.3">
      <c r="A11" s="174" t="s">
        <v>1037</v>
      </c>
      <c r="B11" s="128"/>
      <c r="C11" s="128"/>
      <c r="D11" s="128"/>
    </row>
    <row r="12" spans="1:7" ht="34.5" thickBot="1" x14ac:dyDescent="0.3">
      <c r="A12" s="174" t="s">
        <v>68</v>
      </c>
      <c r="B12" s="128"/>
      <c r="C12" s="128"/>
      <c r="D12" s="128"/>
    </row>
    <row r="13" spans="1:7" ht="15.75" thickBot="1" x14ac:dyDescent="0.3">
      <c r="A13" s="37" t="s">
        <v>522</v>
      </c>
      <c r="B13" s="218">
        <f>B11+B12</f>
        <v>0</v>
      </c>
      <c r="C13" s="218">
        <f>C11+C12</f>
        <v>0</v>
      </c>
      <c r="D13" s="218">
        <f>D11+D12</f>
        <v>0</v>
      </c>
    </row>
    <row r="14" spans="1:7" ht="17.25" thickTop="1" x14ac:dyDescent="0.3">
      <c r="A14" s="72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7"/>
  <sheetViews>
    <sheetView showGridLines="0" zoomScaleNormal="100" zoomScaleSheetLayoutView="100" workbookViewId="0"/>
  </sheetViews>
  <sheetFormatPr defaultColWidth="8.85546875"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44" t="s">
        <v>1114</v>
      </c>
    </row>
    <row r="2" spans="1:3" ht="16.5" x14ac:dyDescent="0.3">
      <c r="A2" s="251"/>
    </row>
    <row r="3" spans="1:3" ht="15.75" thickBot="1" x14ac:dyDescent="0.3">
      <c r="A3" s="146" t="s">
        <v>5</v>
      </c>
      <c r="B3" s="146"/>
      <c r="C3" s="146"/>
    </row>
    <row r="4" spans="1:3" ht="45" customHeight="1" thickTop="1" thickBot="1" x14ac:dyDescent="0.3">
      <c r="A4" s="211" t="s">
        <v>631</v>
      </c>
      <c r="B4" s="47" t="s">
        <v>361</v>
      </c>
      <c r="C4" s="47" t="s">
        <v>458</v>
      </c>
    </row>
    <row r="5" spans="1:3" ht="24" thickTop="1" thickBot="1" x14ac:dyDescent="0.3">
      <c r="A5" s="174" t="s">
        <v>711</v>
      </c>
      <c r="B5" s="128"/>
      <c r="C5" s="128"/>
    </row>
    <row r="6" spans="1:3" ht="34.5" thickBot="1" x14ac:dyDescent="0.3">
      <c r="A6" s="174" t="s">
        <v>994</v>
      </c>
      <c r="B6" s="128"/>
      <c r="C6" s="128"/>
    </row>
    <row r="7" spans="1:3" ht="20.25" customHeight="1" thickBot="1" x14ac:dyDescent="0.3">
      <c r="A7" s="174" t="s">
        <v>664</v>
      </c>
      <c r="B7" s="128"/>
      <c r="C7" s="128"/>
    </row>
    <row r="8" spans="1:3" ht="20.25" customHeight="1" thickBot="1" x14ac:dyDescent="0.3">
      <c r="A8" s="37" t="s">
        <v>54</v>
      </c>
      <c r="B8" s="218"/>
      <c r="C8" s="218"/>
    </row>
    <row r="9" spans="1:3" ht="15.75" thickTop="1" x14ac:dyDescent="0.25">
      <c r="A9" s="146"/>
      <c r="B9" s="146"/>
      <c r="C9" s="146"/>
    </row>
    <row r="10" spans="1:3" x14ac:dyDescent="0.25">
      <c r="A10" s="48"/>
      <c r="B10" s="146"/>
      <c r="C10" s="146"/>
    </row>
    <row r="11" spans="1:3" ht="15.75" thickBot="1" x14ac:dyDescent="0.3">
      <c r="A11" s="48" t="s">
        <v>9</v>
      </c>
      <c r="B11" s="146"/>
      <c r="C11" s="146"/>
    </row>
    <row r="12" spans="1:3" ht="45" customHeight="1" thickTop="1" thickBot="1" x14ac:dyDescent="0.3">
      <c r="A12" s="211" t="s">
        <v>959</v>
      </c>
      <c r="B12" s="47" t="s">
        <v>361</v>
      </c>
      <c r="C12" s="47" t="s">
        <v>873</v>
      </c>
    </row>
    <row r="13" spans="1:3" ht="35.25" thickTop="1" thickBot="1" x14ac:dyDescent="0.3">
      <c r="A13" s="174" t="s">
        <v>141</v>
      </c>
      <c r="B13" s="128"/>
      <c r="C13" s="128"/>
    </row>
    <row r="14" spans="1:3" ht="34.5" thickBot="1" x14ac:dyDescent="0.3">
      <c r="A14" s="174" t="s">
        <v>994</v>
      </c>
      <c r="B14" s="128"/>
      <c r="C14" s="128"/>
    </row>
    <row r="15" spans="1:3" ht="20.25" customHeight="1" thickBot="1" x14ac:dyDescent="0.3">
      <c r="A15" s="174" t="s">
        <v>818</v>
      </c>
      <c r="B15" s="128"/>
      <c r="C15" s="128"/>
    </row>
    <row r="16" spans="1:3" ht="20.25" customHeight="1" thickBot="1" x14ac:dyDescent="0.3">
      <c r="A16" s="37" t="s">
        <v>54</v>
      </c>
      <c r="B16" s="218"/>
      <c r="C16" s="218"/>
    </row>
    <row r="1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0"/>
  <sheetViews>
    <sheetView showGridLines="0" zoomScaleNormal="100" zoomScaleSheetLayoutView="100" workbookViewId="0"/>
  </sheetViews>
  <sheetFormatPr defaultColWidth="8.85546875"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44" t="s">
        <v>50</v>
      </c>
    </row>
    <row r="2" spans="1:11" ht="16.5" thickTop="1" thickBot="1" x14ac:dyDescent="0.3">
      <c r="A2" s="252" t="s">
        <v>1089</v>
      </c>
      <c r="B2" s="257" t="s">
        <v>121</v>
      </c>
      <c r="C2" s="258"/>
      <c r="D2" s="258"/>
      <c r="E2" s="258"/>
      <c r="F2" s="259"/>
    </row>
    <row r="3" spans="1:11" ht="62.25" customHeight="1" thickTop="1" thickBot="1" x14ac:dyDescent="0.3">
      <c r="A3" s="266"/>
      <c r="B3" s="170" t="s">
        <v>147</v>
      </c>
      <c r="C3" s="160" t="s">
        <v>99</v>
      </c>
      <c r="D3" s="170" t="s">
        <v>65</v>
      </c>
      <c r="E3" s="160" t="s">
        <v>398</v>
      </c>
      <c r="F3" s="170" t="s">
        <v>518</v>
      </c>
    </row>
    <row r="4" spans="1:11" s="173" customFormat="1" ht="33" customHeight="1" thickTop="1" thickBot="1" x14ac:dyDescent="0.3">
      <c r="A4" s="114" t="s">
        <v>999</v>
      </c>
      <c r="B4" s="82">
        <f>SUMIF(SUAM!C:C,"042",SUAM!E:E)+SUMIF(SUAM!C:C,"054",SUAM!E:E)</f>
        <v>20457.349999999999</v>
      </c>
      <c r="C4" s="29"/>
      <c r="D4" s="29"/>
      <c r="E4" s="29"/>
      <c r="F4" s="200">
        <f>SUMIF(SUA!C:C,"042",SUA!E:E)+SUMIF(SUA!C:C,"054",SUA!E:E)</f>
        <v>6479.78</v>
      </c>
      <c r="G4" s="190"/>
      <c r="H4" s="190"/>
      <c r="I4" s="24"/>
      <c r="K4" s="232"/>
    </row>
    <row r="5" spans="1:11" s="173" customFormat="1" ht="33" customHeight="1" thickBot="1" x14ac:dyDescent="0.3">
      <c r="A5" s="114" t="s">
        <v>884</v>
      </c>
      <c r="B5" s="30">
        <f>SUMIF(SUAM!C:C,"047",SUAM!E:E)+SUMIF(SUAM!C:C,"059",SUAM!E:E)</f>
        <v>0</v>
      </c>
      <c r="C5" s="241"/>
      <c r="D5" s="241"/>
      <c r="E5" s="241"/>
      <c r="F5" s="139">
        <f>SUMIF(SUA!C:C,"047",SUA!E:E)+SUMIF(SUA!C:C,"059",SUA!E:E)</f>
        <v>0</v>
      </c>
      <c r="G5" s="190"/>
      <c r="H5" s="190"/>
      <c r="I5" s="24"/>
      <c r="K5" s="232"/>
    </row>
    <row r="6" spans="1:11" s="173" customFormat="1" ht="33" customHeight="1" thickBot="1" x14ac:dyDescent="0.3">
      <c r="A6" s="114" t="s">
        <v>367</v>
      </c>
      <c r="B6" s="30">
        <f>SUMIF(SUAM!C:C,"048",SUAM!E:E)+SUMIF(SUAM!C:C,"060",SUAM!E:E)</f>
        <v>0</v>
      </c>
      <c r="C6" s="241"/>
      <c r="D6" s="241"/>
      <c r="E6" s="241"/>
      <c r="F6" s="139">
        <f>SUMIF(SUA!C:C,"048",SUA!E:E)+SUMIF(SUA!C:C,"060",SUA!E:E)</f>
        <v>0</v>
      </c>
      <c r="G6" s="190"/>
      <c r="H6" s="190"/>
      <c r="I6" s="24"/>
      <c r="K6" s="232"/>
    </row>
    <row r="7" spans="1:11" s="173" customFormat="1" ht="33" customHeight="1" thickBot="1" x14ac:dyDescent="0.3">
      <c r="A7" s="114" t="s">
        <v>1028</v>
      </c>
      <c r="B7" s="30">
        <f>SUMIF(SUAM!C:C,"049",SUAM!E:E)+SUMIF(SUAM!C:C,"061",SUAM!E:E)</f>
        <v>0</v>
      </c>
      <c r="C7" s="241"/>
      <c r="D7" s="241"/>
      <c r="E7" s="241"/>
      <c r="F7" s="139">
        <f>SUMIF(SUA!C:C,"049",SUA!E:E)+SUMIF(SUA!C:C,"061",SUA!E:E)</f>
        <v>0</v>
      </c>
      <c r="G7" s="190"/>
      <c r="H7" s="190"/>
      <c r="I7" s="24"/>
      <c r="K7" s="232"/>
    </row>
    <row r="8" spans="1:11" s="173" customFormat="1" ht="33" customHeight="1" thickBot="1" x14ac:dyDescent="0.3">
      <c r="A8" s="114" t="s">
        <v>1078</v>
      </c>
      <c r="B8" s="30">
        <f>SUMIF(SUAM!C:C,"051",SUAM!E:E)+SUMIF(SUAM!C:C,"062",SUAM!E:E)+SUMIF(SUAM!C:C,"063",SUAM!E:E)</f>
        <v>0</v>
      </c>
      <c r="C8" s="241"/>
      <c r="D8" s="241"/>
      <c r="E8" s="241"/>
      <c r="F8" s="139">
        <f>SUMIF(SUA!C:C,"051",SUA!E:E)+SUMIF(SUA!C:C,"062",SUA!E:E)+SUMIF(SUA!C:C,"063",SUA!E:E)</f>
        <v>0</v>
      </c>
      <c r="G8" s="190"/>
      <c r="H8" s="190"/>
      <c r="I8" s="24"/>
      <c r="K8" s="232"/>
    </row>
    <row r="9" spans="1:11" s="173" customFormat="1" ht="33" customHeight="1" thickBot="1" x14ac:dyDescent="0.3">
      <c r="A9" s="126" t="s">
        <v>977</v>
      </c>
      <c r="B9" s="92">
        <f>SUM(D4:D8)</f>
        <v>0</v>
      </c>
      <c r="C9" s="209"/>
      <c r="D9" s="209"/>
      <c r="E9" s="209"/>
      <c r="F9" s="209">
        <f>SUM(F4:F8)</f>
        <v>6479.78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0"/>
  <sheetViews>
    <sheetView showGridLines="0" zoomScaleNormal="100" zoomScaleSheetLayoutView="100" workbookViewId="0"/>
  </sheetViews>
  <sheetFormatPr defaultColWidth="8.85546875"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44" t="s">
        <v>912</v>
      </c>
    </row>
    <row r="2" spans="1:6" ht="17.25" thickBot="1" x14ac:dyDescent="0.35">
      <c r="A2" s="251" t="s">
        <v>222</v>
      </c>
    </row>
    <row r="3" spans="1:6" ht="22.5" customHeight="1" thickTop="1" thickBot="1" x14ac:dyDescent="0.3">
      <c r="A3" s="196" t="s">
        <v>502</v>
      </c>
      <c r="B3" s="32" t="s">
        <v>534</v>
      </c>
      <c r="C3" s="32" t="s">
        <v>874</v>
      </c>
      <c r="D3" s="32" t="s">
        <v>977</v>
      </c>
    </row>
    <row r="4" spans="1:6" ht="22.5" customHeight="1" thickTop="1" thickBot="1" x14ac:dyDescent="0.3">
      <c r="A4" s="107" t="s">
        <v>401</v>
      </c>
      <c r="B4" s="8"/>
      <c r="C4" s="8"/>
      <c r="D4" s="20"/>
    </row>
    <row r="5" spans="1:6" ht="22.5" customHeight="1" thickTop="1" thickBot="1" x14ac:dyDescent="0.3">
      <c r="A5" s="174" t="s">
        <v>1000</v>
      </c>
      <c r="B5" s="41"/>
      <c r="C5" s="41"/>
      <c r="D5" s="238">
        <f>SUMIF(SUA!C:C,"042",SUA!F:F)</f>
        <v>0</v>
      </c>
      <c r="E5" s="222"/>
      <c r="F5" s="24"/>
    </row>
    <row r="6" spans="1:6" ht="22.5" customHeight="1" thickBot="1" x14ac:dyDescent="0.3">
      <c r="A6" s="174" t="s">
        <v>884</v>
      </c>
      <c r="B6" s="41"/>
      <c r="C6" s="41"/>
      <c r="D6" s="238">
        <f>SUMIF(SUA!C:C,"047",SUA!F:F)</f>
        <v>0</v>
      </c>
      <c r="E6" s="222"/>
      <c r="F6" s="24"/>
    </row>
    <row r="7" spans="1:6" ht="22.5" customHeight="1" thickBot="1" x14ac:dyDescent="0.3">
      <c r="A7" s="174" t="s">
        <v>367</v>
      </c>
      <c r="B7" s="41"/>
      <c r="C7" s="41"/>
      <c r="D7" s="238">
        <f>SUMIF(SUA!C:C,"048",SUA!F:F)</f>
        <v>0</v>
      </c>
      <c r="E7" s="222"/>
      <c r="F7" s="24"/>
    </row>
    <row r="8" spans="1:6" ht="22.5" customHeight="1" thickBot="1" x14ac:dyDescent="0.3">
      <c r="A8" s="174" t="s">
        <v>1028</v>
      </c>
      <c r="B8" s="41"/>
      <c r="C8" s="41"/>
      <c r="D8" s="238">
        <f>SUMIF(SUA!C:C,"049",SUA!F:F)</f>
        <v>0</v>
      </c>
      <c r="E8" s="222"/>
      <c r="F8" s="24"/>
    </row>
    <row r="9" spans="1:6" ht="22.5" customHeight="1" thickBot="1" x14ac:dyDescent="0.3">
      <c r="A9" s="174" t="s">
        <v>1078</v>
      </c>
      <c r="B9" s="41"/>
      <c r="C9" s="41"/>
      <c r="D9" s="238">
        <f>SUMIF(SUA!C:C,"051",SUA!F:F)</f>
        <v>0</v>
      </c>
      <c r="E9" s="222"/>
      <c r="F9" s="24"/>
    </row>
    <row r="10" spans="1:6" ht="22.5" customHeight="1" thickBot="1" x14ac:dyDescent="0.3">
      <c r="A10" s="129" t="s">
        <v>570</v>
      </c>
      <c r="B10" s="14">
        <f>SUM(B5:B9)</f>
        <v>0</v>
      </c>
      <c r="C10" s="14">
        <f>SUM(C5:C9)</f>
        <v>0</v>
      </c>
      <c r="D10" s="64">
        <f>SUM(D5:D9)</f>
        <v>0</v>
      </c>
      <c r="E10" s="222"/>
      <c r="F10" s="222"/>
    </row>
    <row r="11" spans="1:6" ht="22.5" customHeight="1" thickTop="1" thickBot="1" x14ac:dyDescent="0.3">
      <c r="A11" s="107" t="s">
        <v>215</v>
      </c>
      <c r="B11" s="8"/>
      <c r="C11" s="8"/>
      <c r="D11" s="235"/>
      <c r="E11" s="222"/>
      <c r="F11" s="222"/>
    </row>
    <row r="12" spans="1:6" ht="22.5" customHeight="1" thickTop="1" thickBot="1" x14ac:dyDescent="0.3">
      <c r="A12" s="174" t="s">
        <v>737</v>
      </c>
      <c r="B12" s="41"/>
      <c r="C12" s="41"/>
      <c r="D12" s="238">
        <f>SUMIF(SUA!C:C,"054",SUA!F:F)</f>
        <v>4600.66</v>
      </c>
      <c r="E12" s="222"/>
      <c r="F12" s="24"/>
    </row>
    <row r="13" spans="1:6" ht="22.5" customHeight="1" thickBot="1" x14ac:dyDescent="0.3">
      <c r="A13" s="174" t="s">
        <v>884</v>
      </c>
      <c r="B13" s="41"/>
      <c r="C13" s="41"/>
      <c r="D13" s="238">
        <f>SUMIF(SUA!C:C,"059",SUA!F:F)</f>
        <v>0</v>
      </c>
      <c r="E13" s="222"/>
      <c r="F13" s="24"/>
    </row>
    <row r="14" spans="1:6" ht="22.5" customHeight="1" thickBot="1" x14ac:dyDescent="0.3">
      <c r="A14" s="174" t="s">
        <v>367</v>
      </c>
      <c r="B14" s="41"/>
      <c r="C14" s="41"/>
      <c r="D14" s="238">
        <f>SUMIF(SUA!C:C,"060",SUA!F:F)</f>
        <v>0</v>
      </c>
      <c r="E14" s="222"/>
      <c r="F14" s="24"/>
    </row>
    <row r="15" spans="1:6" ht="22.5" customHeight="1" thickBot="1" x14ac:dyDescent="0.3">
      <c r="A15" s="174" t="s">
        <v>1028</v>
      </c>
      <c r="B15" s="41"/>
      <c r="C15" s="41"/>
      <c r="D15" s="238">
        <f>SUMIF(SUA!C:C,"061",SUA!F:F)</f>
        <v>0</v>
      </c>
      <c r="E15" s="222"/>
      <c r="F15" s="24"/>
    </row>
    <row r="16" spans="1:6" ht="22.5" customHeight="1" thickBot="1" x14ac:dyDescent="0.3">
      <c r="A16" s="174" t="s">
        <v>934</v>
      </c>
      <c r="B16" s="41"/>
      <c r="C16" s="41"/>
      <c r="D16" s="238">
        <f>SUMIF(SUA!C:C,"062",SUA!F:F)</f>
        <v>0</v>
      </c>
      <c r="E16" s="222"/>
      <c r="F16" s="24"/>
    </row>
    <row r="17" spans="1:6" ht="22.5" customHeight="1" thickBot="1" x14ac:dyDescent="0.3">
      <c r="A17" s="174" t="s">
        <v>336</v>
      </c>
      <c r="B17" s="41"/>
      <c r="C17" s="41"/>
      <c r="D17" s="238">
        <f>SUMIF(SUA!C:C,"063",SUA!F:F)</f>
        <v>0</v>
      </c>
      <c r="E17" s="222"/>
      <c r="F17" s="24"/>
    </row>
    <row r="18" spans="1:6" ht="22.5" customHeight="1" thickBot="1" x14ac:dyDescent="0.3">
      <c r="A18" s="174" t="s">
        <v>1078</v>
      </c>
      <c r="B18" s="41"/>
      <c r="C18" s="41"/>
      <c r="D18" s="238">
        <f>SUMIF(SUA!C:C,"065",SUA!F:F)</f>
        <v>11100</v>
      </c>
      <c r="E18" s="222"/>
      <c r="F18" s="24"/>
    </row>
    <row r="19" spans="1:6" ht="22.5" customHeight="1" thickBot="1" x14ac:dyDescent="0.3">
      <c r="A19" s="129" t="s">
        <v>338</v>
      </c>
      <c r="B19" s="14">
        <f>SUM(B12:B18)</f>
        <v>0</v>
      </c>
      <c r="C19" s="14">
        <f>SUM(C12:C18)</f>
        <v>0</v>
      </c>
      <c r="D19" s="122">
        <f>SUM(D12:D18)</f>
        <v>15700.66</v>
      </c>
    </row>
    <row r="20" spans="1:6" ht="17.25" thickTop="1" x14ac:dyDescent="0.3">
      <c r="A20" s="85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5"/>
  <sheetViews>
    <sheetView showGridLines="0" zoomScaleNormal="100" zoomScaleSheetLayoutView="100" workbookViewId="0"/>
  </sheetViews>
  <sheetFormatPr defaultColWidth="8.85546875"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70" t="s">
        <v>151</v>
      </c>
      <c r="B1" s="270"/>
      <c r="C1" s="270"/>
    </row>
    <row r="2" spans="1:3" ht="16.5" thickTop="1" thickBot="1" x14ac:dyDescent="0.3">
      <c r="A2" s="252" t="s">
        <v>77</v>
      </c>
      <c r="B2" s="271" t="s">
        <v>121</v>
      </c>
      <c r="C2" s="272"/>
    </row>
    <row r="3" spans="1:3" ht="16.5" thickTop="1" thickBot="1" x14ac:dyDescent="0.3">
      <c r="A3" s="266"/>
      <c r="B3" s="32" t="s">
        <v>1005</v>
      </c>
      <c r="C3" s="211" t="s">
        <v>179</v>
      </c>
    </row>
    <row r="4" spans="1:3" ht="24" thickTop="1" thickBot="1" x14ac:dyDescent="0.3">
      <c r="A4" s="195" t="s">
        <v>961</v>
      </c>
      <c r="B4" s="22"/>
      <c r="C4" s="230"/>
    </row>
    <row r="5" spans="1:3" ht="23.25" thickBot="1" x14ac:dyDescent="0.3">
      <c r="A5" s="174" t="s">
        <v>526</v>
      </c>
      <c r="B5" s="9" t="s">
        <v>71</v>
      </c>
      <c r="C5" s="128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6"/>
  <sheetViews>
    <sheetView showGridLines="0" zoomScaleNormal="100" zoomScaleSheetLayoutView="100" workbookViewId="0"/>
  </sheetViews>
  <sheetFormatPr defaultColWidth="8.85546875"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44" t="s">
        <v>364</v>
      </c>
    </row>
    <row r="2" spans="1:3" ht="21.75" customHeight="1" thickTop="1" thickBot="1" x14ac:dyDescent="0.3">
      <c r="A2" s="196" t="s">
        <v>129</v>
      </c>
      <c r="B2" s="32" t="s">
        <v>121</v>
      </c>
      <c r="C2" s="32" t="s">
        <v>732</v>
      </c>
    </row>
    <row r="3" spans="1:3" ht="22.5" customHeight="1" thickTop="1" thickBot="1" x14ac:dyDescent="0.3">
      <c r="A3" s="195" t="s">
        <v>220</v>
      </c>
      <c r="B3" s="230"/>
      <c r="C3" s="230"/>
    </row>
    <row r="4" spans="1:3" ht="22.5" customHeight="1" thickBot="1" x14ac:dyDescent="0.3">
      <c r="A4" s="174" t="s">
        <v>271</v>
      </c>
      <c r="B4" s="128"/>
      <c r="C4" s="128"/>
    </row>
    <row r="5" spans="1:3" ht="22.5" customHeight="1" thickBot="1" x14ac:dyDescent="0.3">
      <c r="A5" s="37" t="s">
        <v>870</v>
      </c>
      <c r="B5" s="218"/>
      <c r="C5" s="218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44" t="s">
        <v>144</v>
      </c>
    </row>
    <row r="2" spans="1:3" ht="17.25" thickBot="1" x14ac:dyDescent="0.35">
      <c r="A2" s="72" t="s">
        <v>26</v>
      </c>
    </row>
    <row r="3" spans="1:3" ht="24" thickTop="1" thickBot="1" x14ac:dyDescent="0.3">
      <c r="A3" s="196" t="s">
        <v>502</v>
      </c>
      <c r="B3" s="32" t="s">
        <v>121</v>
      </c>
      <c r="C3" s="32" t="s">
        <v>732</v>
      </c>
    </row>
    <row r="4" spans="1:3" ht="16.5" thickTop="1" thickBot="1" x14ac:dyDescent="0.3">
      <c r="A4" s="127" t="s">
        <v>680</v>
      </c>
      <c r="B4" s="120">
        <f>SUMIF(SUA!C:C,"072",SUA!F:F)</f>
        <v>400.89</v>
      </c>
      <c r="C4" s="201">
        <f>SUMIF(SUA!C:C,"072",SUA!G:G)</f>
        <v>4.9000000000000004</v>
      </c>
    </row>
    <row r="5" spans="1:3" ht="15.75" thickBot="1" x14ac:dyDescent="0.3">
      <c r="A5" s="114" t="s">
        <v>177</v>
      </c>
      <c r="B5" s="245">
        <f>SUMIF(SUA!C:C,"073",SUA!F:F)-(SUMIF(HK!A:A,"261*",HK!K:K)+SUMIF(HK!A:A,"261*",HK!L:L))</f>
        <v>472.58</v>
      </c>
      <c r="C5" s="60">
        <f>SUMIF(SUA!C:C,"073",SUA!G:G)-(SUMIF(HK!A:A,"261*",HK!C:C)+SUMIF(HK!A:A,"261*",HK!D:D))</f>
        <v>12038.83</v>
      </c>
    </row>
    <row r="6" spans="1:3" ht="15.75" thickBot="1" x14ac:dyDescent="0.3">
      <c r="A6" s="114" t="s">
        <v>295</v>
      </c>
      <c r="B6" s="245">
        <f>SUMIF(SUA!C:C,"030",SUA!F:F)</f>
        <v>0</v>
      </c>
      <c r="C6" s="60">
        <f>SUMIF(SUA!C:C,"030",SUA!G:G)</f>
        <v>0</v>
      </c>
    </row>
    <row r="7" spans="1:3" ht="15.75" thickBot="1" x14ac:dyDescent="0.3">
      <c r="A7" s="114" t="s">
        <v>644</v>
      </c>
      <c r="B7" s="245">
        <f>SUMIF(HK!A:A,"261*",HK!K:K)-SUMIF(HK!A:A,"261*",HK!L:L)</f>
        <v>0</v>
      </c>
      <c r="C7" s="60">
        <f>SUMIF(HK!A:A,"261*",HK!C:C)-SUMIF(HK!A:A,"261*",HK!D:D)</f>
        <v>0</v>
      </c>
    </row>
    <row r="8" spans="1:3" ht="15.75" thickBot="1" x14ac:dyDescent="0.3">
      <c r="A8" s="126" t="s">
        <v>868</v>
      </c>
      <c r="B8" s="142">
        <f>SUM(B4:B7)</f>
        <v>873.47</v>
      </c>
      <c r="C8" s="122">
        <f>SUM(C4:C7)</f>
        <v>12043.73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3"/>
  <sheetViews>
    <sheetView showGridLines="0" zoomScaleNormal="100" zoomScaleSheetLayoutView="100" workbookViewId="0"/>
  </sheetViews>
  <sheetFormatPr defaultColWidth="8.85546875"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44" t="s">
        <v>144</v>
      </c>
    </row>
    <row r="2" spans="1:7" ht="17.25" thickBot="1" x14ac:dyDescent="0.35">
      <c r="A2" s="72" t="s">
        <v>5</v>
      </c>
    </row>
    <row r="3" spans="1:7" ht="16.5" thickTop="1" thickBot="1" x14ac:dyDescent="0.3">
      <c r="A3" s="252" t="s">
        <v>661</v>
      </c>
      <c r="B3" s="257" t="s">
        <v>121</v>
      </c>
      <c r="C3" s="258"/>
      <c r="D3" s="258"/>
      <c r="E3" s="259"/>
    </row>
    <row r="4" spans="1:7" ht="18" customHeight="1" thickTop="1" x14ac:dyDescent="0.25">
      <c r="A4" s="253"/>
      <c r="B4" s="253" t="s">
        <v>61</v>
      </c>
      <c r="C4" s="253" t="s">
        <v>1060</v>
      </c>
      <c r="D4" s="253" t="s">
        <v>16</v>
      </c>
      <c r="E4" s="253" t="s">
        <v>89</v>
      </c>
    </row>
    <row r="5" spans="1:7" ht="17.25" customHeight="1" thickBot="1" x14ac:dyDescent="0.3">
      <c r="A5" s="266"/>
      <c r="B5" s="266"/>
      <c r="C5" s="266"/>
      <c r="D5" s="266"/>
      <c r="E5" s="266"/>
    </row>
    <row r="6" spans="1:7" ht="21.75" customHeight="1" thickTop="1" thickBot="1" x14ac:dyDescent="0.3">
      <c r="A6" s="174" t="s">
        <v>888</v>
      </c>
      <c r="B6" s="139">
        <f>SUMIF(HK!A:A,"251*",HK!C:C)-SUMIF(HK!A:A,"251*",HK!D:D)</f>
        <v>0</v>
      </c>
      <c r="C6" s="241"/>
      <c r="D6" s="241"/>
      <c r="E6" s="238">
        <f>SUMIF(HK!A:A,"251*",HK!K:K)-SUMIF(HK!A:A,"251*",HK!L:L)</f>
        <v>0</v>
      </c>
      <c r="F6" s="222"/>
      <c r="G6" s="24"/>
    </row>
    <row r="7" spans="1:7" ht="21.75" customHeight="1" thickBot="1" x14ac:dyDescent="0.3">
      <c r="A7" s="174" t="s">
        <v>185</v>
      </c>
      <c r="B7" s="139">
        <f>SUMIF(HK!A:A,"253*",HK!C:C)-SUMIF(HK!A:A,"253*",HK!D:D)</f>
        <v>0</v>
      </c>
      <c r="C7" s="241"/>
      <c r="D7" s="241"/>
      <c r="E7" s="238">
        <f>SUMIF(HK!A:A,"253*",HK!K:K)-SUMIF(HK!A:A,"253*",HK!L:L)</f>
        <v>0</v>
      </c>
      <c r="F7" s="222"/>
      <c r="G7" s="24"/>
    </row>
    <row r="8" spans="1:7" ht="21.75" customHeight="1" thickBot="1" x14ac:dyDescent="0.3">
      <c r="A8" s="174" t="s">
        <v>115</v>
      </c>
      <c r="B8" s="139"/>
      <c r="C8" s="241"/>
      <c r="D8" s="241"/>
      <c r="E8" s="238"/>
      <c r="F8" s="222"/>
      <c r="G8" s="222"/>
    </row>
    <row r="9" spans="1:7" ht="21.75" customHeight="1" thickBot="1" x14ac:dyDescent="0.3">
      <c r="A9" s="174" t="s">
        <v>18</v>
      </c>
      <c r="B9" s="139">
        <f>SUMIF(HK!A:A,"256*",HK!C:C)-SUMIF(HK!A:A,"256*",HK!D:D)</f>
        <v>0</v>
      </c>
      <c r="C9" s="241"/>
      <c r="D9" s="241"/>
      <c r="E9" s="238">
        <f>SUMIF(HK!A:A,"256*",HK!K:K)-SUMIF(HK!A:A,"256*",HK!L:L)</f>
        <v>0</v>
      </c>
      <c r="F9" s="222"/>
      <c r="G9" s="24"/>
    </row>
    <row r="10" spans="1:7" ht="21.75" customHeight="1" thickBot="1" x14ac:dyDescent="0.3">
      <c r="A10" s="174" t="s">
        <v>1006</v>
      </c>
      <c r="B10" s="139">
        <f>SUMIF(HK!A:A,"257*",HK!C:C)-SUMIF(HK!A:A,"257*",HK!D:D)</f>
        <v>0</v>
      </c>
      <c r="C10" s="241"/>
      <c r="D10" s="241"/>
      <c r="E10" s="238">
        <f>SUMIF(HK!A:A,"257*",HK!K:K)-SUMIF(HK!A:A,"257*",HK!L:L)</f>
        <v>0</v>
      </c>
      <c r="F10" s="222"/>
      <c r="G10" s="24"/>
    </row>
    <row r="11" spans="1:7" ht="21.75" customHeight="1" thickBot="1" x14ac:dyDescent="0.3">
      <c r="A11" s="174" t="s">
        <v>140</v>
      </c>
      <c r="B11" s="139">
        <f>SUMIF(HK!A:A,"259*",HK!C:C)-SUMIF(HK!A:A,"259*",HK!D:D)</f>
        <v>0</v>
      </c>
      <c r="C11" s="241"/>
      <c r="D11" s="241"/>
      <c r="E11" s="238">
        <f>SUMIF(HK!A:A,"259*",HK!K:K)-SUMIF(HK!A:A,"259*",HK!L:L)</f>
        <v>0</v>
      </c>
      <c r="F11" s="222"/>
      <c r="G11" s="24"/>
    </row>
    <row r="12" spans="1:7" ht="21.75" customHeight="1" thickBot="1" x14ac:dyDescent="0.3">
      <c r="A12" s="129" t="s">
        <v>53</v>
      </c>
      <c r="B12" s="14">
        <f>SUM(B6:B11)</f>
        <v>0</v>
      </c>
      <c r="C12" s="14">
        <f>SUM(C6:C11)</f>
        <v>0</v>
      </c>
      <c r="D12" s="14">
        <f>SUM(D6:D11)</f>
        <v>0</v>
      </c>
      <c r="E12" s="122">
        <f>SUM(E6:E11)</f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0"/>
  <sheetViews>
    <sheetView showGridLines="0" zoomScaleNormal="100" zoomScaleSheetLayoutView="100" workbookViewId="0"/>
  </sheetViews>
  <sheetFormatPr defaultColWidth="8.85546875"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70" t="s">
        <v>405</v>
      </c>
      <c r="B1" s="270"/>
      <c r="C1" s="270"/>
      <c r="D1" s="270"/>
      <c r="E1" s="270"/>
      <c r="F1" s="270"/>
      <c r="G1" s="173"/>
    </row>
    <row r="2" spans="1:10" ht="55.5" customHeight="1" thickTop="1" thickBot="1" x14ac:dyDescent="0.3">
      <c r="A2" s="211" t="s">
        <v>158</v>
      </c>
      <c r="B2" s="211" t="s">
        <v>138</v>
      </c>
      <c r="C2" s="211" t="s">
        <v>739</v>
      </c>
      <c r="D2" s="211" t="s">
        <v>854</v>
      </c>
      <c r="E2" s="211" t="s">
        <v>398</v>
      </c>
      <c r="F2" s="211" t="s">
        <v>744</v>
      </c>
    </row>
    <row r="3" spans="1:10" ht="23.25" customHeight="1" thickTop="1" thickBot="1" x14ac:dyDescent="0.3">
      <c r="A3" s="17" t="s">
        <v>1006</v>
      </c>
      <c r="B3" s="139">
        <f>SUMIF(SUAM!C:C,"069",SUAM!E:E)</f>
        <v>0</v>
      </c>
      <c r="C3" s="140"/>
      <c r="D3" s="140"/>
      <c r="E3" s="140"/>
      <c r="F3" s="75">
        <f>SUMIF(SUA!C:C,"069",SUA!E:E)</f>
        <v>0</v>
      </c>
      <c r="G3" s="222"/>
      <c r="H3" s="24"/>
      <c r="J3" s="232"/>
    </row>
    <row r="4" spans="1:10" ht="23.25" customHeight="1" thickBot="1" x14ac:dyDescent="0.3">
      <c r="A4" s="174" t="s">
        <v>140</v>
      </c>
      <c r="B4" s="139">
        <f>SUMIF(SUAM!C:C,"070",SUAM!E:E)</f>
        <v>0</v>
      </c>
      <c r="C4" s="140"/>
      <c r="D4" s="140"/>
      <c r="E4" s="140"/>
      <c r="F4" s="75">
        <f>SUMIF(SUA!C:C,"070",SUA!E:E)</f>
        <v>0</v>
      </c>
      <c r="G4" s="222"/>
      <c r="H4" s="24"/>
      <c r="J4" s="232"/>
    </row>
    <row r="5" spans="1:10" ht="23.25" customHeight="1" thickBot="1" x14ac:dyDescent="0.3">
      <c r="A5" s="129" t="s">
        <v>53</v>
      </c>
      <c r="B5" s="106">
        <f>SUM(B3:B4)</f>
        <v>0</v>
      </c>
      <c r="C5" s="106">
        <f>SUM(C3:C4)</f>
        <v>0</v>
      </c>
      <c r="D5" s="106">
        <f>SUM(D3:D4)</f>
        <v>0</v>
      </c>
      <c r="E5" s="106">
        <f>SUM(E3:E4)</f>
        <v>0</v>
      </c>
      <c r="F5" s="219">
        <f>SUM(B5:E5)</f>
        <v>0</v>
      </c>
    </row>
    <row r="6" spans="1:10" ht="15.75" thickTop="1" x14ac:dyDescent="0.25"/>
    <row r="10" spans="1:10" x14ac:dyDescent="0.25">
      <c r="B10" s="146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C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70" t="s">
        <v>270</v>
      </c>
      <c r="B1" s="270"/>
      <c r="C1" s="173"/>
    </row>
    <row r="2" spans="1:3" ht="16.5" thickTop="1" thickBot="1" x14ac:dyDescent="0.3">
      <c r="A2" s="98" t="s">
        <v>502</v>
      </c>
      <c r="B2" s="203" t="s">
        <v>851</v>
      </c>
    </row>
    <row r="3" spans="1:3" ht="24" thickTop="1" thickBot="1" x14ac:dyDescent="0.3">
      <c r="A3" s="195" t="s">
        <v>717</v>
      </c>
      <c r="B3" s="133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8"/>
  <sheetViews>
    <sheetView showGridLines="0" zoomScaleNormal="100" zoomScaleSheetLayoutView="100" workbookViewId="0"/>
  </sheetViews>
  <sheetFormatPr defaultColWidth="8.85546875" defaultRowHeight="15" x14ac:dyDescent="0.25"/>
  <cols>
    <col min="1" max="1" width="26.140625" customWidth="1"/>
    <col min="2" max="4" width="20.140625" customWidth="1"/>
  </cols>
  <sheetData>
    <row r="1" spans="1:4" s="173" customFormat="1" ht="36.75" customHeight="1" thickBot="1" x14ac:dyDescent="0.35">
      <c r="A1" s="270" t="s">
        <v>1086</v>
      </c>
      <c r="B1" s="270"/>
      <c r="C1" s="270"/>
      <c r="D1" s="270"/>
    </row>
    <row r="2" spans="1:4" ht="44.25" customHeight="1" thickTop="1" thickBot="1" x14ac:dyDescent="0.3">
      <c r="A2" s="109" t="s">
        <v>158</v>
      </c>
      <c r="B2" s="47" t="s">
        <v>257</v>
      </c>
      <c r="C2" s="47" t="s">
        <v>195</v>
      </c>
      <c r="D2" s="47" t="s">
        <v>964</v>
      </c>
    </row>
    <row r="3" spans="1:4" ht="16.5" thickTop="1" thickBot="1" x14ac:dyDescent="0.3">
      <c r="A3" s="17" t="s">
        <v>888</v>
      </c>
      <c r="B3" s="208"/>
      <c r="C3" s="208"/>
      <c r="D3" s="35"/>
    </row>
    <row r="4" spans="1:4" ht="15.75" thickBot="1" x14ac:dyDescent="0.3">
      <c r="A4" s="17" t="s">
        <v>185</v>
      </c>
      <c r="B4" s="208"/>
      <c r="C4" s="208"/>
      <c r="D4" s="35"/>
    </row>
    <row r="5" spans="1:4" ht="15.75" thickBot="1" x14ac:dyDescent="0.3">
      <c r="A5" s="17" t="s">
        <v>76</v>
      </c>
      <c r="B5" s="208"/>
      <c r="C5" s="208"/>
      <c r="D5" s="35"/>
    </row>
    <row r="6" spans="1:4" ht="15.75" thickBot="1" x14ac:dyDescent="0.3">
      <c r="A6" s="17" t="s">
        <v>1006</v>
      </c>
      <c r="B6" s="208"/>
      <c r="C6" s="208"/>
      <c r="D6" s="35"/>
    </row>
    <row r="7" spans="1:4" ht="26.25" customHeight="1" thickBot="1" x14ac:dyDescent="0.3">
      <c r="A7" s="68" t="s">
        <v>53</v>
      </c>
      <c r="B7" s="13"/>
      <c r="C7" s="13"/>
      <c r="D7" s="121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8"/>
  <sheetViews>
    <sheetView showGridLines="0" zoomScaleNormal="100" zoomScaleSheetLayoutView="100" workbookViewId="0"/>
  </sheetViews>
  <sheetFormatPr defaultColWidth="8.85546875"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44" t="s">
        <v>962</v>
      </c>
    </row>
    <row r="2" spans="1:7" ht="36.75" customHeight="1" thickTop="1" thickBot="1" x14ac:dyDescent="0.3">
      <c r="A2" s="273" t="s">
        <v>129</v>
      </c>
      <c r="B2" s="276" t="s">
        <v>121</v>
      </c>
      <c r="C2" s="277"/>
      <c r="D2" s="278"/>
      <c r="E2" s="257" t="s">
        <v>173</v>
      </c>
      <c r="F2" s="258"/>
      <c r="G2" s="259"/>
    </row>
    <row r="3" spans="1:7" ht="16.5" thickTop="1" thickBot="1" x14ac:dyDescent="0.3">
      <c r="A3" s="274"/>
      <c r="B3" s="276" t="s">
        <v>521</v>
      </c>
      <c r="C3" s="277"/>
      <c r="D3" s="278"/>
      <c r="E3" s="276" t="s">
        <v>521</v>
      </c>
      <c r="F3" s="277"/>
      <c r="G3" s="278"/>
    </row>
    <row r="4" spans="1:7" ht="46.5" thickTop="1" thickBot="1" x14ac:dyDescent="0.3">
      <c r="A4" s="275"/>
      <c r="B4" s="184" t="s">
        <v>573</v>
      </c>
      <c r="C4" s="184" t="s">
        <v>1127</v>
      </c>
      <c r="D4" s="184" t="s">
        <v>245</v>
      </c>
      <c r="E4" s="184" t="s">
        <v>573</v>
      </c>
      <c r="F4" s="184" t="s">
        <v>1127</v>
      </c>
      <c r="G4" s="184" t="s">
        <v>245</v>
      </c>
    </row>
    <row r="5" spans="1:7" ht="16.5" customHeight="1" thickTop="1" thickBot="1" x14ac:dyDescent="0.3">
      <c r="A5" s="17" t="s">
        <v>1030</v>
      </c>
      <c r="B5" s="208"/>
      <c r="C5" s="208"/>
      <c r="D5" s="208"/>
      <c r="E5" s="208"/>
      <c r="F5" s="208"/>
      <c r="G5" s="35"/>
    </row>
    <row r="6" spans="1:7" ht="15.75" thickBot="1" x14ac:dyDescent="0.3">
      <c r="A6" s="17" t="s">
        <v>286</v>
      </c>
      <c r="B6" s="208"/>
      <c r="C6" s="208"/>
      <c r="D6" s="208"/>
      <c r="E6" s="208"/>
      <c r="F6" s="208"/>
      <c r="G6" s="35"/>
    </row>
    <row r="7" spans="1:7" ht="15.75" thickBot="1" x14ac:dyDescent="0.3">
      <c r="A7" s="36" t="s">
        <v>868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B27"/>
  <sheetViews>
    <sheetView showGridLines="0" zoomScaleNormal="100" zoomScaleSheetLayoutView="100" workbookViewId="0"/>
  </sheetViews>
  <sheetFormatPr defaultColWidth="8.85546875"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79" t="s">
        <v>792</v>
      </c>
      <c r="B1" s="279"/>
    </row>
    <row r="2" spans="1:2" ht="15.75" thickBot="1" x14ac:dyDescent="0.3">
      <c r="A2" s="146" t="s">
        <v>222</v>
      </c>
      <c r="B2" s="146"/>
    </row>
    <row r="3" spans="1:2" ht="16.5" thickTop="1" thickBot="1" x14ac:dyDescent="0.3">
      <c r="A3" s="109" t="s">
        <v>502</v>
      </c>
      <c r="B3" s="212" t="s">
        <v>732</v>
      </c>
    </row>
    <row r="4" spans="1:2" ht="16.5" thickTop="1" thickBot="1" x14ac:dyDescent="0.3">
      <c r="A4" s="36" t="s">
        <v>86</v>
      </c>
      <c r="B4" s="23">
        <f>IF(SUMIF(SUP!C:C,"100",SUP!E:E)&gt; 0,SUMIF(SUP!C:C,"100",SUP!E:E), 0)</f>
        <v>0</v>
      </c>
    </row>
    <row r="5" spans="1:2" ht="16.5" thickTop="1" thickBot="1" x14ac:dyDescent="0.3">
      <c r="A5" s="36" t="s">
        <v>381</v>
      </c>
      <c r="B5" s="141" t="s">
        <v>121</v>
      </c>
    </row>
    <row r="6" spans="1:2" ht="16.5" thickTop="1" thickBot="1" x14ac:dyDescent="0.3">
      <c r="A6" s="17" t="s">
        <v>22</v>
      </c>
      <c r="B6" s="237"/>
    </row>
    <row r="7" spans="1:2" ht="15.75" thickBot="1" x14ac:dyDescent="0.3">
      <c r="A7" s="17" t="s">
        <v>830</v>
      </c>
      <c r="B7" s="237"/>
    </row>
    <row r="8" spans="1:2" ht="15.75" thickBot="1" x14ac:dyDescent="0.3">
      <c r="A8" s="17" t="s">
        <v>504</v>
      </c>
      <c r="B8" s="237"/>
    </row>
    <row r="9" spans="1:2" ht="15.75" thickBot="1" x14ac:dyDescent="0.3">
      <c r="A9" s="17" t="s">
        <v>866</v>
      </c>
      <c r="B9" s="237"/>
    </row>
    <row r="10" spans="1:2" ht="15.75" thickBot="1" x14ac:dyDescent="0.3">
      <c r="A10" s="17" t="s">
        <v>893</v>
      </c>
      <c r="B10" s="237"/>
    </row>
    <row r="11" spans="1:2" ht="15.75" thickBot="1" x14ac:dyDescent="0.3">
      <c r="A11" s="17" t="s">
        <v>17</v>
      </c>
      <c r="B11" s="237"/>
    </row>
    <row r="12" spans="1:2" ht="15.75" thickBot="1" x14ac:dyDescent="0.3">
      <c r="A12" s="17" t="s">
        <v>1071</v>
      </c>
      <c r="B12" s="237"/>
    </row>
    <row r="13" spans="1:2" ht="15.75" thickBot="1" x14ac:dyDescent="0.3">
      <c r="A13" s="17" t="s">
        <v>485</v>
      </c>
      <c r="B13" s="237"/>
    </row>
    <row r="14" spans="1:2" ht="15.75" thickBot="1" x14ac:dyDescent="0.3">
      <c r="A14" s="36" t="s">
        <v>868</v>
      </c>
      <c r="B14" s="65">
        <f>SUM(B6:B13)</f>
        <v>0</v>
      </c>
    </row>
    <row r="15" spans="1:2" ht="15.75" thickTop="1" x14ac:dyDescent="0.25">
      <c r="A15" s="146"/>
      <c r="B15" s="7"/>
    </row>
    <row r="16" spans="1:2" ht="15.75" thickBot="1" x14ac:dyDescent="0.3">
      <c r="A16" s="146" t="s">
        <v>5</v>
      </c>
      <c r="B16" s="7"/>
    </row>
    <row r="17" spans="1:2" ht="16.5" thickTop="1" thickBot="1" x14ac:dyDescent="0.3">
      <c r="A17" s="109" t="s">
        <v>502</v>
      </c>
      <c r="B17" s="10" t="s">
        <v>732</v>
      </c>
    </row>
    <row r="18" spans="1:2" ht="16.5" thickTop="1" thickBot="1" x14ac:dyDescent="0.3">
      <c r="A18" s="36" t="s">
        <v>462</v>
      </c>
      <c r="B18" s="23">
        <f>IF(SUMIF(SUP!C:C,"100",SUP!E:E)&gt; 0,0,SUMIF(SUP!C:C,"100",SUP!E:E))</f>
        <v>-4569.5600000000004</v>
      </c>
    </row>
    <row r="19" spans="1:2" ht="16.5" thickTop="1" thickBot="1" x14ac:dyDescent="0.3">
      <c r="A19" s="36" t="s">
        <v>200</v>
      </c>
      <c r="B19" s="141" t="s">
        <v>121</v>
      </c>
    </row>
    <row r="20" spans="1:2" ht="16.5" thickTop="1" thickBot="1" x14ac:dyDescent="0.3">
      <c r="A20" s="17" t="s">
        <v>230</v>
      </c>
      <c r="B20" s="237"/>
    </row>
    <row r="21" spans="1:2" ht="15.75" thickBot="1" x14ac:dyDescent="0.3">
      <c r="A21" s="17" t="s">
        <v>677</v>
      </c>
      <c r="B21" s="35"/>
    </row>
    <row r="22" spans="1:2" ht="15.75" thickBot="1" x14ac:dyDescent="0.3">
      <c r="A22" s="17" t="s">
        <v>94</v>
      </c>
      <c r="B22" s="35"/>
    </row>
    <row r="23" spans="1:2" ht="15.75" thickBot="1" x14ac:dyDescent="0.3">
      <c r="A23" s="17" t="s">
        <v>614</v>
      </c>
      <c r="B23" s="35"/>
    </row>
    <row r="24" spans="1:2" ht="15.75" thickBot="1" x14ac:dyDescent="0.3">
      <c r="A24" s="17" t="s">
        <v>1128</v>
      </c>
      <c r="B24" s="35"/>
    </row>
    <row r="25" spans="1:2" ht="15.75" thickBot="1" x14ac:dyDescent="0.3">
      <c r="A25" s="17" t="s">
        <v>485</v>
      </c>
      <c r="B25" s="35"/>
    </row>
    <row r="26" spans="1:2" ht="15.75" thickBot="1" x14ac:dyDescent="0.3">
      <c r="A26" s="36" t="s">
        <v>1026</v>
      </c>
      <c r="B26" s="121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6"/>
  <sheetViews>
    <sheetView showGridLines="0" zoomScaleNormal="100" zoomScaleSheetLayoutView="100" workbookViewId="0"/>
  </sheetViews>
  <sheetFormatPr defaultColWidth="8.85546875" defaultRowHeight="15" x14ac:dyDescent="0.2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 x14ac:dyDescent="0.25">
      <c r="A1" s="134" t="s">
        <v>282</v>
      </c>
      <c r="B1" s="146"/>
      <c r="C1" s="146"/>
      <c r="D1" s="146"/>
      <c r="E1" s="146"/>
      <c r="F1" s="146"/>
    </row>
    <row r="2" spans="1:9" ht="15.75" thickBot="1" x14ac:dyDescent="0.3">
      <c r="A2" s="146" t="s">
        <v>222</v>
      </c>
      <c r="B2" s="146"/>
      <c r="C2" s="146"/>
      <c r="D2" s="146"/>
      <c r="E2" s="146"/>
      <c r="F2" s="146"/>
    </row>
    <row r="3" spans="1:9" ht="16.5" thickTop="1" thickBot="1" x14ac:dyDescent="0.3">
      <c r="A3" s="273" t="s">
        <v>502</v>
      </c>
      <c r="B3" s="276" t="s">
        <v>121</v>
      </c>
      <c r="C3" s="277"/>
      <c r="D3" s="277"/>
      <c r="E3" s="277"/>
      <c r="F3" s="278"/>
    </row>
    <row r="4" spans="1:9" s="173" customFormat="1" ht="33" customHeight="1" thickTop="1" thickBot="1" x14ac:dyDescent="0.3">
      <c r="A4" s="275"/>
      <c r="B4" s="184" t="s">
        <v>61</v>
      </c>
      <c r="C4" s="184" t="s">
        <v>949</v>
      </c>
      <c r="D4" s="198" t="s">
        <v>637</v>
      </c>
      <c r="E4" s="187" t="s">
        <v>648</v>
      </c>
      <c r="F4" s="184" t="s">
        <v>89</v>
      </c>
    </row>
    <row r="5" spans="1:9" ht="21" customHeight="1" thickTop="1" thickBot="1" x14ac:dyDescent="0.3">
      <c r="A5" s="68" t="s">
        <v>448</v>
      </c>
      <c r="B5" s="26">
        <f>SUMIF(HK!A:A,"459*",HK!D:D)-SUMIF(HK!A:A,"459*",HK!C:C)</f>
        <v>0</v>
      </c>
      <c r="C5" s="227">
        <f>SUM(C6:C10)</f>
        <v>0</v>
      </c>
      <c r="D5" s="227">
        <f>SUM(D6:D10)</f>
        <v>0</v>
      </c>
      <c r="E5" s="227">
        <f>SUM(E6:E10)</f>
        <v>0</v>
      </c>
      <c r="F5" s="40">
        <f>SUMIF(HK!A:A,"459*",HK!L:L)-SUMIF(HK!A:A,"459*",HK!K:K)</f>
        <v>0</v>
      </c>
      <c r="G5" s="222"/>
      <c r="H5" s="24"/>
      <c r="I5" s="222"/>
    </row>
    <row r="6" spans="1:9" ht="21" customHeight="1" thickTop="1" thickBot="1" x14ac:dyDescent="0.3">
      <c r="A6" s="185"/>
      <c r="B6" s="244"/>
      <c r="C6" s="140"/>
      <c r="D6" s="125"/>
      <c r="E6" s="125"/>
      <c r="F6" s="53">
        <f>SUM(B6:E6)</f>
        <v>0</v>
      </c>
      <c r="G6" s="222"/>
      <c r="H6" s="222"/>
      <c r="I6" s="222"/>
    </row>
    <row r="7" spans="1:9" ht="21" customHeight="1" thickBot="1" x14ac:dyDescent="0.3">
      <c r="A7" s="185"/>
      <c r="B7" s="244"/>
      <c r="C7" s="140"/>
      <c r="D7" s="199"/>
      <c r="E7" s="199"/>
      <c r="F7" s="53">
        <f>SUM(B7:E7)</f>
        <v>0</v>
      </c>
      <c r="G7" s="222"/>
      <c r="H7" s="222"/>
      <c r="I7" s="222"/>
    </row>
    <row r="8" spans="1:9" ht="21" customHeight="1" thickBot="1" x14ac:dyDescent="0.3">
      <c r="A8" s="185"/>
      <c r="B8" s="244"/>
      <c r="C8" s="140"/>
      <c r="D8" s="199"/>
      <c r="E8" s="199"/>
      <c r="F8" s="53">
        <f>SUM(B8:E8)</f>
        <v>0</v>
      </c>
      <c r="G8" s="222"/>
      <c r="H8" s="222"/>
      <c r="I8" s="222"/>
    </row>
    <row r="9" spans="1:9" ht="21" customHeight="1" thickBot="1" x14ac:dyDescent="0.3">
      <c r="A9" s="185"/>
      <c r="B9" s="244"/>
      <c r="C9" s="140"/>
      <c r="D9" s="199"/>
      <c r="E9" s="199"/>
      <c r="F9" s="53">
        <f>SUM(B9:E9)</f>
        <v>0</v>
      </c>
      <c r="G9" s="222"/>
      <c r="H9" s="222"/>
      <c r="I9" s="222"/>
    </row>
    <row r="10" spans="1:9" ht="21" customHeight="1" thickBot="1" x14ac:dyDescent="0.3">
      <c r="A10" s="229"/>
      <c r="B10" s="87"/>
      <c r="C10" s="215"/>
      <c r="D10" s="25"/>
      <c r="E10" s="25"/>
      <c r="F10" s="177">
        <f>SUM(B10:E10)</f>
        <v>0</v>
      </c>
      <c r="G10" s="222"/>
      <c r="H10" s="222"/>
      <c r="I10" s="222"/>
    </row>
    <row r="11" spans="1:9" ht="21" customHeight="1" thickTop="1" thickBot="1" x14ac:dyDescent="0.3">
      <c r="A11" s="68" t="s">
        <v>169</v>
      </c>
      <c r="B11" s="183">
        <f>SUMIF(HK!A:A,"323*",HK!D:D)-SUMIF(HK!A:A,"323*",HK!C:C)</f>
        <v>0</v>
      </c>
      <c r="C11" s="215">
        <f>SUM(C12:C16)</f>
        <v>0</v>
      </c>
      <c r="D11" s="215">
        <f>SUM(D12:D16)</f>
        <v>0</v>
      </c>
      <c r="E11" s="215">
        <f>SUM(E12:E16)</f>
        <v>0</v>
      </c>
      <c r="F11" s="153">
        <f>SUMIF(HK!A:A,"323*",HK!L:L)-SUMIF(HK!A:A,"323*",HK!K:K)</f>
        <v>0</v>
      </c>
      <c r="G11" s="222"/>
      <c r="H11" s="24"/>
      <c r="I11" s="222"/>
    </row>
    <row r="12" spans="1:9" ht="21" customHeight="1" thickTop="1" thickBot="1" x14ac:dyDescent="0.3">
      <c r="A12" s="185"/>
      <c r="B12" s="244"/>
      <c r="C12" s="140"/>
      <c r="D12" s="125"/>
      <c r="E12" s="125"/>
      <c r="F12" s="53">
        <f t="shared" ref="F12:F17" si="0">SUM(B12:E12)</f>
        <v>0</v>
      </c>
      <c r="G12" s="222"/>
      <c r="H12" s="222"/>
      <c r="I12" s="222"/>
    </row>
    <row r="13" spans="1:9" ht="21" customHeight="1" thickBot="1" x14ac:dyDescent="0.3">
      <c r="A13" s="185"/>
      <c r="B13" s="43"/>
      <c r="C13" s="208"/>
      <c r="D13" s="249"/>
      <c r="E13" s="249"/>
      <c r="F13" s="113">
        <f t="shared" si="0"/>
        <v>0</v>
      </c>
    </row>
    <row r="14" spans="1:9" ht="21" customHeight="1" thickBot="1" x14ac:dyDescent="0.3">
      <c r="A14" s="185"/>
      <c r="B14" s="43"/>
      <c r="C14" s="208"/>
      <c r="D14" s="249"/>
      <c r="E14" s="249"/>
      <c r="F14" s="113">
        <f t="shared" si="0"/>
        <v>0</v>
      </c>
    </row>
    <row r="15" spans="1:9" ht="21" customHeight="1" thickBot="1" x14ac:dyDescent="0.3">
      <c r="A15" s="185"/>
      <c r="B15" s="43"/>
      <c r="C15" s="208"/>
      <c r="D15" s="249"/>
      <c r="E15" s="249"/>
      <c r="F15" s="113">
        <f t="shared" si="0"/>
        <v>0</v>
      </c>
    </row>
    <row r="16" spans="1:9" ht="21" customHeight="1" thickBot="1" x14ac:dyDescent="0.3">
      <c r="A16" s="185"/>
      <c r="B16" s="43"/>
      <c r="C16" s="208"/>
      <c r="D16" s="249"/>
      <c r="E16" s="249"/>
      <c r="F16" s="113">
        <f t="shared" si="0"/>
        <v>0</v>
      </c>
    </row>
    <row r="17" spans="1:9" ht="21" customHeight="1" thickBot="1" x14ac:dyDescent="0.3">
      <c r="A17" s="229"/>
      <c r="B17" s="239"/>
      <c r="C17" s="106"/>
      <c r="D17" s="169"/>
      <c r="E17" s="169"/>
      <c r="F17" s="71">
        <f t="shared" si="0"/>
        <v>0</v>
      </c>
    </row>
    <row r="18" spans="1:9" ht="15.75" thickTop="1" x14ac:dyDescent="0.25">
      <c r="A18" s="173"/>
      <c r="B18" s="173"/>
      <c r="C18" s="173"/>
      <c r="D18" s="173"/>
      <c r="E18" s="173"/>
      <c r="F18" s="173"/>
    </row>
    <row r="19" spans="1:9" ht="16.5" x14ac:dyDescent="0.3">
      <c r="A19" s="251"/>
    </row>
    <row r="20" spans="1:9" ht="15.75" thickBot="1" x14ac:dyDescent="0.3">
      <c r="A20" s="146" t="s">
        <v>5</v>
      </c>
      <c r="B20" s="146"/>
      <c r="C20" s="146"/>
      <c r="D20" s="146"/>
      <c r="E20" s="146"/>
      <c r="F20" s="146"/>
    </row>
    <row r="21" spans="1:9" ht="16.5" thickTop="1" thickBot="1" x14ac:dyDescent="0.3">
      <c r="A21" s="273" t="s">
        <v>502</v>
      </c>
      <c r="B21" s="276" t="s">
        <v>732</v>
      </c>
      <c r="C21" s="277"/>
      <c r="D21" s="277"/>
      <c r="E21" s="277"/>
      <c r="F21" s="278"/>
    </row>
    <row r="22" spans="1:9" s="173" customFormat="1" ht="24" thickTop="1" thickBot="1" x14ac:dyDescent="0.3">
      <c r="A22" s="275"/>
      <c r="B22" s="184" t="s">
        <v>61</v>
      </c>
      <c r="C22" s="184" t="s">
        <v>949</v>
      </c>
      <c r="D22" s="198" t="s">
        <v>637</v>
      </c>
      <c r="E22" s="187" t="s">
        <v>648</v>
      </c>
      <c r="F22" s="184" t="s">
        <v>89</v>
      </c>
    </row>
    <row r="23" spans="1:9" ht="21" customHeight="1" thickTop="1" thickBot="1" x14ac:dyDescent="0.3">
      <c r="A23" s="229" t="s">
        <v>448</v>
      </c>
      <c r="B23" s="26">
        <f>SUMIF(HKM!A:A,"459*",HKM!D:D)-SUMIF(HKM!A:A,"459*",HKM!C:C)</f>
        <v>0</v>
      </c>
      <c r="C23" s="227">
        <f>SUM(C24:C28)</f>
        <v>0</v>
      </c>
      <c r="D23" s="227">
        <f>SUM(D24:D28)</f>
        <v>0</v>
      </c>
      <c r="E23" s="227">
        <f>SUM(E24:E28)</f>
        <v>0</v>
      </c>
      <c r="F23" s="40">
        <f>SUMIF(HKM!A:A,"459*",HKM!L:L)-SUMIF(HKM!A:A,"459*",HKM!K:K)</f>
        <v>0</v>
      </c>
      <c r="G23" s="222"/>
      <c r="H23" s="24"/>
      <c r="I23" s="222"/>
    </row>
    <row r="24" spans="1:9" ht="21" customHeight="1" thickTop="1" thickBot="1" x14ac:dyDescent="0.3">
      <c r="A24" s="185"/>
      <c r="B24" s="244"/>
      <c r="C24" s="140"/>
      <c r="D24" s="125"/>
      <c r="E24" s="125"/>
      <c r="F24" s="53">
        <f>SUM(B24:E24)</f>
        <v>0</v>
      </c>
      <c r="G24" s="222"/>
      <c r="H24" s="222"/>
      <c r="I24" s="222"/>
    </row>
    <row r="25" spans="1:9" ht="21" customHeight="1" thickBot="1" x14ac:dyDescent="0.3">
      <c r="A25" s="185"/>
      <c r="B25" s="244"/>
      <c r="C25" s="140"/>
      <c r="D25" s="199"/>
      <c r="E25" s="199"/>
      <c r="F25" s="53">
        <f>SUM(B25:E25)</f>
        <v>0</v>
      </c>
      <c r="G25" s="222"/>
      <c r="H25" s="222"/>
      <c r="I25" s="222"/>
    </row>
    <row r="26" spans="1:9" ht="21" customHeight="1" thickBot="1" x14ac:dyDescent="0.3">
      <c r="A26" s="185"/>
      <c r="B26" s="244"/>
      <c r="C26" s="140"/>
      <c r="D26" s="199"/>
      <c r="E26" s="199"/>
      <c r="F26" s="53">
        <f>SUM(B26:E26)</f>
        <v>0</v>
      </c>
      <c r="G26" s="222"/>
      <c r="H26" s="222"/>
      <c r="I26" s="222"/>
    </row>
    <row r="27" spans="1:9" ht="21" customHeight="1" thickBot="1" x14ac:dyDescent="0.3">
      <c r="A27" s="185"/>
      <c r="B27" s="244"/>
      <c r="C27" s="140"/>
      <c r="D27" s="199"/>
      <c r="E27" s="199"/>
      <c r="F27" s="53">
        <f>SUM(B27:E27)</f>
        <v>0</v>
      </c>
      <c r="G27" s="222"/>
      <c r="H27" s="222"/>
      <c r="I27" s="222"/>
    </row>
    <row r="28" spans="1:9" ht="21" customHeight="1" thickBot="1" x14ac:dyDescent="0.3">
      <c r="A28" s="229"/>
      <c r="B28" s="87"/>
      <c r="C28" s="215"/>
      <c r="D28" s="25"/>
      <c r="E28" s="25"/>
      <c r="F28" s="177">
        <f>SUM(B28:E28)</f>
        <v>0</v>
      </c>
      <c r="G28" s="222"/>
      <c r="H28" s="222"/>
      <c r="I28" s="222"/>
    </row>
    <row r="29" spans="1:9" ht="21" customHeight="1" thickTop="1" thickBot="1" x14ac:dyDescent="0.3">
      <c r="A29" s="229" t="s">
        <v>169</v>
      </c>
      <c r="B29" s="183">
        <f>SUMIF(HKM!A:A,"323*",HKM!D:D)-SUMIF(HKM!A:A,"323*",HKM!C:C)</f>
        <v>0</v>
      </c>
      <c r="C29" s="215">
        <f>SUM(C30:C34)</f>
        <v>0</v>
      </c>
      <c r="D29" s="215">
        <f>SUM(D30:D34)</f>
        <v>0</v>
      </c>
      <c r="E29" s="215">
        <f>SUM(E30:E34)</f>
        <v>0</v>
      </c>
      <c r="F29" s="153">
        <f>SUMIF(HKM!A:A,"323*",HKM!L:L)-SUMIF(HKM!A:A,"323*",HKM!K:K)</f>
        <v>0</v>
      </c>
      <c r="G29" s="222"/>
      <c r="H29" s="24"/>
      <c r="I29" s="222"/>
    </row>
    <row r="30" spans="1:9" ht="21" customHeight="1" thickTop="1" thickBot="1" x14ac:dyDescent="0.3">
      <c r="A30" s="185"/>
      <c r="B30" s="244"/>
      <c r="C30" s="140"/>
      <c r="D30" s="125"/>
      <c r="E30" s="125"/>
      <c r="F30" s="53">
        <f t="shared" ref="F30:F35" si="1">SUM(B30:E30)</f>
        <v>0</v>
      </c>
      <c r="G30" s="222"/>
      <c r="H30" s="222"/>
      <c r="I30" s="222"/>
    </row>
    <row r="31" spans="1:9" ht="21" customHeight="1" thickBot="1" x14ac:dyDescent="0.3">
      <c r="A31" s="185"/>
      <c r="B31" s="43"/>
      <c r="C31" s="208"/>
      <c r="D31" s="249"/>
      <c r="E31" s="249"/>
      <c r="F31" s="113">
        <f t="shared" si="1"/>
        <v>0</v>
      </c>
    </row>
    <row r="32" spans="1:9" ht="21" customHeight="1" thickBot="1" x14ac:dyDescent="0.3">
      <c r="A32" s="185"/>
      <c r="B32" s="43"/>
      <c r="C32" s="208"/>
      <c r="D32" s="249"/>
      <c r="E32" s="249"/>
      <c r="F32" s="113">
        <f t="shared" si="1"/>
        <v>0</v>
      </c>
    </row>
    <row r="33" spans="1:6" ht="21" customHeight="1" thickBot="1" x14ac:dyDescent="0.3">
      <c r="A33" s="185"/>
      <c r="B33" s="43"/>
      <c r="C33" s="208"/>
      <c r="D33" s="249"/>
      <c r="E33" s="249"/>
      <c r="F33" s="113">
        <f t="shared" si="1"/>
        <v>0</v>
      </c>
    </row>
    <row r="34" spans="1:6" ht="21" customHeight="1" thickBot="1" x14ac:dyDescent="0.3">
      <c r="A34" s="185"/>
      <c r="B34" s="43"/>
      <c r="C34" s="208"/>
      <c r="D34" s="249"/>
      <c r="E34" s="249"/>
      <c r="F34" s="113">
        <f t="shared" si="1"/>
        <v>0</v>
      </c>
    </row>
    <row r="35" spans="1:6" ht="21" customHeight="1" thickBot="1" x14ac:dyDescent="0.3">
      <c r="A35" s="229"/>
      <c r="B35" s="239"/>
      <c r="C35" s="106"/>
      <c r="D35" s="169"/>
      <c r="E35" s="169"/>
      <c r="F35" s="71">
        <f t="shared" si="1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44" t="s">
        <v>126</v>
      </c>
    </row>
    <row r="2" spans="1:3" ht="26.25" customHeight="1" thickTop="1" thickBot="1" x14ac:dyDescent="0.3">
      <c r="A2" s="109" t="s">
        <v>502</v>
      </c>
      <c r="B2" s="47" t="s">
        <v>121</v>
      </c>
      <c r="C2" s="47" t="s">
        <v>732</v>
      </c>
    </row>
    <row r="3" spans="1:3" ht="26.25" customHeight="1" thickTop="1" thickBot="1" x14ac:dyDescent="0.3">
      <c r="A3" s="129" t="s">
        <v>797</v>
      </c>
      <c r="B3" s="131"/>
      <c r="C3" s="130"/>
    </row>
    <row r="4" spans="1:3" ht="26.25" customHeight="1" thickTop="1" thickBot="1" x14ac:dyDescent="0.3">
      <c r="A4" s="174" t="s">
        <v>365</v>
      </c>
      <c r="B4" s="19"/>
      <c r="C4" s="231"/>
    </row>
    <row r="5" spans="1:3" ht="31.5" customHeight="1" thickBot="1" x14ac:dyDescent="0.3">
      <c r="A5" s="174" t="s">
        <v>1021</v>
      </c>
      <c r="B5" s="131"/>
      <c r="C5" s="130"/>
    </row>
    <row r="6" spans="1:3" ht="20.25" customHeight="1" thickBot="1" x14ac:dyDescent="0.3">
      <c r="A6" s="18" t="s">
        <v>318</v>
      </c>
      <c r="B6" s="131"/>
      <c r="C6" s="130"/>
    </row>
    <row r="7" spans="1:3" ht="26.25" customHeight="1" thickBot="1" x14ac:dyDescent="0.3">
      <c r="A7" s="174" t="s">
        <v>262</v>
      </c>
      <c r="B7" s="43"/>
      <c r="C7" s="35"/>
    </row>
    <row r="8" spans="1:3" ht="27.75" customHeight="1" thickBot="1" x14ac:dyDescent="0.3">
      <c r="A8" s="174" t="s">
        <v>249</v>
      </c>
      <c r="B8" s="43"/>
      <c r="C8" s="35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0"/>
  <sheetViews>
    <sheetView showGridLines="0" zoomScaleNormal="100" zoomScaleSheetLayoutView="100" workbookViewId="0"/>
  </sheetViews>
  <sheetFormatPr defaultColWidth="8.85546875"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73" customFormat="1" ht="40.5" customHeight="1" thickBot="1" x14ac:dyDescent="0.35">
      <c r="A1" s="270" t="s">
        <v>1009</v>
      </c>
      <c r="B1" s="270"/>
      <c r="C1" s="270"/>
    </row>
    <row r="2" spans="1:5" ht="24" thickTop="1" thickBot="1" x14ac:dyDescent="0.3">
      <c r="A2" s="109" t="s">
        <v>502</v>
      </c>
      <c r="B2" s="47" t="s">
        <v>121</v>
      </c>
      <c r="C2" s="47" t="s">
        <v>732</v>
      </c>
    </row>
    <row r="3" spans="1:5" ht="35.25" thickTop="1" thickBot="1" x14ac:dyDescent="0.3">
      <c r="A3" s="18" t="s">
        <v>110</v>
      </c>
      <c r="B3" s="208"/>
      <c r="C3" s="35"/>
    </row>
    <row r="4" spans="1:5" ht="23.25" customHeight="1" thickBot="1" x14ac:dyDescent="0.3">
      <c r="A4" s="174" t="s">
        <v>701</v>
      </c>
      <c r="B4" s="208"/>
      <c r="C4" s="35"/>
    </row>
    <row r="5" spans="1:5" ht="23.25" customHeight="1" thickBot="1" x14ac:dyDescent="0.3">
      <c r="A5" s="174" t="s">
        <v>38</v>
      </c>
      <c r="B5" s="208"/>
      <c r="C5" s="35"/>
    </row>
    <row r="6" spans="1:5" ht="45.75" thickBot="1" x14ac:dyDescent="0.3">
      <c r="A6" s="18" t="s">
        <v>368</v>
      </c>
      <c r="B6" s="208"/>
      <c r="C6" s="35"/>
    </row>
    <row r="7" spans="1:5" ht="23.25" customHeight="1" thickBot="1" x14ac:dyDescent="0.3">
      <c r="A7" s="174" t="s">
        <v>701</v>
      </c>
      <c r="B7" s="208"/>
      <c r="C7" s="35"/>
    </row>
    <row r="8" spans="1:5" ht="23.25" customHeight="1" thickBot="1" x14ac:dyDescent="0.3">
      <c r="A8" s="174" t="s">
        <v>38</v>
      </c>
      <c r="B8" s="208"/>
      <c r="C8" s="35"/>
    </row>
    <row r="9" spans="1:5" ht="23.25" customHeight="1" thickBot="1" x14ac:dyDescent="0.3">
      <c r="A9" s="18" t="s">
        <v>525</v>
      </c>
      <c r="B9" s="208"/>
      <c r="C9" s="35"/>
    </row>
    <row r="10" spans="1:5" ht="23.25" customHeight="1" thickBot="1" x14ac:dyDescent="0.3">
      <c r="A10" s="18" t="s">
        <v>574</v>
      </c>
      <c r="B10" s="208"/>
      <c r="C10" s="35"/>
    </row>
    <row r="11" spans="1:5" ht="23.25" customHeight="1" thickBot="1" x14ac:dyDescent="0.3">
      <c r="A11" s="18" t="s">
        <v>862</v>
      </c>
      <c r="B11" s="154">
        <v>0.22</v>
      </c>
      <c r="C11" s="3">
        <v>0.23</v>
      </c>
    </row>
    <row r="12" spans="1:5" ht="23.25" customHeight="1" thickBot="1" x14ac:dyDescent="0.3">
      <c r="A12" s="18" t="s">
        <v>579</v>
      </c>
      <c r="B12" s="242">
        <f>SUMIF(SUA!C:C,"052",SUA!F:F)</f>
        <v>0</v>
      </c>
      <c r="C12" s="75">
        <f>SUMIF(SUA!C:C,"052",SUA!G:G)</f>
        <v>0</v>
      </c>
      <c r="D12" s="222"/>
      <c r="E12" s="95"/>
    </row>
    <row r="13" spans="1:5" ht="23.25" customHeight="1" thickBot="1" x14ac:dyDescent="0.3">
      <c r="A13" s="18" t="s">
        <v>895</v>
      </c>
      <c r="B13" s="140"/>
      <c r="C13" s="237"/>
      <c r="D13" s="222"/>
      <c r="E13" s="222"/>
    </row>
    <row r="14" spans="1:5" ht="23.25" customHeight="1" thickBot="1" x14ac:dyDescent="0.3">
      <c r="A14" s="174" t="s">
        <v>646</v>
      </c>
      <c r="B14" s="140"/>
      <c r="C14" s="237"/>
      <c r="D14" s="222"/>
      <c r="E14" s="222"/>
    </row>
    <row r="15" spans="1:5" ht="23.25" customHeight="1" thickBot="1" x14ac:dyDescent="0.3">
      <c r="A15" s="174" t="s">
        <v>356</v>
      </c>
      <c r="B15" s="140"/>
      <c r="C15" s="237"/>
      <c r="D15" s="222"/>
      <c r="E15" s="222"/>
    </row>
    <row r="16" spans="1:5" ht="23.25" customHeight="1" thickBot="1" x14ac:dyDescent="0.3">
      <c r="A16" s="143" t="s">
        <v>611</v>
      </c>
      <c r="B16" s="242">
        <f>SUMIF(SUA!C:C,"117",SUA!F:F)</f>
        <v>0</v>
      </c>
      <c r="C16" s="75">
        <f>SUMIF(SUA!C:C,"117",SUA!G:G)</f>
        <v>0</v>
      </c>
      <c r="D16" s="222"/>
      <c r="E16" s="95"/>
    </row>
    <row r="17" spans="1:3" ht="23.25" customHeight="1" thickBot="1" x14ac:dyDescent="0.3">
      <c r="A17" s="81" t="s">
        <v>122</v>
      </c>
      <c r="B17" s="208"/>
      <c r="C17" s="35"/>
    </row>
    <row r="18" spans="1:3" ht="23.25" customHeight="1" thickBot="1" x14ac:dyDescent="0.3">
      <c r="A18" s="174" t="s">
        <v>662</v>
      </c>
      <c r="B18" s="208"/>
      <c r="C18" s="35"/>
    </row>
    <row r="19" spans="1:3" ht="23.25" customHeight="1" thickBot="1" x14ac:dyDescent="0.3">
      <c r="A19" s="59" t="s">
        <v>356</v>
      </c>
      <c r="B19" s="45"/>
      <c r="C19" s="132"/>
    </row>
    <row r="20" spans="1:3" ht="18.75" customHeight="1" thickBot="1" x14ac:dyDescent="0.3">
      <c r="A20" s="4" t="s">
        <v>685</v>
      </c>
      <c r="B20" s="83"/>
      <c r="C20" s="83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53"/>
  <sheetViews>
    <sheetView showGridLines="0" zoomScaleNormal="100" zoomScaleSheetLayoutView="100" workbookViewId="0"/>
  </sheetViews>
  <sheetFormatPr defaultColWidth="8.85546875"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44" t="s">
        <v>90</v>
      </c>
    </row>
    <row r="2" spans="1:12" ht="17.25" thickBot="1" x14ac:dyDescent="0.35">
      <c r="A2" s="251" t="s">
        <v>222</v>
      </c>
    </row>
    <row r="3" spans="1:12" ht="15" customHeight="1" thickTop="1" thickBot="1" x14ac:dyDescent="0.3">
      <c r="A3" s="252" t="s">
        <v>100</v>
      </c>
      <c r="B3" s="257" t="s">
        <v>121</v>
      </c>
      <c r="C3" s="258"/>
      <c r="D3" s="258"/>
      <c r="E3" s="258"/>
      <c r="F3" s="258"/>
      <c r="G3" s="258"/>
      <c r="H3" s="258"/>
      <c r="I3" s="259"/>
    </row>
    <row r="4" spans="1:12" ht="35.25" customHeight="1" thickTop="1" thickBot="1" x14ac:dyDescent="0.3">
      <c r="A4" s="253"/>
      <c r="B4" s="160" t="s">
        <v>206</v>
      </c>
      <c r="C4" s="32" t="s">
        <v>622</v>
      </c>
      <c r="D4" s="32" t="s">
        <v>814</v>
      </c>
      <c r="E4" s="196" t="s">
        <v>834</v>
      </c>
      <c r="F4" s="160" t="s">
        <v>205</v>
      </c>
      <c r="G4" s="32" t="s">
        <v>512</v>
      </c>
      <c r="H4" s="32" t="s">
        <v>378</v>
      </c>
      <c r="I4" s="32" t="s">
        <v>868</v>
      </c>
    </row>
    <row r="5" spans="1:12" ht="15" customHeight="1" thickTop="1" thickBot="1" x14ac:dyDescent="0.3">
      <c r="A5" s="15" t="s">
        <v>1088</v>
      </c>
      <c r="B5" s="163"/>
      <c r="C5" s="163"/>
      <c r="D5" s="163"/>
      <c r="E5" s="163"/>
      <c r="F5" s="163"/>
      <c r="G5" s="163"/>
      <c r="H5" s="163"/>
      <c r="I5" s="179"/>
    </row>
    <row r="6" spans="1:12" ht="16.5" thickTop="1" thickBot="1" x14ac:dyDescent="0.3">
      <c r="A6" s="18" t="s">
        <v>928</v>
      </c>
      <c r="B6" s="139">
        <f>SUMIF(HK!A:A,"012*",HK!C:C)-SUMIF(HK!A:A,"012*",HK!D:D)</f>
        <v>0</v>
      </c>
      <c r="C6" s="139">
        <f>SUMIF(HK!A:A,"013*",HK!C:C)-SUMIF(HK!A:A,"013*",HK!D:D)</f>
        <v>0</v>
      </c>
      <c r="D6" s="139">
        <f>SUMIF(HK!A:A,"014*",HK!C:C)-SUMIF(HK!A:A,"014*",HK!D:D)</f>
        <v>0</v>
      </c>
      <c r="E6" s="139">
        <f>SUMIF(HK!A:A,"015*",HK!C:C)-SUMIF(HK!A:A,"015*",HK!D:D)</f>
        <v>0</v>
      </c>
      <c r="F6" s="139">
        <f>SUMIF(HK!A:A,"019*",HK!C:C)-SUMIF(HK!A:A,"019*",HK!D:D)</f>
        <v>0</v>
      </c>
      <c r="G6" s="139">
        <f>SUMIF(HK!A:A,"041*",HK!C:C)-SUMIF(HK!A:A,"041*",HK!D:D)</f>
        <v>0</v>
      </c>
      <c r="H6" s="139">
        <f>SUMIF(HK!A:A,"051*",HK!C:C)-SUMIF(HK!A:A,"051*",HK!D:D)</f>
        <v>0</v>
      </c>
      <c r="I6" s="73">
        <f>SUM(B6:H6)</f>
        <v>0</v>
      </c>
      <c r="J6" s="78"/>
      <c r="K6" s="38"/>
      <c r="L6" s="78"/>
    </row>
    <row r="7" spans="1:12" ht="25.5" customHeight="1" thickBot="1" x14ac:dyDescent="0.3">
      <c r="A7" s="174" t="s">
        <v>1060</v>
      </c>
      <c r="B7" s="241"/>
      <c r="C7" s="139"/>
      <c r="D7" s="139"/>
      <c r="E7" s="139"/>
      <c r="F7" s="139"/>
      <c r="G7" s="139"/>
      <c r="H7" s="139"/>
      <c r="I7" s="73">
        <f>SUM(B7:H7)</f>
        <v>0</v>
      </c>
      <c r="J7" s="78"/>
      <c r="K7" s="78"/>
      <c r="L7" s="78"/>
    </row>
    <row r="8" spans="1:12" ht="15" customHeight="1" thickBot="1" x14ac:dyDescent="0.3">
      <c r="A8" s="174" t="s">
        <v>16</v>
      </c>
      <c r="B8" s="241"/>
      <c r="C8" s="241"/>
      <c r="D8" s="241"/>
      <c r="E8" s="241"/>
      <c r="F8" s="29"/>
      <c r="G8" s="241"/>
      <c r="H8" s="241"/>
      <c r="I8" s="73">
        <f>SUM(B8:H8)</f>
        <v>0</v>
      </c>
      <c r="J8" s="78"/>
      <c r="K8" s="78"/>
      <c r="L8" s="78"/>
    </row>
    <row r="9" spans="1:12" ht="23.25" customHeight="1" thickBot="1" x14ac:dyDescent="0.3">
      <c r="A9" s="174" t="s">
        <v>446</v>
      </c>
      <c r="B9" s="241"/>
      <c r="C9" s="139"/>
      <c r="D9" s="139"/>
      <c r="E9" s="139"/>
      <c r="F9" s="139"/>
      <c r="G9" s="139"/>
      <c r="H9" s="139"/>
      <c r="I9" s="73">
        <f>SUM(B9:H9)</f>
        <v>0</v>
      </c>
      <c r="J9" s="78"/>
      <c r="K9" s="78"/>
      <c r="L9" s="78"/>
    </row>
    <row r="10" spans="1:12" ht="15.75" thickBot="1" x14ac:dyDescent="0.3">
      <c r="A10" s="129" t="s">
        <v>89</v>
      </c>
      <c r="B10" s="139">
        <f>SUMIF(HK!A:A,"012*",HK!K:K)-SUMIF(HK!A:A,"012*",HK!L:L)</f>
        <v>0</v>
      </c>
      <c r="C10" s="139">
        <f>SUMIF(HK!A:A,"013*",HK!K:K)-SUMIF(HK!A:A,"013*",HK!L:L)</f>
        <v>0</v>
      </c>
      <c r="D10" s="139">
        <f>SUMIF(HK!A:A,"014*",HK!K:K)-SUMIF(HK!A:A,"014*",HK!L:L)</f>
        <v>0</v>
      </c>
      <c r="E10" s="139">
        <f>SUMIF(HK!A:A,"015*",HK!K:K)-SUMIF(HK!A:A,"015*",HK!L:L)</f>
        <v>0</v>
      </c>
      <c r="F10" s="139">
        <f>SUMIF(HK!A:A,"019*",HK!K:K)-SUMIF(HK!A:A,"019*",HK!L:L)</f>
        <v>0</v>
      </c>
      <c r="G10" s="139">
        <f>SUMIF(HK!A:A,"041*",HK!K:K)-SUMIF(HK!A:A,"041*",HK!L:L)</f>
        <v>0</v>
      </c>
      <c r="H10" s="139">
        <f>SUMIF(HK!A:A,"051*",HK!K:K)-SUMIF(HK!A:A,"051*",HK!L:L)</f>
        <v>0</v>
      </c>
      <c r="I10" s="152">
        <f>I6+I7-I8+I9</f>
        <v>0</v>
      </c>
      <c r="J10" s="78"/>
      <c r="K10" s="38"/>
      <c r="L10" s="78"/>
    </row>
    <row r="11" spans="1:12" ht="15" customHeight="1" thickTop="1" thickBot="1" x14ac:dyDescent="0.3">
      <c r="A11" s="15" t="s">
        <v>266</v>
      </c>
      <c r="B11" s="145"/>
      <c r="C11" s="145"/>
      <c r="D11" s="191"/>
      <c r="E11" s="145"/>
      <c r="F11" s="145"/>
      <c r="G11" s="145"/>
      <c r="H11" s="145"/>
      <c r="I11" s="118"/>
      <c r="J11" s="78"/>
      <c r="K11" s="78"/>
      <c r="L11" s="78"/>
    </row>
    <row r="12" spans="1:12" ht="16.5" thickTop="1" thickBot="1" x14ac:dyDescent="0.3">
      <c r="A12" s="18" t="s">
        <v>61</v>
      </c>
      <c r="B12" s="139">
        <f>SUMIF(HK!A:A,"071*",HK!D:D)-SUMIF(HK!A:A,"071*",HK!C:C)</f>
        <v>0</v>
      </c>
      <c r="C12" s="139">
        <f>SUMIF(HK!A:A,"073*",HK!D:D)-SUMIF(HK!A:A,"073*",HK!C:C)</f>
        <v>0</v>
      </c>
      <c r="D12" s="99">
        <f>SUMIF(HK!A:A,"074*",HK!D:D)-SUMIF(HK!A:A,"074*",HK!C:C)</f>
        <v>0</v>
      </c>
      <c r="E12" s="139">
        <f>SUMIF(HK!A:A,"075*",HK!D:D)-SUMIF(HK!A:A,"075*",HK!C:C)</f>
        <v>0</v>
      </c>
      <c r="F12" s="139">
        <f>SUMIF(HK!A:A,"079*",HK!D:D)-SUMIF(HK!A:A,"079*",HK!C:C)</f>
        <v>0</v>
      </c>
      <c r="G12" s="155"/>
      <c r="H12" s="155"/>
      <c r="I12" s="73">
        <f>SUM(B12:H12)</f>
        <v>0</v>
      </c>
      <c r="J12" s="78"/>
      <c r="K12" s="38"/>
      <c r="L12" s="78"/>
    </row>
    <row r="13" spans="1:12" ht="22.5" customHeight="1" thickBot="1" x14ac:dyDescent="0.3">
      <c r="A13" s="174" t="s">
        <v>1060</v>
      </c>
      <c r="B13" s="241"/>
      <c r="C13" s="139"/>
      <c r="D13" s="139"/>
      <c r="E13" s="139"/>
      <c r="F13" s="139"/>
      <c r="G13" s="241"/>
      <c r="H13" s="241"/>
      <c r="I13" s="73">
        <f>SUM(B13:H13)</f>
        <v>0</v>
      </c>
      <c r="J13" s="78"/>
      <c r="K13" s="78"/>
      <c r="L13" s="78"/>
    </row>
    <row r="14" spans="1:12" ht="21.75" customHeight="1" thickBot="1" x14ac:dyDescent="0.3">
      <c r="A14" s="174" t="s">
        <v>16</v>
      </c>
      <c r="B14" s="139"/>
      <c r="C14" s="139"/>
      <c r="D14" s="139"/>
      <c r="E14" s="139"/>
      <c r="F14" s="139"/>
      <c r="G14" s="241"/>
      <c r="H14" s="241"/>
      <c r="I14" s="73">
        <f>SUM(B14:H14)</f>
        <v>0</v>
      </c>
      <c r="J14" s="78"/>
      <c r="K14" s="78"/>
      <c r="L14" s="78"/>
    </row>
    <row r="15" spans="1:12" ht="21.75" customHeight="1" thickBot="1" x14ac:dyDescent="0.3">
      <c r="A15" s="243" t="s">
        <v>446</v>
      </c>
      <c r="B15" s="139"/>
      <c r="C15" s="139"/>
      <c r="D15" s="139"/>
      <c r="E15" s="139"/>
      <c r="F15" s="139"/>
      <c r="G15" s="172"/>
      <c r="H15" s="29"/>
      <c r="I15" s="137"/>
      <c r="J15" s="78"/>
      <c r="K15" s="78"/>
      <c r="L15" s="78"/>
    </row>
    <row r="16" spans="1:12" ht="15.75" thickBot="1" x14ac:dyDescent="0.3">
      <c r="A16" s="129" t="s">
        <v>89</v>
      </c>
      <c r="B16" s="139">
        <f>SUMIF(HK!A:A,"071*",HK!L:L)-SUMIF(HK!A:A,"071*",HK!K:K)</f>
        <v>0</v>
      </c>
      <c r="C16" s="139">
        <f>SUMIF(HK!A:A,"073*",HK!L:L)-SUMIF(HK!A:A,"073*",HK!K:K)</f>
        <v>0</v>
      </c>
      <c r="D16" s="139">
        <f>SUMIF(HK!A:A,"074*",HK!L:L)-SUMIF(HK!A:A,"074*",HK!K:K)</f>
        <v>0</v>
      </c>
      <c r="E16" s="139">
        <f>SUMIF(HK!A:A,"075*",HK!L:L)-SUMIF(HK!A:A,"075*",HK!K:K)</f>
        <v>0</v>
      </c>
      <c r="F16" s="139">
        <f>SUMIF(HK!A:A,"079*",HK!L:L)-SUMIF(HK!A:A,"079*",HK!K:K)</f>
        <v>0</v>
      </c>
      <c r="G16" s="49"/>
      <c r="H16" s="49"/>
      <c r="I16" s="152">
        <f>I12+I13-I14</f>
        <v>0</v>
      </c>
      <c r="J16" s="78"/>
      <c r="K16" s="38"/>
      <c r="L16" s="78"/>
    </row>
    <row r="17" spans="1:13" ht="15" customHeight="1" thickTop="1" thickBot="1" x14ac:dyDescent="0.3">
      <c r="A17" s="15" t="s">
        <v>1075</v>
      </c>
      <c r="B17" s="145"/>
      <c r="C17" s="145"/>
      <c r="D17" s="145"/>
      <c r="E17" s="145"/>
      <c r="F17" s="145"/>
      <c r="G17" s="145"/>
      <c r="H17" s="145"/>
      <c r="I17" s="118"/>
      <c r="J17" s="78"/>
      <c r="K17" s="78"/>
      <c r="L17" s="78"/>
    </row>
    <row r="18" spans="1:13" ht="16.5" thickTop="1" thickBot="1" x14ac:dyDescent="0.3">
      <c r="A18" s="18" t="s">
        <v>61</v>
      </c>
      <c r="B18" s="139"/>
      <c r="C18" s="139"/>
      <c r="D18" s="139"/>
      <c r="E18" s="139"/>
      <c r="F18" s="139"/>
      <c r="G18" s="139">
        <f>SUMIF(HK!A:A,"093*",HK!D:D)-SUMIF(HK!A:A,"093*",HK!C:C)</f>
        <v>0</v>
      </c>
      <c r="H18" s="139">
        <f>SUMIF(SUAM!C:C,"010",SUAM!E:E)</f>
        <v>0</v>
      </c>
      <c r="I18" s="73">
        <f>SUM(B18:H18)</f>
        <v>0</v>
      </c>
      <c r="J18" s="78"/>
      <c r="K18" s="38"/>
      <c r="L18" s="207"/>
      <c r="M18" s="232"/>
    </row>
    <row r="19" spans="1:13" ht="15" customHeight="1" thickBot="1" x14ac:dyDescent="0.3">
      <c r="A19" s="174" t="s">
        <v>1060</v>
      </c>
      <c r="B19" s="241"/>
      <c r="C19" s="241"/>
      <c r="D19" s="241"/>
      <c r="E19" s="241"/>
      <c r="F19" s="241"/>
      <c r="G19" s="241"/>
      <c r="H19" s="241"/>
      <c r="I19" s="73">
        <f>SUM(B19:H19)</f>
        <v>0</v>
      </c>
      <c r="J19" s="78"/>
      <c r="K19" s="124"/>
      <c r="L19" s="78"/>
    </row>
    <row r="20" spans="1:13" ht="15" customHeight="1" thickBot="1" x14ac:dyDescent="0.3">
      <c r="A20" s="174" t="s">
        <v>16</v>
      </c>
      <c r="B20" s="241"/>
      <c r="C20" s="241"/>
      <c r="D20" s="241"/>
      <c r="E20" s="241"/>
      <c r="F20" s="241"/>
      <c r="G20" s="241"/>
      <c r="H20" s="241"/>
      <c r="I20" s="73">
        <f>SUM(B20:H20)</f>
        <v>0</v>
      </c>
      <c r="J20" s="78"/>
      <c r="K20" s="124"/>
      <c r="L20" s="78"/>
    </row>
    <row r="21" spans="1:13" ht="15" customHeight="1" thickBot="1" x14ac:dyDescent="0.3">
      <c r="A21" s="243" t="s">
        <v>446</v>
      </c>
      <c r="B21" s="241"/>
      <c r="C21" s="241"/>
      <c r="D21" s="241"/>
      <c r="E21" s="241"/>
      <c r="F21" s="241"/>
      <c r="G21" s="241"/>
      <c r="H21" s="241"/>
      <c r="I21" s="223"/>
      <c r="J21" s="78"/>
      <c r="K21" s="124"/>
      <c r="L21" s="78"/>
    </row>
    <row r="22" spans="1:13" ht="15.75" thickBot="1" x14ac:dyDescent="0.3">
      <c r="A22" s="129" t="s">
        <v>89</v>
      </c>
      <c r="B22" s="139"/>
      <c r="C22" s="139"/>
      <c r="D22" s="139"/>
      <c r="E22" s="139"/>
      <c r="F22" s="139"/>
      <c r="G22" s="139">
        <f>SUMIF(HK!A:A,"093*",HK!L:L)-SUMIF(HK!A:A,"093*",HK!K:K)</f>
        <v>0</v>
      </c>
      <c r="H22" s="139">
        <f>SUMIF(SUA!C:C,"010",SUA!E:E)</f>
        <v>0</v>
      </c>
      <c r="I22" s="152">
        <f>I18+I19-I20</f>
        <v>0</v>
      </c>
      <c r="J22" s="78"/>
      <c r="K22" s="38"/>
      <c r="L22" s="207"/>
      <c r="M22" s="232"/>
    </row>
    <row r="23" spans="1:13" ht="15" customHeight="1" thickTop="1" thickBot="1" x14ac:dyDescent="0.3">
      <c r="A23" s="15" t="s">
        <v>600</v>
      </c>
      <c r="B23" s="145"/>
      <c r="C23" s="145"/>
      <c r="D23" s="145"/>
      <c r="E23" s="145"/>
      <c r="F23" s="145"/>
      <c r="G23" s="145"/>
      <c r="H23" s="145"/>
      <c r="I23" s="118"/>
      <c r="J23" s="78"/>
      <c r="K23" s="78"/>
      <c r="L23" s="78"/>
    </row>
    <row r="24" spans="1:13" ht="15" customHeight="1" thickTop="1" thickBot="1" x14ac:dyDescent="0.3">
      <c r="A24" s="18" t="s">
        <v>61</v>
      </c>
      <c r="B24" s="241"/>
      <c r="C24" s="241"/>
      <c r="D24" s="241"/>
      <c r="E24" s="241"/>
      <c r="F24" s="241"/>
      <c r="G24" s="241"/>
      <c r="H24" s="241"/>
      <c r="I24" s="73">
        <f>I6-I12-I18</f>
        <v>0</v>
      </c>
      <c r="J24" s="78"/>
      <c r="K24" s="78"/>
      <c r="L24" s="78"/>
    </row>
    <row r="25" spans="1:13" ht="15" customHeight="1" thickBot="1" x14ac:dyDescent="0.3">
      <c r="A25" s="129" t="s">
        <v>89</v>
      </c>
      <c r="B25" s="49"/>
      <c r="C25" s="49"/>
      <c r="D25" s="49"/>
      <c r="E25" s="49"/>
      <c r="F25" s="49"/>
      <c r="G25" s="49"/>
      <c r="H25" s="49"/>
      <c r="I25" s="152">
        <f>I10-I16-I22</f>
        <v>0</v>
      </c>
      <c r="J25" s="78"/>
      <c r="K25" s="78"/>
      <c r="L25" s="78"/>
    </row>
    <row r="26" spans="1:13" ht="15.75" thickTop="1" x14ac:dyDescent="0.25">
      <c r="A26" s="54"/>
      <c r="B26" s="161"/>
      <c r="C26" s="161"/>
      <c r="D26" s="161"/>
      <c r="E26" s="161"/>
      <c r="F26" s="161"/>
      <c r="G26" s="161"/>
      <c r="H26" s="161"/>
      <c r="I26" s="161"/>
      <c r="J26" s="78"/>
      <c r="K26" s="78"/>
      <c r="L26" s="78"/>
    </row>
    <row r="27" spans="1:13" x14ac:dyDescent="0.25">
      <c r="A27" s="48"/>
      <c r="B27" s="7"/>
      <c r="C27" s="7"/>
      <c r="D27" s="7"/>
      <c r="E27" s="7"/>
      <c r="F27" s="7"/>
      <c r="G27" s="7"/>
      <c r="H27" s="7"/>
      <c r="I27" s="7"/>
      <c r="J27" s="78"/>
      <c r="K27" s="78"/>
      <c r="L27" s="78"/>
    </row>
    <row r="28" spans="1:13" x14ac:dyDescent="0.25">
      <c r="A28" s="48" t="s">
        <v>5</v>
      </c>
      <c r="B28" s="7"/>
      <c r="C28" s="7"/>
      <c r="D28" s="7"/>
      <c r="E28" s="7"/>
      <c r="F28" s="7"/>
      <c r="G28" s="7"/>
      <c r="H28" s="7"/>
      <c r="I28" s="7"/>
      <c r="J28" s="78"/>
      <c r="K28" s="78"/>
      <c r="L28" s="78"/>
    </row>
    <row r="29" spans="1:13" ht="15.75" thickBot="1" x14ac:dyDescent="0.3">
      <c r="A29" s="54"/>
      <c r="B29" s="161"/>
      <c r="C29" s="161"/>
      <c r="D29" s="161"/>
      <c r="E29" s="161"/>
      <c r="F29" s="161"/>
      <c r="G29" s="161"/>
      <c r="H29" s="161"/>
      <c r="I29" s="7"/>
      <c r="J29" s="78"/>
      <c r="K29" s="78"/>
      <c r="L29" s="78"/>
    </row>
    <row r="30" spans="1:13" ht="15" customHeight="1" thickTop="1" thickBot="1" x14ac:dyDescent="0.3">
      <c r="A30" s="252" t="s">
        <v>100</v>
      </c>
      <c r="B30" s="254" t="s">
        <v>732</v>
      </c>
      <c r="C30" s="255"/>
      <c r="D30" s="255"/>
      <c r="E30" s="255"/>
      <c r="F30" s="255"/>
      <c r="G30" s="255"/>
      <c r="H30" s="255"/>
      <c r="I30" s="256"/>
      <c r="J30" s="78"/>
      <c r="K30" s="78"/>
      <c r="L30" s="78"/>
    </row>
    <row r="31" spans="1:13" ht="35.25" thickTop="1" thickBot="1" x14ac:dyDescent="0.3">
      <c r="A31" s="253"/>
      <c r="B31" s="225" t="s">
        <v>206</v>
      </c>
      <c r="C31" s="89" t="s">
        <v>622</v>
      </c>
      <c r="D31" s="89" t="s">
        <v>814</v>
      </c>
      <c r="E31" s="247" t="s">
        <v>834</v>
      </c>
      <c r="F31" s="225" t="s">
        <v>205</v>
      </c>
      <c r="G31" s="89" t="s">
        <v>512</v>
      </c>
      <c r="H31" s="89" t="s">
        <v>378</v>
      </c>
      <c r="I31" s="89" t="s">
        <v>868</v>
      </c>
      <c r="J31" s="78"/>
      <c r="K31" s="78"/>
      <c r="L31" s="78"/>
    </row>
    <row r="32" spans="1:13" ht="15" customHeight="1" thickTop="1" thickBot="1" x14ac:dyDescent="0.3">
      <c r="A32" s="15" t="s">
        <v>1088</v>
      </c>
      <c r="B32" s="111"/>
      <c r="C32" s="111"/>
      <c r="D32" s="111"/>
      <c r="E32" s="111"/>
      <c r="F32" s="111"/>
      <c r="G32" s="111"/>
      <c r="H32" s="111"/>
      <c r="I32" s="118"/>
      <c r="J32" s="78"/>
      <c r="K32" s="78"/>
      <c r="L32" s="78"/>
    </row>
    <row r="33" spans="1:13" ht="16.5" thickTop="1" thickBot="1" x14ac:dyDescent="0.3">
      <c r="A33" s="18" t="s">
        <v>928</v>
      </c>
      <c r="B33" s="139">
        <f>SUMIF(HKM!A:A,"012*",HKM!C:C)-SUMIF(HKM!A:A,"012*",HKM!D:D)</f>
        <v>0</v>
      </c>
      <c r="C33" s="139">
        <f>SUMIF(HKM!A:A,"013*",HKM!C:C)-SUMIF(HKM!A:A,"013*",HKM!D:D)</f>
        <v>0</v>
      </c>
      <c r="D33" s="139">
        <f>SUMIF(HKM!A:A,"014*",HKM!C:C)-SUMIF(HKM!A:A,"014*",HKM!D:D)</f>
        <v>0</v>
      </c>
      <c r="E33" s="139">
        <f>SUMIF(HKM!A:A,"015*",HKM!C:C)-SUMIF(HKM!A:A,"015*",HKM!D:D)</f>
        <v>0</v>
      </c>
      <c r="F33" s="139">
        <f>SUMIF(HKM!A:A,"019*",HKM!C:C)-SUMIF(HKM!A:A,"019*",HKM!D:D)</f>
        <v>0</v>
      </c>
      <c r="G33" s="139">
        <f>SUMIF(HKM!A:A,"041*",HKM!C:C)-SUMIF(HKM!A:A,"041*",HKM!D:D)</f>
        <v>0</v>
      </c>
      <c r="H33" s="139">
        <f>SUMIF(HKM!A:A,"051*",HKM!C:C)-SUMIF(HKM!A:A,"051*",HKM!D:D)</f>
        <v>0</v>
      </c>
      <c r="I33" s="73">
        <f>SUM(B33:H33)</f>
        <v>0</v>
      </c>
      <c r="J33" s="78"/>
      <c r="K33" s="38"/>
      <c r="L33" s="78"/>
    </row>
    <row r="34" spans="1:13" ht="15" customHeight="1" thickBot="1" x14ac:dyDescent="0.3">
      <c r="A34" s="174" t="s">
        <v>1060</v>
      </c>
      <c r="B34" s="241"/>
      <c r="C34" s="241"/>
      <c r="D34" s="241"/>
      <c r="E34" s="241"/>
      <c r="F34" s="29"/>
      <c r="G34" s="241"/>
      <c r="H34" s="241"/>
      <c r="I34" s="73">
        <f>SUM(B34:H34)</f>
        <v>0</v>
      </c>
      <c r="J34" s="78"/>
      <c r="K34" s="78"/>
      <c r="L34" s="78"/>
    </row>
    <row r="35" spans="1:13" ht="15" customHeight="1" thickBot="1" x14ac:dyDescent="0.3">
      <c r="A35" s="174" t="s">
        <v>16</v>
      </c>
      <c r="B35" s="241"/>
      <c r="C35" s="241"/>
      <c r="D35" s="241"/>
      <c r="E35" s="241"/>
      <c r="F35" s="29"/>
      <c r="G35" s="241"/>
      <c r="H35" s="241"/>
      <c r="I35" s="73">
        <f>SUM(B35:H35)</f>
        <v>0</v>
      </c>
      <c r="J35" s="78"/>
      <c r="K35" s="78"/>
      <c r="L35" s="78"/>
    </row>
    <row r="36" spans="1:13" ht="15" customHeight="1" thickBot="1" x14ac:dyDescent="0.3">
      <c r="A36" s="174" t="s">
        <v>446</v>
      </c>
      <c r="B36" s="241"/>
      <c r="C36" s="241"/>
      <c r="D36" s="241"/>
      <c r="E36" s="241"/>
      <c r="F36" s="29"/>
      <c r="G36" s="241"/>
      <c r="H36" s="241"/>
      <c r="I36" s="73">
        <f>SUM(B36:H36)</f>
        <v>0</v>
      </c>
      <c r="J36" s="78"/>
      <c r="K36" s="78"/>
      <c r="L36" s="78"/>
    </row>
    <row r="37" spans="1:13" ht="15.75" thickBot="1" x14ac:dyDescent="0.3">
      <c r="A37" s="129" t="s">
        <v>89</v>
      </c>
      <c r="B37" s="139">
        <f>SUMIF(HKM!A:A,"012*",HKM!K:K)-SUMIF(HKM!A:A,"012*",HKM!L:L)</f>
        <v>0</v>
      </c>
      <c r="C37" s="139">
        <f>SUMIF(HKM!A:A,"013*",HKM!K:K)-SUMIF(HKM!A:A,"013*",HKM!L:L)</f>
        <v>0</v>
      </c>
      <c r="D37" s="139">
        <f>SUMIF(HKM!A:A,"014*",HKM!K:K)-SUMIF(HKM!A:A,"014*",HKM!L:L)</f>
        <v>0</v>
      </c>
      <c r="E37" s="139">
        <f>SUMIF(HKM!A:A,"015*",HKM!K:K)-SUMIF(HKM!A:A,"015*",HKM!L:L)</f>
        <v>0</v>
      </c>
      <c r="F37" s="139">
        <f>SUMIF(HKM!A:A,"019*",HKM!K:K)-SUMIF(HKM!A:A,"019*",HKM!L:L)</f>
        <v>0</v>
      </c>
      <c r="G37" s="139">
        <f>SUMIF(HKM!A:A,"041*",HKM!K:K)-SUMIF(HKM!A:A,"041*",HKM!L:L)</f>
        <v>0</v>
      </c>
      <c r="H37" s="139">
        <f>SUMIF(HKM!A:A,"051*",HKM!K:K)-SUMIF(HKM!A:A,"051*",HKM!L:L)</f>
        <v>0</v>
      </c>
      <c r="I37" s="152">
        <f>I33+I34-I35+I36</f>
        <v>0</v>
      </c>
      <c r="J37" s="78"/>
      <c r="K37" s="38"/>
      <c r="L37" s="78"/>
    </row>
    <row r="38" spans="1:13" ht="15" customHeight="1" thickTop="1" thickBot="1" x14ac:dyDescent="0.3">
      <c r="A38" s="15" t="s">
        <v>266</v>
      </c>
      <c r="B38" s="145"/>
      <c r="C38" s="145"/>
      <c r="D38" s="145"/>
      <c r="E38" s="145"/>
      <c r="F38" s="145"/>
      <c r="G38" s="145"/>
      <c r="H38" s="145"/>
      <c r="I38" s="118"/>
      <c r="J38" s="78"/>
      <c r="K38" s="78"/>
      <c r="L38" s="78"/>
    </row>
    <row r="39" spans="1:13" ht="16.5" thickTop="1" thickBot="1" x14ac:dyDescent="0.3">
      <c r="A39" s="18" t="s">
        <v>61</v>
      </c>
      <c r="B39" s="139">
        <f>SUMIF(HKM!A:A,"071*",HKM!D:D)-SUMIF(HKM!A:A,"071*",HKM!C:C)</f>
        <v>0</v>
      </c>
      <c r="C39" s="139">
        <f>SUMIF(HKM!A:A,"073*",HKM!D:D)-SUMIF(HKM!A:A,"073*",HKM!C:C)</f>
        <v>0</v>
      </c>
      <c r="D39" s="139">
        <f>SUMIF(HKM!A:A,"074*",HKM!D:D)-SUMIF(HKM!A:A,"074*",HKM!C:C)</f>
        <v>0</v>
      </c>
      <c r="E39" s="139">
        <f>SUMIF(HKM!A:A,"075*",HKM!D:D)-SUMIF(HKM!A:A,"075*",HKM!C:C)</f>
        <v>0</v>
      </c>
      <c r="F39" s="139">
        <f>SUMIF(HKM!A:A,"079*",HKM!D:D)-SUMIF(HKM!A:A,"079*",HKM!C:C)</f>
        <v>0</v>
      </c>
      <c r="G39" s="139"/>
      <c r="H39" s="139"/>
      <c r="I39" s="73">
        <f>SUM(B39:H39)</f>
        <v>0</v>
      </c>
      <c r="J39" s="78"/>
      <c r="K39" s="38"/>
      <c r="L39" s="78"/>
    </row>
    <row r="40" spans="1:13" ht="15" customHeight="1" thickBot="1" x14ac:dyDescent="0.3">
      <c r="A40" s="174" t="s">
        <v>1060</v>
      </c>
      <c r="B40" s="241"/>
      <c r="C40" s="241"/>
      <c r="D40" s="241"/>
      <c r="E40" s="241"/>
      <c r="F40" s="241"/>
      <c r="G40" s="241"/>
      <c r="H40" s="241"/>
      <c r="I40" s="73">
        <f>SUM(B40:H40)</f>
        <v>0</v>
      </c>
      <c r="J40" s="78"/>
      <c r="K40" s="78"/>
      <c r="L40" s="78"/>
    </row>
    <row r="41" spans="1:13" ht="15" customHeight="1" thickBot="1" x14ac:dyDescent="0.3">
      <c r="A41" s="59" t="s">
        <v>16</v>
      </c>
      <c r="B41" s="61"/>
      <c r="C41" s="61"/>
      <c r="D41" s="61"/>
      <c r="E41" s="61"/>
      <c r="F41" s="61"/>
      <c r="G41" s="61"/>
      <c r="H41" s="61"/>
      <c r="I41" s="171">
        <f>SUM(B41:H41)</f>
        <v>0</v>
      </c>
      <c r="J41" s="78"/>
      <c r="K41" s="78"/>
      <c r="L41" s="78"/>
    </row>
    <row r="42" spans="1:13" s="112" customFormat="1" ht="15" customHeight="1" thickBot="1" x14ac:dyDescent="0.3">
      <c r="A42" s="57" t="s">
        <v>446</v>
      </c>
      <c r="B42" s="172"/>
      <c r="C42" s="172"/>
      <c r="D42" s="172"/>
      <c r="E42" s="172"/>
      <c r="F42" s="172"/>
      <c r="G42" s="172"/>
      <c r="H42" s="172"/>
      <c r="I42" s="172"/>
      <c r="J42" s="224"/>
      <c r="K42" s="224"/>
      <c r="L42" s="224"/>
    </row>
    <row r="43" spans="1:13" ht="15.75" thickBot="1" x14ac:dyDescent="0.3">
      <c r="A43" s="129" t="s">
        <v>89</v>
      </c>
      <c r="B43" s="139">
        <f>SUMIF(HKM!A:A,"071*",HKM!L:L)-SUMIF(HKM!A:A,"071*",HKM!K:K)</f>
        <v>0</v>
      </c>
      <c r="C43" s="139">
        <f>SUMIF(HKM!A:A,"073*",HKM!L:L)-SUMIF(HKM!A:A,"073*",HKM!K:K)</f>
        <v>0</v>
      </c>
      <c r="D43" s="139">
        <f>SUMIF(HKM!A:A,"074*",HKM!L:L)-SUMIF(HKM!A:A,"074*",HKM!K:K)</f>
        <v>0</v>
      </c>
      <c r="E43" s="139">
        <f>SUMIF(HKM!A:A,"075*",HKM!L:L)-SUMIF(HKM!A:A,"075*",HKM!K:K)</f>
        <v>0</v>
      </c>
      <c r="F43" s="139">
        <f>SUMIF(HKM!A:A,"079*",HKM!L:L)-SUMIF(HKM!A:A,"079*",HKM!K:K)</f>
        <v>0</v>
      </c>
      <c r="G43" s="49"/>
      <c r="H43" s="49"/>
      <c r="I43" s="152">
        <f>I39+I40-I41</f>
        <v>0</v>
      </c>
      <c r="J43" s="78"/>
      <c r="K43" s="38"/>
      <c r="L43" s="78"/>
    </row>
    <row r="44" spans="1:13" ht="15" customHeight="1" thickTop="1" thickBot="1" x14ac:dyDescent="0.3">
      <c r="A44" s="15" t="s">
        <v>1075</v>
      </c>
      <c r="B44" s="145"/>
      <c r="C44" s="145"/>
      <c r="D44" s="145"/>
      <c r="E44" s="145"/>
      <c r="F44" s="145"/>
      <c r="G44" s="145"/>
      <c r="H44" s="145"/>
      <c r="I44" s="118"/>
      <c r="J44" s="78"/>
      <c r="K44" s="78"/>
      <c r="L44" s="78"/>
    </row>
    <row r="45" spans="1:13" ht="16.5" thickTop="1" thickBot="1" x14ac:dyDescent="0.3">
      <c r="A45" s="18" t="s">
        <v>61</v>
      </c>
      <c r="B45" s="139"/>
      <c r="C45" s="139"/>
      <c r="D45" s="139"/>
      <c r="E45" s="139"/>
      <c r="F45" s="139"/>
      <c r="G45" s="139">
        <f>SUMIF(HKM!A:A,"093*",HKM!D:D)-SUMIF(HKM!A:A,"093*",HKM!C:C)</f>
        <v>0</v>
      </c>
      <c r="H45" s="139"/>
      <c r="I45" s="73">
        <f>SUM(B45:H45)</f>
        <v>0</v>
      </c>
      <c r="J45" s="78"/>
      <c r="K45" s="38"/>
      <c r="L45" s="213"/>
      <c r="M45" s="232"/>
    </row>
    <row r="46" spans="1:13" ht="15" customHeight="1" thickBot="1" x14ac:dyDescent="0.3">
      <c r="A46" s="174" t="s">
        <v>1060</v>
      </c>
      <c r="B46" s="241"/>
      <c r="C46" s="241"/>
      <c r="D46" s="241"/>
      <c r="E46" s="241"/>
      <c r="F46" s="241"/>
      <c r="G46" s="241"/>
      <c r="H46" s="241"/>
      <c r="I46" s="73">
        <f>SUM(B46:H46)</f>
        <v>0</v>
      </c>
      <c r="J46" s="78"/>
      <c r="K46" s="124"/>
      <c r="L46" s="78"/>
    </row>
    <row r="47" spans="1:13" ht="15" customHeight="1" thickBot="1" x14ac:dyDescent="0.3">
      <c r="A47" s="174" t="s">
        <v>16</v>
      </c>
      <c r="B47" s="241"/>
      <c r="C47" s="241"/>
      <c r="D47" s="241"/>
      <c r="E47" s="241"/>
      <c r="F47" s="241"/>
      <c r="G47" s="241"/>
      <c r="H47" s="241"/>
      <c r="I47" s="73">
        <f>SUM(B47:H47)</f>
        <v>0</v>
      </c>
      <c r="J47" s="78"/>
      <c r="K47" s="124"/>
      <c r="L47" s="78"/>
    </row>
    <row r="48" spans="1:13" ht="15" customHeight="1" thickBot="1" x14ac:dyDescent="0.3">
      <c r="A48" s="57" t="s">
        <v>446</v>
      </c>
      <c r="B48" s="241"/>
      <c r="C48" s="241"/>
      <c r="D48" s="241"/>
      <c r="E48" s="241"/>
      <c r="F48" s="241"/>
      <c r="G48" s="241"/>
      <c r="H48" s="241"/>
      <c r="I48" s="172"/>
      <c r="J48" s="78"/>
      <c r="K48" s="124"/>
      <c r="L48" s="78"/>
    </row>
    <row r="49" spans="1:13" ht="15.75" thickBot="1" x14ac:dyDescent="0.3">
      <c r="A49" s="129" t="s">
        <v>89</v>
      </c>
      <c r="B49" s="139"/>
      <c r="C49" s="139"/>
      <c r="D49" s="139"/>
      <c r="E49" s="139"/>
      <c r="F49" s="139"/>
      <c r="G49" s="139">
        <f>SUMIF(HKM!A:A,"093*",HKM!L:L)-SUMIF(HKM!A:A,"093*",HKM!K:K)</f>
        <v>0</v>
      </c>
      <c r="H49" s="139">
        <f>SUMIF(SUAM!C:C,"010",SUAM!E:E)</f>
        <v>0</v>
      </c>
      <c r="I49" s="152">
        <f>I45+I46-I47</f>
        <v>0</v>
      </c>
      <c r="J49" s="78"/>
      <c r="K49" s="38"/>
      <c r="L49" s="207"/>
      <c r="M49" s="232"/>
    </row>
    <row r="50" spans="1:13" ht="15" customHeight="1" thickTop="1" thickBot="1" x14ac:dyDescent="0.3">
      <c r="A50" s="15" t="s">
        <v>600</v>
      </c>
      <c r="B50" s="145"/>
      <c r="C50" s="145"/>
      <c r="D50" s="145"/>
      <c r="E50" s="145"/>
      <c r="F50" s="145"/>
      <c r="G50" s="145"/>
      <c r="H50" s="145"/>
      <c r="I50" s="118"/>
      <c r="J50" s="78"/>
      <c r="K50" s="78"/>
      <c r="L50" s="78"/>
    </row>
    <row r="51" spans="1:13" ht="15" customHeight="1" thickTop="1" thickBot="1" x14ac:dyDescent="0.3">
      <c r="A51" s="18" t="s">
        <v>61</v>
      </c>
      <c r="B51" s="241"/>
      <c r="C51" s="241"/>
      <c r="D51" s="241"/>
      <c r="E51" s="241"/>
      <c r="F51" s="241"/>
      <c r="G51" s="241"/>
      <c r="H51" s="241"/>
      <c r="I51" s="73">
        <f>I33-I39-I45</f>
        <v>0</v>
      </c>
      <c r="J51" s="78"/>
      <c r="K51" s="78"/>
      <c r="L51" s="78"/>
    </row>
    <row r="52" spans="1:13" ht="15" customHeight="1" thickBot="1" x14ac:dyDescent="0.3">
      <c r="A52" s="129" t="s">
        <v>89</v>
      </c>
      <c r="B52" s="49"/>
      <c r="C52" s="49"/>
      <c r="D52" s="49"/>
      <c r="E52" s="49"/>
      <c r="F52" s="49"/>
      <c r="G52" s="49"/>
      <c r="H52" s="49"/>
      <c r="I52" s="152">
        <f>I37-I43-I49</f>
        <v>0</v>
      </c>
      <c r="J52" s="78"/>
      <c r="K52" s="78"/>
      <c r="L52" s="78"/>
    </row>
    <row r="53" spans="1:13" ht="15.75" thickTop="1" x14ac:dyDescent="0.25"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0"/>
  <sheetViews>
    <sheetView showGridLines="0" zoomScaleNormal="100" zoomScaleSheetLayoutView="100" workbookViewId="0"/>
  </sheetViews>
  <sheetFormatPr defaultColWidth="8.85546875"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44" t="s">
        <v>689</v>
      </c>
    </row>
    <row r="2" spans="1:6" ht="21.75" customHeight="1" thickTop="1" thickBot="1" x14ac:dyDescent="0.3">
      <c r="A2" s="211" t="s">
        <v>502</v>
      </c>
      <c r="B2" s="47" t="s">
        <v>121</v>
      </c>
      <c r="C2" s="47" t="s">
        <v>732</v>
      </c>
    </row>
    <row r="3" spans="1:6" ht="21.75" customHeight="1" thickTop="1" thickBot="1" x14ac:dyDescent="0.3">
      <c r="A3" s="175" t="s">
        <v>1041</v>
      </c>
      <c r="B3" s="242">
        <f>SUMIF(HK!A:A,"472*",HK!D:D)-SUMIF(HK!A:A,"472*",HK!C:C)</f>
        <v>250.69</v>
      </c>
      <c r="C3" s="75">
        <f>SUMIF(HKM!A:A,"472*",HKM!D:D)-SUMIF(HKM!A:A,"472*",HKM!C:C)</f>
        <v>112.95</v>
      </c>
      <c r="D3" s="222"/>
      <c r="E3" s="189"/>
      <c r="F3" s="222"/>
    </row>
    <row r="4" spans="1:6" ht="21.75" customHeight="1" thickBot="1" x14ac:dyDescent="0.3">
      <c r="A4" s="17" t="s">
        <v>1017</v>
      </c>
      <c r="B4" s="140"/>
      <c r="C4" s="237"/>
      <c r="D4" s="222"/>
      <c r="E4" s="222"/>
      <c r="F4" s="222"/>
    </row>
    <row r="5" spans="1:6" ht="21.75" customHeight="1" thickBot="1" x14ac:dyDescent="0.3">
      <c r="A5" s="17" t="s">
        <v>1032</v>
      </c>
      <c r="B5" s="140"/>
      <c r="C5" s="237"/>
      <c r="D5" s="222"/>
      <c r="E5" s="222"/>
      <c r="F5" s="222"/>
    </row>
    <row r="6" spans="1:6" ht="21.75" customHeight="1" thickBot="1" x14ac:dyDescent="0.3">
      <c r="A6" s="17" t="s">
        <v>394</v>
      </c>
      <c r="B6" s="140"/>
      <c r="C6" s="237"/>
      <c r="D6" s="222"/>
      <c r="E6" s="222"/>
      <c r="F6" s="222"/>
    </row>
    <row r="7" spans="1:6" ht="21.75" customHeight="1" thickBot="1" x14ac:dyDescent="0.3">
      <c r="A7" s="175" t="s">
        <v>1042</v>
      </c>
      <c r="B7" s="140">
        <f>SUM(B4:B6)</f>
        <v>0</v>
      </c>
      <c r="C7" s="237">
        <f>SUM(C4:C6)</f>
        <v>0</v>
      </c>
      <c r="D7" s="222"/>
      <c r="E7" s="222"/>
      <c r="F7" s="222"/>
    </row>
    <row r="8" spans="1:6" ht="21.75" customHeight="1" thickBot="1" x14ac:dyDescent="0.3">
      <c r="A8" s="175" t="s">
        <v>503</v>
      </c>
      <c r="B8" s="140"/>
      <c r="C8" s="237"/>
      <c r="D8" s="222"/>
      <c r="E8" s="222"/>
      <c r="F8" s="222"/>
    </row>
    <row r="9" spans="1:6" ht="21.75" customHeight="1" thickBot="1" x14ac:dyDescent="0.3">
      <c r="A9" s="36" t="s">
        <v>753</v>
      </c>
      <c r="B9" s="50">
        <f>SUMIF(HK!A:A,"472*",HK!L:L)-SUMIF(HK!A:A,"472*",HK!K:K)</f>
        <v>431.78</v>
      </c>
      <c r="C9" s="153">
        <f>SUMIF(HKM!A:A,"472*",HKM!L:L)-SUMIF(HKM!A:A,"472*",HKM!K:K)</f>
        <v>250.69</v>
      </c>
      <c r="D9" s="222"/>
      <c r="E9" s="189"/>
      <c r="F9" s="222"/>
    </row>
    <row r="10" spans="1:6" ht="17.25" thickTop="1" x14ac:dyDescent="0.3">
      <c r="A10" s="251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7"/>
  <sheetViews>
    <sheetView showGridLines="0" zoomScaleNormal="100" zoomScaleSheetLayoutView="100" workbookViewId="0"/>
  </sheetViews>
  <sheetFormatPr defaultColWidth="8.85546875"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44" t="s">
        <v>800</v>
      </c>
    </row>
    <row r="2" spans="1:6" s="173" customFormat="1" ht="21.75" customHeight="1" thickTop="1" thickBot="1" x14ac:dyDescent="0.3">
      <c r="A2" s="211" t="s">
        <v>865</v>
      </c>
      <c r="B2" s="47" t="s">
        <v>154</v>
      </c>
      <c r="C2" s="47" t="s">
        <v>274</v>
      </c>
      <c r="D2" s="47" t="s">
        <v>855</v>
      </c>
      <c r="E2" s="47" t="s">
        <v>838</v>
      </c>
      <c r="F2" s="47" t="s">
        <v>521</v>
      </c>
    </row>
    <row r="3" spans="1:6" ht="21.75" customHeight="1" thickTop="1" thickBot="1" x14ac:dyDescent="0.3">
      <c r="A3" s="185"/>
      <c r="B3" s="77"/>
      <c r="C3" s="208"/>
      <c r="D3" s="208"/>
      <c r="E3" s="208"/>
      <c r="F3" s="35"/>
    </row>
    <row r="4" spans="1:6" ht="21.75" customHeight="1" thickBot="1" x14ac:dyDescent="0.3">
      <c r="A4" s="185"/>
      <c r="B4" s="77"/>
      <c r="C4" s="208"/>
      <c r="D4" s="208"/>
      <c r="E4" s="208"/>
      <c r="F4" s="35"/>
    </row>
    <row r="5" spans="1:6" ht="21.75" customHeight="1" thickBot="1" x14ac:dyDescent="0.3">
      <c r="A5" s="185"/>
      <c r="B5" s="77"/>
      <c r="C5" s="208"/>
      <c r="D5" s="208"/>
      <c r="E5" s="208"/>
      <c r="F5" s="35"/>
    </row>
    <row r="6" spans="1:6" ht="21.75" customHeight="1" thickBot="1" x14ac:dyDescent="0.3">
      <c r="A6" s="67"/>
      <c r="B6" s="138"/>
      <c r="C6" s="13"/>
      <c r="D6" s="13"/>
      <c r="E6" s="13"/>
      <c r="F6" s="121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I26"/>
  <sheetViews>
    <sheetView showGridLines="0" topLeftCell="A10" zoomScaleNormal="100" zoomScaleSheetLayoutView="100" workbookViewId="0"/>
  </sheetViews>
  <sheetFormatPr defaultColWidth="9.140625" defaultRowHeight="11.25" x14ac:dyDescent="0.25"/>
  <cols>
    <col min="1" max="1" width="23" style="146" customWidth="1"/>
    <col min="2" max="2" width="8.28515625" style="146" customWidth="1"/>
    <col min="3" max="6" width="13.85546875" style="146" customWidth="1"/>
    <col min="7" max="7" width="23.28515625" style="146" customWidth="1"/>
    <col min="8" max="16384" width="9.140625" style="146"/>
  </cols>
  <sheetData>
    <row r="1" spans="1:9" ht="18.75" customHeight="1" x14ac:dyDescent="0.25">
      <c r="A1" s="280" t="s">
        <v>787</v>
      </c>
      <c r="B1" s="280"/>
      <c r="C1" s="280"/>
      <c r="D1" s="280"/>
      <c r="E1" s="280"/>
      <c r="F1" s="280"/>
      <c r="G1" s="280"/>
    </row>
    <row r="2" spans="1:9" ht="12" thickBot="1" x14ac:dyDescent="0.3">
      <c r="A2" s="146" t="s">
        <v>222</v>
      </c>
    </row>
    <row r="3" spans="1:9" ht="66.75" customHeight="1" thickTop="1" thickBot="1" x14ac:dyDescent="0.3">
      <c r="A3" s="196" t="s">
        <v>502</v>
      </c>
      <c r="B3" s="196" t="s">
        <v>733</v>
      </c>
      <c r="C3" s="32" t="s">
        <v>807</v>
      </c>
      <c r="D3" s="196" t="s">
        <v>233</v>
      </c>
      <c r="E3" s="196" t="s">
        <v>432</v>
      </c>
      <c r="F3" s="196" t="s">
        <v>1067</v>
      </c>
    </row>
    <row r="4" spans="1:9" ht="21.75" customHeight="1" thickTop="1" thickBot="1" x14ac:dyDescent="0.3">
      <c r="A4" s="16" t="s">
        <v>236</v>
      </c>
      <c r="B4" s="164"/>
      <c r="C4" s="164"/>
      <c r="D4" s="164"/>
      <c r="E4" s="164"/>
      <c r="F4" s="180"/>
    </row>
    <row r="5" spans="1:9" ht="21.75" customHeight="1" thickTop="1" thickBot="1" x14ac:dyDescent="0.3">
      <c r="A5" s="27"/>
      <c r="B5" s="123"/>
      <c r="C5" s="178"/>
      <c r="D5" s="12"/>
      <c r="E5" s="182"/>
      <c r="F5" s="133"/>
    </row>
    <row r="6" spans="1:9" ht="21.75" customHeight="1" thickBot="1" x14ac:dyDescent="0.3">
      <c r="A6" s="17"/>
      <c r="B6" s="104"/>
      <c r="C6" s="154"/>
      <c r="D6" s="234"/>
      <c r="E6" s="208"/>
      <c r="F6" s="35"/>
    </row>
    <row r="7" spans="1:9" ht="21.75" customHeight="1" thickBot="1" x14ac:dyDescent="0.3">
      <c r="A7" s="17"/>
      <c r="B7" s="104"/>
      <c r="C7" s="154"/>
      <c r="D7" s="234"/>
      <c r="E7" s="242">
        <f>SUMIF(SUP!C:C,"121",SUP!D:D)</f>
        <v>0</v>
      </c>
      <c r="F7" s="75">
        <f>SUMIF(SUP!C:C,"121",SUP!E:E)</f>
        <v>0</v>
      </c>
      <c r="G7" s="188"/>
      <c r="H7" s="95"/>
      <c r="I7" s="188"/>
    </row>
    <row r="8" spans="1:9" ht="21.75" customHeight="1" thickBot="1" x14ac:dyDescent="0.3">
      <c r="A8" s="100" t="s">
        <v>155</v>
      </c>
      <c r="B8" s="28"/>
      <c r="C8" s="150"/>
      <c r="D8" s="150"/>
      <c r="E8" s="220"/>
      <c r="F8" s="226"/>
      <c r="G8" s="188"/>
      <c r="H8" s="188"/>
      <c r="I8" s="188"/>
    </row>
    <row r="9" spans="1:9" ht="21.75" customHeight="1" thickTop="1" thickBot="1" x14ac:dyDescent="0.3">
      <c r="A9" s="17"/>
      <c r="B9" s="104"/>
      <c r="C9" s="154"/>
      <c r="D9" s="234"/>
      <c r="E9" s="140"/>
      <c r="F9" s="237"/>
      <c r="G9" s="188"/>
      <c r="H9" s="188"/>
      <c r="I9" s="188"/>
    </row>
    <row r="10" spans="1:9" ht="21.75" customHeight="1" thickBot="1" x14ac:dyDescent="0.3">
      <c r="A10" s="17"/>
      <c r="B10" s="104"/>
      <c r="C10" s="154"/>
      <c r="D10" s="234"/>
      <c r="E10" s="140"/>
      <c r="F10" s="237"/>
      <c r="G10" s="188"/>
      <c r="H10" s="188"/>
      <c r="I10" s="188"/>
    </row>
    <row r="11" spans="1:9" ht="21.75" customHeight="1" thickBot="1" x14ac:dyDescent="0.3">
      <c r="A11" s="36"/>
      <c r="B11" s="34"/>
      <c r="C11" s="79"/>
      <c r="D11" s="159"/>
      <c r="E11" s="50">
        <f>SUMIF(SUP!C:C,"139",SUP!D:D)</f>
        <v>0</v>
      </c>
      <c r="F11" s="153">
        <f>SUMIF(SUP!C:C,"139",SUP!E:E)</f>
        <v>0</v>
      </c>
      <c r="G11" s="188"/>
      <c r="H11" s="95"/>
      <c r="I11" s="188"/>
    </row>
    <row r="12" spans="1:9" ht="12" thickTop="1" x14ac:dyDescent="0.25">
      <c r="A12" s="55"/>
    </row>
    <row r="13" spans="1:9" ht="12" thickBot="1" x14ac:dyDescent="0.3">
      <c r="A13" s="146" t="s">
        <v>5</v>
      </c>
    </row>
    <row r="14" spans="1:9" ht="66.75" customHeight="1" thickTop="1" thickBot="1" x14ac:dyDescent="0.3">
      <c r="A14" s="196" t="s">
        <v>502</v>
      </c>
      <c r="B14" s="196" t="s">
        <v>733</v>
      </c>
      <c r="C14" s="32" t="s">
        <v>807</v>
      </c>
      <c r="D14" s="196" t="s">
        <v>233</v>
      </c>
      <c r="E14" s="196" t="s">
        <v>432</v>
      </c>
      <c r="F14" s="196" t="s">
        <v>1067</v>
      </c>
    </row>
    <row r="15" spans="1:9" ht="21.75" customHeight="1" thickTop="1" thickBot="1" x14ac:dyDescent="0.3">
      <c r="A15" s="16" t="s">
        <v>588</v>
      </c>
      <c r="B15" s="164"/>
      <c r="C15" s="164"/>
      <c r="D15" s="164"/>
      <c r="E15" s="164"/>
      <c r="F15" s="180"/>
    </row>
    <row r="16" spans="1:9" ht="21.75" customHeight="1" thickTop="1" thickBot="1" x14ac:dyDescent="0.3">
      <c r="A16" s="17"/>
      <c r="B16" s="104"/>
      <c r="C16" s="154"/>
      <c r="D16" s="234"/>
      <c r="E16" s="208"/>
      <c r="F16" s="35"/>
    </row>
    <row r="17" spans="1:8" ht="21.75" customHeight="1" thickBot="1" x14ac:dyDescent="0.3">
      <c r="A17" s="17"/>
      <c r="B17" s="104"/>
      <c r="C17" s="154"/>
      <c r="D17" s="234"/>
      <c r="E17" s="208"/>
      <c r="F17" s="35"/>
    </row>
    <row r="18" spans="1:8" ht="21.75" customHeight="1" thickBot="1" x14ac:dyDescent="0.3">
      <c r="A18" s="17"/>
      <c r="B18" s="104"/>
      <c r="C18" s="154"/>
      <c r="D18" s="234"/>
      <c r="E18" s="208"/>
      <c r="F18" s="35"/>
    </row>
    <row r="19" spans="1:8" ht="21.75" customHeight="1" thickBot="1" x14ac:dyDescent="0.3">
      <c r="A19" s="100" t="s">
        <v>1035</v>
      </c>
      <c r="B19" s="28"/>
      <c r="C19" s="150"/>
      <c r="D19" s="150"/>
      <c r="E19" s="150"/>
      <c r="F19" s="166"/>
    </row>
    <row r="20" spans="1:8" ht="21.75" customHeight="1" thickTop="1" thickBot="1" x14ac:dyDescent="0.3">
      <c r="A20" s="17"/>
      <c r="B20" s="104"/>
      <c r="C20" s="154"/>
      <c r="D20" s="234"/>
      <c r="E20" s="208"/>
      <c r="F20" s="35"/>
    </row>
    <row r="21" spans="1:8" ht="21.75" customHeight="1" thickBot="1" x14ac:dyDescent="0.3">
      <c r="A21" s="17"/>
      <c r="B21" s="104"/>
      <c r="C21" s="154"/>
      <c r="D21" s="234"/>
      <c r="E21" s="208"/>
      <c r="F21" s="35"/>
    </row>
    <row r="22" spans="1:8" ht="21.75" customHeight="1" thickBot="1" x14ac:dyDescent="0.3">
      <c r="A22" s="17"/>
      <c r="B22" s="104"/>
      <c r="C22" s="154"/>
      <c r="D22" s="234"/>
      <c r="E22" s="208"/>
      <c r="F22" s="35"/>
    </row>
    <row r="23" spans="1:8" ht="21.75" customHeight="1" thickBot="1" x14ac:dyDescent="0.3">
      <c r="A23" s="100" t="s">
        <v>544</v>
      </c>
      <c r="B23" s="28"/>
      <c r="C23" s="150"/>
      <c r="D23" s="150"/>
      <c r="E23" s="150"/>
      <c r="F23" s="166"/>
    </row>
    <row r="24" spans="1:8" ht="21.75" customHeight="1" thickTop="1" thickBot="1" x14ac:dyDescent="0.3">
      <c r="A24" s="17"/>
      <c r="B24" s="104"/>
      <c r="C24" s="154"/>
      <c r="D24" s="234"/>
      <c r="E24" s="208"/>
      <c r="F24" s="35"/>
    </row>
    <row r="25" spans="1:8" ht="21.75" customHeight="1" thickBot="1" x14ac:dyDescent="0.3">
      <c r="A25" s="36"/>
      <c r="B25" s="34"/>
      <c r="C25" s="79"/>
      <c r="D25" s="159"/>
      <c r="E25" s="50">
        <f>SUMIF(SUP!C:C,"140",SUP!D:D)</f>
        <v>0</v>
      </c>
      <c r="F25" s="153">
        <f>SUMIF(SUP!C:C,"140",SUP!E:E)</f>
        <v>0</v>
      </c>
      <c r="G25" s="188"/>
      <c r="H25" s="95"/>
    </row>
    <row r="26" spans="1:8" ht="12" thickTop="1" x14ac:dyDescent="0.25">
      <c r="E26" s="188"/>
      <c r="F26" s="188"/>
      <c r="G26" s="188"/>
      <c r="H26" s="188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D15"/>
  <sheetViews>
    <sheetView showGridLines="0" zoomScaleNormal="100" zoomScaleSheetLayoutView="100" workbookViewId="0"/>
  </sheetViews>
  <sheetFormatPr defaultColWidth="8.85546875" defaultRowHeight="15" x14ac:dyDescent="0.25"/>
  <cols>
    <col min="1" max="1" width="27.5703125" customWidth="1"/>
    <col min="2" max="4" width="19.5703125" customWidth="1"/>
  </cols>
  <sheetData>
    <row r="1" spans="1:4" x14ac:dyDescent="0.25">
      <c r="A1" s="281" t="s">
        <v>708</v>
      </c>
      <c r="B1" s="281"/>
      <c r="C1" s="281"/>
      <c r="D1" s="281"/>
    </row>
    <row r="2" spans="1:4" ht="24" customHeight="1" thickBot="1" x14ac:dyDescent="0.3">
      <c r="A2" s="146" t="s">
        <v>222</v>
      </c>
      <c r="B2" s="146"/>
      <c r="C2" s="146"/>
      <c r="D2" s="146"/>
    </row>
    <row r="3" spans="1:4" ht="16.5" thickTop="1" thickBot="1" x14ac:dyDescent="0.3">
      <c r="A3" s="273" t="s">
        <v>502</v>
      </c>
      <c r="B3" s="257" t="s">
        <v>300</v>
      </c>
      <c r="C3" s="258"/>
      <c r="D3" s="252" t="s">
        <v>887</v>
      </c>
    </row>
    <row r="4" spans="1:4" ht="16.5" thickTop="1" thickBot="1" x14ac:dyDescent="0.3">
      <c r="A4" s="275"/>
      <c r="B4" s="184" t="s">
        <v>519</v>
      </c>
      <c r="C4" s="217" t="s">
        <v>1097</v>
      </c>
      <c r="D4" s="266"/>
    </row>
    <row r="5" spans="1:4" ht="24" thickTop="1" thickBot="1" x14ac:dyDescent="0.3">
      <c r="A5" s="129" t="s">
        <v>941</v>
      </c>
      <c r="B5" s="14"/>
      <c r="C5" s="14"/>
      <c r="D5" s="122"/>
    </row>
    <row r="6" spans="1:4" ht="16.5" thickTop="1" thickBot="1" x14ac:dyDescent="0.3">
      <c r="A6" s="174"/>
      <c r="B6" s="208"/>
      <c r="C6" s="208"/>
      <c r="D6" s="35"/>
    </row>
    <row r="7" spans="1:4" ht="15.75" thickBot="1" x14ac:dyDescent="0.3">
      <c r="A7" s="174"/>
      <c r="B7" s="208"/>
      <c r="C7" s="208"/>
      <c r="D7" s="35"/>
    </row>
    <row r="8" spans="1:4" ht="15.75" thickBot="1" x14ac:dyDescent="0.3">
      <c r="A8" s="174"/>
      <c r="B8" s="208"/>
      <c r="C8" s="208"/>
      <c r="D8" s="35"/>
    </row>
    <row r="9" spans="1:4" ht="15.75" thickBot="1" x14ac:dyDescent="0.3">
      <c r="A9" s="37"/>
      <c r="B9" s="13"/>
      <c r="C9" s="45"/>
      <c r="D9" s="121"/>
    </row>
    <row r="10" spans="1:4" ht="16.5" thickTop="1" thickBot="1" x14ac:dyDescent="0.3">
      <c r="A10" s="129" t="s">
        <v>48</v>
      </c>
      <c r="B10" s="13"/>
      <c r="C10" s="167"/>
      <c r="D10" s="121"/>
    </row>
    <row r="11" spans="1:4" ht="16.5" thickTop="1" thickBot="1" x14ac:dyDescent="0.3">
      <c r="A11" s="174"/>
      <c r="B11" s="208"/>
      <c r="C11" s="208"/>
      <c r="D11" s="35"/>
    </row>
    <row r="12" spans="1:4" ht="15.75" thickBot="1" x14ac:dyDescent="0.3">
      <c r="A12" s="174"/>
      <c r="B12" s="208"/>
      <c r="C12" s="208"/>
      <c r="D12" s="35"/>
    </row>
    <row r="13" spans="1:4" ht="15.75" thickBot="1" x14ac:dyDescent="0.3">
      <c r="A13" s="174"/>
      <c r="B13" s="208"/>
      <c r="C13" s="208"/>
      <c r="D13" s="35"/>
    </row>
    <row r="14" spans="1:4" ht="15.75" thickBot="1" x14ac:dyDescent="0.3">
      <c r="A14" s="129"/>
      <c r="B14" s="13"/>
      <c r="C14" s="13"/>
      <c r="D14" s="121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7"/>
  <sheetViews>
    <sheetView showGridLines="0" zoomScaleNormal="100" zoomScaleSheetLayoutView="100" workbookViewId="0"/>
  </sheetViews>
  <sheetFormatPr defaultColWidth="8.85546875" defaultRowHeight="15" x14ac:dyDescent="0.25"/>
  <cols>
    <col min="1" max="1" width="18.5703125" customWidth="1"/>
    <col min="2" max="5" width="17" customWidth="1"/>
  </cols>
  <sheetData>
    <row r="1" spans="1:5" ht="16.5" x14ac:dyDescent="0.3">
      <c r="A1" s="279" t="s">
        <v>708</v>
      </c>
      <c r="B1" s="279"/>
      <c r="C1" s="279"/>
      <c r="D1" s="279"/>
      <c r="E1" s="279"/>
    </row>
    <row r="2" spans="1:5" x14ac:dyDescent="0.25">
      <c r="A2" s="146"/>
      <c r="B2" s="146"/>
      <c r="C2" s="146"/>
      <c r="D2" s="146"/>
      <c r="E2" s="146"/>
    </row>
    <row r="3" spans="1:5" ht="15.75" thickBot="1" x14ac:dyDescent="0.3">
      <c r="A3" s="146" t="s">
        <v>5</v>
      </c>
      <c r="B3" s="146"/>
      <c r="C3" s="146"/>
      <c r="D3" s="146"/>
      <c r="E3" s="146"/>
    </row>
    <row r="4" spans="1:5" ht="24" customHeight="1" thickTop="1" thickBot="1" x14ac:dyDescent="0.3">
      <c r="A4" s="273" t="s">
        <v>502</v>
      </c>
      <c r="B4" s="257" t="s">
        <v>121</v>
      </c>
      <c r="C4" s="259"/>
      <c r="D4" s="257" t="s">
        <v>732</v>
      </c>
      <c r="E4" s="259"/>
    </row>
    <row r="5" spans="1:5" ht="16.5" thickTop="1" thickBot="1" x14ac:dyDescent="0.3">
      <c r="A5" s="274"/>
      <c r="B5" s="257" t="s">
        <v>410</v>
      </c>
      <c r="C5" s="259"/>
      <c r="D5" s="257" t="s">
        <v>410</v>
      </c>
      <c r="E5" s="259"/>
    </row>
    <row r="6" spans="1:5" ht="24" thickTop="1" thickBot="1" x14ac:dyDescent="0.3">
      <c r="A6" s="275"/>
      <c r="B6" s="184" t="s">
        <v>434</v>
      </c>
      <c r="C6" s="184" t="s">
        <v>170</v>
      </c>
      <c r="D6" s="184" t="s">
        <v>434</v>
      </c>
      <c r="E6" s="184" t="s">
        <v>170</v>
      </c>
    </row>
    <row r="7" spans="1:5" ht="24" thickTop="1" thickBot="1" x14ac:dyDescent="0.3">
      <c r="A7" s="129" t="s">
        <v>941</v>
      </c>
      <c r="B7" s="14"/>
      <c r="C7" s="14"/>
      <c r="D7" s="122"/>
      <c r="E7" s="122"/>
    </row>
    <row r="8" spans="1:5" ht="16.5" thickTop="1" thickBot="1" x14ac:dyDescent="0.3">
      <c r="A8" s="174"/>
      <c r="B8" s="208"/>
      <c r="C8" s="208"/>
      <c r="D8" s="35"/>
      <c r="E8" s="35"/>
    </row>
    <row r="9" spans="1:5" ht="15.75" thickBot="1" x14ac:dyDescent="0.3">
      <c r="A9" s="174"/>
      <c r="B9" s="208"/>
      <c r="C9" s="208"/>
      <c r="D9" s="35"/>
      <c r="E9" s="35"/>
    </row>
    <row r="10" spans="1:5" ht="15.75" thickBot="1" x14ac:dyDescent="0.3">
      <c r="A10" s="174"/>
      <c r="B10" s="208"/>
      <c r="C10" s="208"/>
      <c r="D10" s="35"/>
      <c r="E10" s="35"/>
    </row>
    <row r="11" spans="1:5" ht="15.75" thickBot="1" x14ac:dyDescent="0.3">
      <c r="A11" s="37"/>
      <c r="B11" s="13"/>
      <c r="C11" s="45"/>
      <c r="D11" s="121"/>
      <c r="E11" s="121"/>
    </row>
    <row r="12" spans="1:5" ht="24" thickTop="1" thickBot="1" x14ac:dyDescent="0.3">
      <c r="A12" s="129" t="s">
        <v>48</v>
      </c>
      <c r="B12" s="13"/>
      <c r="C12" s="167"/>
      <c r="D12" s="121"/>
      <c r="E12" s="121"/>
    </row>
    <row r="13" spans="1:5" ht="16.5" thickTop="1" thickBot="1" x14ac:dyDescent="0.3">
      <c r="A13" s="174"/>
      <c r="B13" s="208"/>
      <c r="C13" s="208"/>
      <c r="D13" s="35"/>
      <c r="E13" s="35"/>
    </row>
    <row r="14" spans="1:5" ht="15.75" thickBot="1" x14ac:dyDescent="0.3">
      <c r="A14" s="174"/>
      <c r="B14" s="208"/>
      <c r="C14" s="208"/>
      <c r="D14" s="35"/>
      <c r="E14" s="35"/>
    </row>
    <row r="15" spans="1:5" ht="15.75" thickBot="1" x14ac:dyDescent="0.3">
      <c r="A15" s="174"/>
      <c r="B15" s="208"/>
      <c r="C15" s="208"/>
      <c r="D15" s="35"/>
      <c r="E15" s="35"/>
    </row>
    <row r="16" spans="1:5" ht="15.75" thickBot="1" x14ac:dyDescent="0.3">
      <c r="A16" s="129"/>
      <c r="B16" s="13"/>
      <c r="C16" s="13"/>
      <c r="D16" s="121"/>
      <c r="E16" s="121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44" t="s">
        <v>670</v>
      </c>
    </row>
    <row r="2" spans="1:3" ht="16.5" thickTop="1" thickBot="1" x14ac:dyDescent="0.3">
      <c r="A2" s="273" t="s">
        <v>852</v>
      </c>
      <c r="B2" s="257" t="s">
        <v>1027</v>
      </c>
      <c r="C2" s="259"/>
    </row>
    <row r="3" spans="1:3" ht="24" thickTop="1" thickBot="1" x14ac:dyDescent="0.3">
      <c r="A3" s="275"/>
      <c r="B3" s="47" t="s">
        <v>121</v>
      </c>
      <c r="C3" s="47" t="s">
        <v>732</v>
      </c>
    </row>
    <row r="4" spans="1:3" ht="20.25" customHeight="1" thickTop="1" thickBot="1" x14ac:dyDescent="0.3">
      <c r="A4" s="174" t="s">
        <v>322</v>
      </c>
      <c r="B4" s="208"/>
      <c r="C4" s="35"/>
    </row>
    <row r="5" spans="1:3" ht="20.25" customHeight="1" thickBot="1" x14ac:dyDescent="0.3">
      <c r="A5" s="174" t="s">
        <v>1094</v>
      </c>
      <c r="B5" s="208"/>
      <c r="C5" s="35"/>
    </row>
    <row r="6" spans="1:3" ht="26.25" customHeight="1" thickBot="1" x14ac:dyDescent="0.3">
      <c r="A6" s="174" t="s">
        <v>377</v>
      </c>
      <c r="B6" s="208"/>
      <c r="C6" s="35"/>
    </row>
    <row r="7" spans="1:3" ht="24.75" customHeight="1" thickBot="1" x14ac:dyDescent="0.3">
      <c r="A7" s="174" t="s">
        <v>705</v>
      </c>
      <c r="B7" s="208"/>
      <c r="C7" s="35"/>
    </row>
    <row r="8" spans="1:3" ht="20.25" customHeight="1" thickBot="1" x14ac:dyDescent="0.3">
      <c r="A8" s="129" t="s">
        <v>868</v>
      </c>
      <c r="B8" s="13">
        <f>SUM(B4:B7)</f>
        <v>0</v>
      </c>
      <c r="C8" s="121">
        <f>SUM(C4:C7)</f>
        <v>0</v>
      </c>
    </row>
    <row r="9" spans="1:3" ht="17.25" thickTop="1" x14ac:dyDescent="0.3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8"/>
  <sheetViews>
    <sheetView showGridLines="0" zoomScaleNormal="100" zoomScaleSheetLayoutView="100" workbookViewId="0"/>
  </sheetViews>
  <sheetFormatPr defaultColWidth="8.85546875"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44" t="s">
        <v>510</v>
      </c>
    </row>
    <row r="2" spans="1:7" ht="30.75" customHeight="1" thickTop="1" thickBot="1" x14ac:dyDescent="0.3">
      <c r="A2" s="273" t="s">
        <v>129</v>
      </c>
      <c r="B2" s="276" t="s">
        <v>121</v>
      </c>
      <c r="C2" s="277"/>
      <c r="D2" s="278"/>
      <c r="E2" s="257" t="s">
        <v>732</v>
      </c>
      <c r="F2" s="258"/>
      <c r="G2" s="259"/>
    </row>
    <row r="3" spans="1:7" ht="16.5" thickTop="1" thickBot="1" x14ac:dyDescent="0.3">
      <c r="A3" s="274"/>
      <c r="B3" s="276" t="s">
        <v>521</v>
      </c>
      <c r="C3" s="277"/>
      <c r="D3" s="278"/>
      <c r="E3" s="276" t="s">
        <v>521</v>
      </c>
      <c r="F3" s="277"/>
      <c r="G3" s="278"/>
    </row>
    <row r="4" spans="1:7" ht="46.5" thickTop="1" thickBot="1" x14ac:dyDescent="0.3">
      <c r="A4" s="275"/>
      <c r="B4" s="184" t="s">
        <v>573</v>
      </c>
      <c r="C4" s="184" t="s">
        <v>1127</v>
      </c>
      <c r="D4" s="184" t="s">
        <v>245</v>
      </c>
      <c r="E4" s="184" t="s">
        <v>573</v>
      </c>
      <c r="F4" s="184" t="s">
        <v>1127</v>
      </c>
      <c r="G4" s="184" t="s">
        <v>245</v>
      </c>
    </row>
    <row r="5" spans="1:7" ht="16.5" thickTop="1" thickBot="1" x14ac:dyDescent="0.3">
      <c r="A5" s="27" t="s">
        <v>1030</v>
      </c>
      <c r="B5" s="182"/>
      <c r="C5" s="182"/>
      <c r="D5" s="182"/>
      <c r="E5" s="182"/>
      <c r="F5" s="182"/>
      <c r="G5" s="133"/>
    </row>
    <row r="6" spans="1:7" ht="15.75" thickBot="1" x14ac:dyDescent="0.3">
      <c r="A6" s="17" t="s">
        <v>482</v>
      </c>
      <c r="B6" s="208"/>
      <c r="C6" s="208"/>
      <c r="D6" s="208"/>
      <c r="E6" s="208"/>
      <c r="F6" s="208"/>
      <c r="G6" s="35"/>
    </row>
    <row r="7" spans="1:7" ht="15.75" thickBot="1" x14ac:dyDescent="0.3">
      <c r="A7" s="36" t="s">
        <v>868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3"/>
  <sheetViews>
    <sheetView showGridLines="0" zoomScaleNormal="100" zoomScaleSheetLayoutView="100" workbookViewId="0"/>
  </sheetViews>
  <sheetFormatPr defaultColWidth="8.85546875"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44" t="s">
        <v>252</v>
      </c>
    </row>
    <row r="2" spans="1:10" ht="33" customHeight="1" thickTop="1" thickBot="1" x14ac:dyDescent="0.3">
      <c r="A2" s="273" t="s">
        <v>502</v>
      </c>
      <c r="B2" s="47" t="s">
        <v>121</v>
      </c>
      <c r="C2" s="257" t="s">
        <v>732</v>
      </c>
      <c r="D2" s="259"/>
      <c r="E2" s="257" t="s">
        <v>638</v>
      </c>
      <c r="F2" s="259"/>
    </row>
    <row r="3" spans="1:10" ht="45" customHeight="1" thickTop="1" thickBot="1" x14ac:dyDescent="0.3">
      <c r="A3" s="275"/>
      <c r="B3" s="184" t="s">
        <v>953</v>
      </c>
      <c r="C3" s="184" t="s">
        <v>953</v>
      </c>
      <c r="D3" s="184" t="s">
        <v>709</v>
      </c>
      <c r="E3" s="184" t="s">
        <v>121</v>
      </c>
      <c r="F3" s="184" t="s">
        <v>176</v>
      </c>
    </row>
    <row r="4" spans="1:10" ht="35.25" thickTop="1" thickBot="1" x14ac:dyDescent="0.3">
      <c r="A4" s="59" t="s">
        <v>1090</v>
      </c>
      <c r="B4" s="238">
        <f>SUMIF(HK!A:A,"121*",HK!K:K)-SUMIF(HK!A:A,"121*",HK!L:L)+SUMIF(HK!A:A,"122*",HK!K:K)-SUMIF(HK!A:A,"122*",HK!L:L)</f>
        <v>0</v>
      </c>
      <c r="C4" s="238">
        <f>SUMIF(HKM!A:A,"121*",HKM!K:K)-SUMIF(HKM!A:A,"121*",HKM!L:L)+SUMIF(HKM!A:A,"122*",HKM!K:K)-SUMIF(HKM!A:A,"122*",HKM!L:L)</f>
        <v>0</v>
      </c>
      <c r="D4" s="238">
        <f>SUMIF(HKM!A:A,"121*",HKM!C:C)-SUMIF(HKM!A:A,"121*",HKM!D:D)+SUMIF(HKM!A:A,"122*",HKM!C:C)-SUMIF(HKM!A:A,"122*",HKM!D:D)</f>
        <v>0</v>
      </c>
      <c r="E4" s="238">
        <f>SUMIF(HK!A:A,"611*",HK!L:L)-SUMIF(HK!A:A,"611*",HK!K:K)+SUMIF(HK!A:A,"612*",HK!L:L)-SUMIF(HK!A:A,"611*",HK!K:K)</f>
        <v>0</v>
      </c>
      <c r="F4" s="238">
        <f>SUMIF(HKM!A:A,"611*",HKM!L:L)-SUMIF(HKM!A:A,"611*",HKM!K:K)+SUMIF(HKM!A:A,"612*",HKM!L:L)-SUMIF(HKM!A:A,"612*",HKM!K:K)</f>
        <v>0</v>
      </c>
      <c r="G4" s="222"/>
      <c r="H4" s="24"/>
      <c r="I4" s="222"/>
      <c r="J4" s="222"/>
    </row>
    <row r="5" spans="1:10" ht="15.75" thickBot="1" x14ac:dyDescent="0.3">
      <c r="A5" s="243" t="s">
        <v>44</v>
      </c>
      <c r="B5" s="238">
        <f>SUMIF(HK!A:A,"123*",HK!K:K)-SUMIF(HK!A:A,"123*",HK!L:L)</f>
        <v>0</v>
      </c>
      <c r="C5" s="238">
        <f>SUMIF(HKM!A:A,"123*",HKM!K:K)-SUMIF(HKM!A:A,"123*",HKM!L:L)</f>
        <v>0</v>
      </c>
      <c r="D5" s="238">
        <f>SUMIF(HKM!A:A,"123*",HKM!C:C)</f>
        <v>0</v>
      </c>
      <c r="E5" s="238">
        <f>SUMIF(HK!A:A,"613*",HK!L:L)-SUMIF(HK!A:A,"613*",HK!K:K)</f>
        <v>0</v>
      </c>
      <c r="F5" s="238">
        <f>SUMIF(HKM!A:A,"613*",HKM!L:L)-SUMIF(HKM!A:A,"613*",HKM!K:K)</f>
        <v>0</v>
      </c>
      <c r="G5" s="222"/>
      <c r="H5" s="24"/>
      <c r="I5" s="222"/>
      <c r="J5" s="222"/>
    </row>
    <row r="6" spans="1:10" ht="15.75" thickBot="1" x14ac:dyDescent="0.3">
      <c r="A6" s="174" t="s">
        <v>926</v>
      </c>
      <c r="B6" s="238">
        <f>SUMIF(HK!A:A,"124*",HK!K:K)-SUMIF(HK!A:A,"124*",HK!L:L)</f>
        <v>0</v>
      </c>
      <c r="C6" s="238">
        <f>SUMIF(HKM!A:A,"124*",HKM!K:K)-SUMIF(HKM!A:A,"124*",HKM!L:L)</f>
        <v>0</v>
      </c>
      <c r="D6" s="238">
        <f>SUMIF(HKM!A:A,"124*",HKM!C:C)-SUMIF(HKM!A:A,"124*",HKM!D:D)</f>
        <v>0</v>
      </c>
      <c r="E6" s="238">
        <f>SUMIF(HK!A:A,"614*",HK!L:L)-SUMIF(HK!A:A,"614*",HK!K:K)</f>
        <v>0</v>
      </c>
      <c r="F6" s="238">
        <f>SUMIF(HKM!A:A,"614*",HKM!L:L)-SUMIF(HKM!A:A,"614*",HKM!K:K)</f>
        <v>0</v>
      </c>
      <c r="G6" s="222"/>
      <c r="H6" s="24"/>
      <c r="I6" s="222"/>
      <c r="J6" s="222"/>
    </row>
    <row r="7" spans="1:10" ht="19.5" customHeight="1" thickBot="1" x14ac:dyDescent="0.3">
      <c r="A7" s="174" t="s">
        <v>868</v>
      </c>
      <c r="B7" s="33"/>
      <c r="C7" s="33"/>
      <c r="D7" s="205"/>
      <c r="E7" s="237"/>
      <c r="F7" s="237"/>
      <c r="G7" s="222"/>
      <c r="H7" s="148"/>
      <c r="I7" s="222"/>
      <c r="J7" s="222"/>
    </row>
    <row r="8" spans="1:10" ht="15.75" thickBot="1" x14ac:dyDescent="0.3">
      <c r="A8" s="174" t="s">
        <v>231</v>
      </c>
      <c r="B8" s="151" t="s">
        <v>71</v>
      </c>
      <c r="C8" s="151" t="s">
        <v>71</v>
      </c>
      <c r="D8" s="66" t="s">
        <v>71</v>
      </c>
      <c r="E8" s="238">
        <f>SUMIF(HK!A:A,"549*",HK!K:K)-SUMIF(HK!A:A,"549*",HK!L:L)</f>
        <v>0</v>
      </c>
      <c r="F8" s="238">
        <f>SUMIF(HKM!A:A,"549*",HKM!K:K)-SUMIF(HKM!A:A,"549*",HKM!L:L)</f>
        <v>0</v>
      </c>
      <c r="G8" s="222"/>
      <c r="H8" s="24"/>
      <c r="I8" s="222"/>
      <c r="J8" s="222"/>
    </row>
    <row r="9" spans="1:10" ht="15.75" thickBot="1" x14ac:dyDescent="0.3">
      <c r="A9" s="174" t="s">
        <v>812</v>
      </c>
      <c r="B9" s="151" t="s">
        <v>71</v>
      </c>
      <c r="C9" s="151" t="s">
        <v>71</v>
      </c>
      <c r="D9" s="66" t="s">
        <v>71</v>
      </c>
      <c r="E9" s="238">
        <f>SUMIF(HK!A:A,"513*",HK!K:K)-SUMIF(HK!A:A,"513*",HK!L:L)</f>
        <v>0</v>
      </c>
      <c r="F9" s="238">
        <f>SUMIF(HKM!A:A,"513*",HKM!K:K)-SUMIF(HKM!A:A,"513*",HKM!L:L)</f>
        <v>0</v>
      </c>
      <c r="G9" s="222"/>
      <c r="H9" s="24"/>
      <c r="I9" s="222"/>
      <c r="J9" s="222"/>
    </row>
    <row r="10" spans="1:10" ht="15.75" thickBot="1" x14ac:dyDescent="0.3">
      <c r="A10" s="174" t="s">
        <v>736</v>
      </c>
      <c r="B10" s="151" t="s">
        <v>71</v>
      </c>
      <c r="C10" s="151" t="s">
        <v>71</v>
      </c>
      <c r="D10" s="66" t="s">
        <v>71</v>
      </c>
      <c r="E10" s="238">
        <f>SUMIF(HK!A:A,"543*",HK!K:K)-SUMIF(HK!A:A,"543*",HK!L:L)</f>
        <v>0</v>
      </c>
      <c r="F10" s="238">
        <f>SUMIF(HKM!A:A,"543*",HKM!K:K)-SUMIF(HKM!A:A,"543*",HKM!L:L)</f>
        <v>0</v>
      </c>
      <c r="G10" s="222"/>
      <c r="H10" s="24"/>
      <c r="I10" s="222"/>
      <c r="J10" s="222"/>
    </row>
    <row r="11" spans="1:10" ht="19.5" customHeight="1" thickBot="1" x14ac:dyDescent="0.3">
      <c r="A11" s="37" t="s">
        <v>685</v>
      </c>
      <c r="B11" s="96" t="s">
        <v>71</v>
      </c>
      <c r="C11" s="96" t="s">
        <v>71</v>
      </c>
      <c r="D11" s="240" t="s">
        <v>71</v>
      </c>
      <c r="E11" s="65"/>
      <c r="F11" s="65"/>
      <c r="G11" s="222"/>
      <c r="H11" s="148"/>
      <c r="I11" s="222"/>
      <c r="J11" s="222"/>
    </row>
    <row r="12" spans="1:10" ht="35.25" thickTop="1" thickBot="1" x14ac:dyDescent="0.3">
      <c r="A12" s="129" t="s">
        <v>636</v>
      </c>
      <c r="B12" s="96" t="s">
        <v>71</v>
      </c>
      <c r="C12" s="96" t="s">
        <v>71</v>
      </c>
      <c r="D12" s="240" t="s">
        <v>71</v>
      </c>
      <c r="E12" s="75">
        <f>SUMIF(VZaS!C:C,"006",VZaS!D:D)</f>
        <v>0</v>
      </c>
      <c r="F12" s="75">
        <f>SUMIF(VZaS!C:C,"006",VZaS!E:E)</f>
        <v>0</v>
      </c>
      <c r="G12" s="222"/>
      <c r="H12" s="194"/>
      <c r="I12" s="222"/>
      <c r="J12" s="222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0"/>
  <sheetViews>
    <sheetView showGridLines="0" zoomScaleNormal="100" zoomScaleSheetLayoutView="100" workbookViewId="0"/>
  </sheetViews>
  <sheetFormatPr defaultColWidth="8.85546875"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44" t="s">
        <v>554</v>
      </c>
    </row>
    <row r="2" spans="1:7" ht="26.25" customHeight="1" thickTop="1" thickBot="1" x14ac:dyDescent="0.3">
      <c r="A2" s="211" t="s">
        <v>502</v>
      </c>
      <c r="B2" s="47" t="s">
        <v>121</v>
      </c>
      <c r="C2" s="47" t="s">
        <v>732</v>
      </c>
    </row>
    <row r="3" spans="1:7" ht="18.75" customHeight="1" thickTop="1" thickBot="1" x14ac:dyDescent="0.3">
      <c r="A3" s="17" t="s">
        <v>954</v>
      </c>
      <c r="B3" s="75">
        <f>SUMIF(HK!A:A,"601*",HK!L:L)-SUMIF(HK!A:A,"601*",HK!K:K)</f>
        <v>0</v>
      </c>
      <c r="C3" s="75">
        <f>SUMIF(HKM!A:A,"601*",HKM!L:L)-SUMIF(HKM!A:A,"601*",HKM!K:K)</f>
        <v>0</v>
      </c>
      <c r="D3" s="222"/>
      <c r="E3" s="189"/>
      <c r="G3" s="42"/>
    </row>
    <row r="4" spans="1:7" ht="18.75" customHeight="1" thickBot="1" x14ac:dyDescent="0.3">
      <c r="A4" s="17" t="s">
        <v>106</v>
      </c>
      <c r="B4" s="75">
        <f>SUMIF(HK!A:A,"602*",HK!L:L)-SUMIF(HK!A:A,"602*",HK!K:K)</f>
        <v>32532.65</v>
      </c>
      <c r="C4" s="75">
        <f>SUMIF(HKM!A:A,"602*",HKM!L:L)-SUMIF(HKM!A:A,"602*",HKM!K:K)</f>
        <v>58865.82</v>
      </c>
      <c r="D4" s="222"/>
      <c r="E4" s="189"/>
      <c r="G4" s="42"/>
    </row>
    <row r="5" spans="1:7" ht="18.75" customHeight="1" thickBot="1" x14ac:dyDescent="0.3">
      <c r="A5" s="17" t="s">
        <v>924</v>
      </c>
      <c r="B5" s="75">
        <f>SUMIF(HK!A:A,"604*",HK!L:L)-SUMIF(HK!A:A,"604*",HK!K:K)</f>
        <v>0</v>
      </c>
      <c r="C5" s="75">
        <f>SUMIF(HKM!A:A,"604*",HKM!L:L)-SUMIF(HKM!A:A,"604*",HKM!K:K)</f>
        <v>175</v>
      </c>
      <c r="D5" s="222"/>
      <c r="E5" s="189"/>
      <c r="G5" s="42"/>
    </row>
    <row r="6" spans="1:7" ht="18.75" customHeight="1" thickBot="1" x14ac:dyDescent="0.3">
      <c r="A6" s="17" t="s">
        <v>679</v>
      </c>
      <c r="B6" s="75">
        <f>SUMIF(HK!A:A,"606*",HK!L:L)-SUMIF(HK!A:A,"606*",HK!K:K)</f>
        <v>0</v>
      </c>
      <c r="C6" s="75">
        <f>SUMIF(HKM!A:A,"606*",HKM!L:L)-SUMIF(HKM!A:A,"606*",HKM!K:K)</f>
        <v>0</v>
      </c>
      <c r="D6" s="222"/>
      <c r="E6" s="189"/>
      <c r="G6" s="42"/>
    </row>
    <row r="7" spans="1:7" ht="18.75" customHeight="1" thickBot="1" x14ac:dyDescent="0.3">
      <c r="A7" s="17" t="s">
        <v>316</v>
      </c>
      <c r="B7" s="75"/>
      <c r="C7" s="75"/>
      <c r="D7" s="222"/>
      <c r="E7" s="189"/>
      <c r="G7" s="119"/>
    </row>
    <row r="8" spans="1:7" ht="23.25" thickBot="1" x14ac:dyDescent="0.3">
      <c r="A8" s="174" t="s">
        <v>1051</v>
      </c>
      <c r="B8" s="237"/>
      <c r="C8" s="237"/>
      <c r="D8" s="222"/>
      <c r="E8" s="222"/>
      <c r="G8" s="42"/>
    </row>
    <row r="9" spans="1:7" ht="18.75" customHeight="1" thickBot="1" x14ac:dyDescent="0.3">
      <c r="A9" s="36" t="s">
        <v>555</v>
      </c>
      <c r="B9" s="121">
        <f>SUM(B3:B8)</f>
        <v>32532.65</v>
      </c>
      <c r="C9" s="121">
        <f>SUM(C3:C8)</f>
        <v>59040.82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E9"/>
  <sheetViews>
    <sheetView showGridLines="0" zoomScaleNormal="100" zoomScaleSheetLayoutView="100" workbookViewId="0"/>
  </sheetViews>
  <sheetFormatPr defaultColWidth="8.85546875"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44" t="s">
        <v>616</v>
      </c>
      <c r="D1" s="222"/>
      <c r="E1" s="222"/>
    </row>
    <row r="2" spans="1:5" ht="24" thickTop="1" thickBot="1" x14ac:dyDescent="0.3">
      <c r="A2" s="211" t="s">
        <v>502</v>
      </c>
      <c r="B2" s="47" t="s">
        <v>121</v>
      </c>
      <c r="C2" s="47" t="s">
        <v>732</v>
      </c>
      <c r="D2" s="222"/>
      <c r="E2" s="222"/>
    </row>
    <row r="3" spans="1:5" ht="30.75" customHeight="1" thickTop="1" thickBot="1" x14ac:dyDescent="0.3">
      <c r="A3" s="18" t="s">
        <v>889</v>
      </c>
      <c r="B3" s="75"/>
      <c r="C3" s="75"/>
    </row>
    <row r="4" spans="1:5" ht="23.25" thickBot="1" x14ac:dyDescent="0.3">
      <c r="A4" s="174" t="s">
        <v>721</v>
      </c>
      <c r="B4" s="237"/>
      <c r="C4" s="237"/>
    </row>
    <row r="5" spans="1:5" ht="15.75" thickBot="1" x14ac:dyDescent="0.3">
      <c r="A5" s="174" t="s">
        <v>678</v>
      </c>
      <c r="B5" s="237"/>
      <c r="C5" s="237"/>
    </row>
    <row r="6" spans="1:5" ht="15.75" thickBot="1" x14ac:dyDescent="0.3">
      <c r="A6" s="174" t="s">
        <v>1012</v>
      </c>
      <c r="B6" s="237"/>
      <c r="C6" s="237"/>
    </row>
    <row r="7" spans="1:5" ht="15.75" thickBot="1" x14ac:dyDescent="0.3">
      <c r="A7" s="174" t="s">
        <v>430</v>
      </c>
      <c r="B7" s="237"/>
      <c r="C7" s="237"/>
    </row>
    <row r="8" spans="1:5" ht="15.75" thickBot="1" x14ac:dyDescent="0.3">
      <c r="A8" s="37" t="s">
        <v>543</v>
      </c>
      <c r="B8" s="65"/>
      <c r="C8" s="65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1054</v>
      </c>
    </row>
    <row r="2" spans="1:2" ht="21" customHeight="1" thickTop="1" thickBot="1" x14ac:dyDescent="0.3">
      <c r="A2" s="196" t="s">
        <v>100</v>
      </c>
      <c r="B2" s="32" t="s">
        <v>851</v>
      </c>
    </row>
    <row r="3" spans="1:2" ht="32.25" customHeight="1" thickTop="1" thickBot="1" x14ac:dyDescent="0.3">
      <c r="A3" s="195" t="s">
        <v>958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44" t="s">
        <v>62</v>
      </c>
    </row>
    <row r="2" spans="1:3" ht="35.25" thickTop="1" thickBot="1" x14ac:dyDescent="0.3">
      <c r="A2" s="211" t="s">
        <v>502</v>
      </c>
      <c r="B2" s="47" t="s">
        <v>121</v>
      </c>
      <c r="C2" s="47" t="s">
        <v>732</v>
      </c>
    </row>
    <row r="3" spans="1:3" ht="35.25" thickTop="1" thickBot="1" x14ac:dyDescent="0.3">
      <c r="A3" s="59" t="s">
        <v>208</v>
      </c>
      <c r="B3" s="128"/>
      <c r="C3" s="128"/>
    </row>
    <row r="4" spans="1:3" ht="34.5" thickBot="1" x14ac:dyDescent="0.3">
      <c r="A4" s="115" t="s">
        <v>983</v>
      </c>
      <c r="B4" s="128"/>
      <c r="C4" s="128"/>
    </row>
    <row r="5" spans="1:3" ht="79.5" thickBot="1" x14ac:dyDescent="0.3">
      <c r="A5" s="243" t="s">
        <v>73</v>
      </c>
      <c r="B5" s="128"/>
      <c r="C5" s="128"/>
    </row>
    <row r="6" spans="1:3" ht="57" thickBot="1" x14ac:dyDescent="0.3">
      <c r="A6" s="174" t="s">
        <v>474</v>
      </c>
      <c r="B6" s="128"/>
      <c r="C6" s="128"/>
    </row>
    <row r="7" spans="1:3" ht="57" thickBot="1" x14ac:dyDescent="0.3">
      <c r="A7" s="59" t="s">
        <v>806</v>
      </c>
      <c r="B7" s="128"/>
      <c r="C7" s="128"/>
    </row>
    <row r="8" spans="1:3" ht="34.5" thickBot="1" x14ac:dyDescent="0.3">
      <c r="A8" s="86" t="s">
        <v>423</v>
      </c>
      <c r="B8" s="218"/>
      <c r="C8" s="218"/>
    </row>
    <row r="9" spans="1:3" ht="17.25" thickTop="1" x14ac:dyDescent="0.3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4"/>
  <sheetViews>
    <sheetView showGridLines="0" zoomScaleNormal="100" zoomScaleSheetLayoutView="100" workbookViewId="0"/>
  </sheetViews>
  <sheetFormatPr defaultColWidth="8.85546875" defaultRowHeight="15" x14ac:dyDescent="0.2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 x14ac:dyDescent="0.35">
      <c r="A1" s="44" t="s">
        <v>929</v>
      </c>
    </row>
    <row r="2" spans="1:10" ht="35.25" customHeight="1" thickTop="1" thickBot="1" x14ac:dyDescent="0.3">
      <c r="A2" s="252" t="s">
        <v>502</v>
      </c>
      <c r="B2" s="257" t="s">
        <v>121</v>
      </c>
      <c r="C2" s="258"/>
      <c r="D2" s="259"/>
      <c r="E2" s="257" t="s">
        <v>732</v>
      </c>
      <c r="F2" s="258"/>
      <c r="G2" s="259"/>
    </row>
    <row r="3" spans="1:10" s="80" customFormat="1" ht="16.5" thickTop="1" thickBot="1" x14ac:dyDescent="0.3">
      <c r="A3" s="266"/>
      <c r="B3" s="184" t="s">
        <v>350</v>
      </c>
      <c r="C3" s="184" t="s">
        <v>324</v>
      </c>
      <c r="D3" s="184" t="s">
        <v>116</v>
      </c>
      <c r="E3" s="184" t="s">
        <v>350</v>
      </c>
      <c r="F3" s="184" t="s">
        <v>324</v>
      </c>
      <c r="G3" s="184" t="s">
        <v>116</v>
      </c>
    </row>
    <row r="4" spans="1:10" ht="24" thickTop="1" thickBot="1" x14ac:dyDescent="0.3">
      <c r="A4" s="174" t="s">
        <v>776</v>
      </c>
      <c r="B4" s="242">
        <f>SUMIF(VZaS!C:C,"056",VZaS!D:D)</f>
        <v>-28704.98</v>
      </c>
      <c r="C4" s="21" t="s">
        <v>71</v>
      </c>
      <c r="D4" s="110" t="s">
        <v>71</v>
      </c>
      <c r="E4" s="242">
        <f>SUMIF(VZaS!C:C,"056",VZaS!E:E)</f>
        <v>-4569.5600000000004</v>
      </c>
      <c r="F4" s="21" t="s">
        <v>71</v>
      </c>
      <c r="G4" s="110" t="s">
        <v>71</v>
      </c>
      <c r="H4" s="94"/>
      <c r="I4" s="94"/>
      <c r="J4" s="62"/>
    </row>
    <row r="5" spans="1:10" ht="20.25" customHeight="1" thickBot="1" x14ac:dyDescent="0.3">
      <c r="A5" s="174" t="s">
        <v>46</v>
      </c>
      <c r="B5" s="21" t="s">
        <v>71</v>
      </c>
      <c r="C5" s="140"/>
      <c r="D5" s="117"/>
      <c r="E5" s="21" t="s">
        <v>71</v>
      </c>
      <c r="F5" s="140"/>
      <c r="G5" s="117"/>
      <c r="H5" s="94"/>
      <c r="I5" s="94"/>
      <c r="J5" s="94"/>
    </row>
    <row r="6" spans="1:10" ht="20.25" customHeight="1" thickBot="1" x14ac:dyDescent="0.3">
      <c r="A6" s="174" t="s">
        <v>1056</v>
      </c>
      <c r="B6" s="140"/>
      <c r="C6" s="140"/>
      <c r="D6" s="117"/>
      <c r="E6" s="140"/>
      <c r="F6" s="140"/>
      <c r="G6" s="117"/>
      <c r="H6" s="94"/>
      <c r="I6" s="94"/>
      <c r="J6" s="94"/>
    </row>
    <row r="7" spans="1:10" ht="20.25" customHeight="1" thickBot="1" x14ac:dyDescent="0.3">
      <c r="A7" s="174" t="s">
        <v>156</v>
      </c>
      <c r="B7" s="140"/>
      <c r="C7" s="140"/>
      <c r="D7" s="117"/>
      <c r="E7" s="140"/>
      <c r="F7" s="140"/>
      <c r="G7" s="117"/>
      <c r="H7" s="94"/>
      <c r="I7" s="94"/>
      <c r="J7" s="94"/>
    </row>
    <row r="8" spans="1:10" ht="20.25" customHeight="1" thickBot="1" x14ac:dyDescent="0.3">
      <c r="A8" s="174" t="s">
        <v>933</v>
      </c>
      <c r="B8" s="140"/>
      <c r="C8" s="140"/>
      <c r="D8" s="117"/>
      <c r="E8" s="140"/>
      <c r="F8" s="140"/>
      <c r="G8" s="117"/>
      <c r="H8" s="94"/>
      <c r="I8" s="94"/>
      <c r="J8" s="94"/>
    </row>
    <row r="9" spans="1:10" ht="20.25" customHeight="1" thickBot="1" x14ac:dyDescent="0.3">
      <c r="A9" s="174" t="s">
        <v>685</v>
      </c>
      <c r="B9" s="140"/>
      <c r="C9" s="140"/>
      <c r="D9" s="117"/>
      <c r="E9" s="140"/>
      <c r="F9" s="140"/>
      <c r="G9" s="117"/>
      <c r="H9" s="94"/>
      <c r="I9" s="94"/>
      <c r="J9" s="94"/>
    </row>
    <row r="10" spans="1:10" ht="20.25" customHeight="1" thickBot="1" x14ac:dyDescent="0.3">
      <c r="A10" s="174" t="s">
        <v>868</v>
      </c>
      <c r="B10" s="140"/>
      <c r="C10" s="140"/>
      <c r="D10" s="117"/>
      <c r="E10" s="140"/>
      <c r="F10" s="140"/>
      <c r="G10" s="117"/>
      <c r="H10" s="94"/>
      <c r="I10" s="94"/>
      <c r="J10" s="94"/>
    </row>
    <row r="11" spans="1:10" ht="20.25" customHeight="1" thickBot="1" x14ac:dyDescent="0.3">
      <c r="A11" s="174" t="s">
        <v>833</v>
      </c>
      <c r="B11" s="21" t="s">
        <v>71</v>
      </c>
      <c r="C11" s="242">
        <f>SUMIF(VZaS!C:C,"058",VZaS!D:D)</f>
        <v>0</v>
      </c>
      <c r="D11" s="117"/>
      <c r="E11" s="21" t="s">
        <v>71</v>
      </c>
      <c r="F11" s="242">
        <f>SUMIF(VZaS!C:C,"058",VZaS!E:E)</f>
        <v>0</v>
      </c>
      <c r="G11" s="117"/>
      <c r="H11" s="94"/>
      <c r="I11" s="94"/>
      <c r="J11" s="94"/>
    </row>
    <row r="12" spans="1:10" ht="20.25" customHeight="1" thickBot="1" x14ac:dyDescent="0.3">
      <c r="A12" s="174" t="s">
        <v>47</v>
      </c>
      <c r="B12" s="21" t="s">
        <v>71</v>
      </c>
      <c r="C12" s="242">
        <f>SUMIF(VZaS!C:C,"059",VZaS!D:D)</f>
        <v>0</v>
      </c>
      <c r="D12" s="117"/>
      <c r="E12" s="21" t="s">
        <v>71</v>
      </c>
      <c r="F12" s="242">
        <f>SUMIF(VZaS!C:C,"059",VZaS!E:E)</f>
        <v>0</v>
      </c>
      <c r="G12" s="117"/>
      <c r="H12" s="94"/>
      <c r="I12" s="94"/>
      <c r="J12" s="94"/>
    </row>
    <row r="13" spans="1:10" ht="20.25" customHeight="1" thickBot="1" x14ac:dyDescent="0.3">
      <c r="A13" s="37" t="s">
        <v>867</v>
      </c>
      <c r="B13" s="138" t="s">
        <v>71</v>
      </c>
      <c r="C13" s="13"/>
      <c r="D13" s="193"/>
      <c r="E13" s="138" t="s">
        <v>71</v>
      </c>
      <c r="F13" s="13"/>
      <c r="G13" s="193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4"/>
  <sheetViews>
    <sheetView zoomScaleNormal="100" zoomScaleSheetLayoutView="100" workbookViewId="0"/>
  </sheetViews>
  <sheetFormatPr defaultColWidth="8.85546875" defaultRowHeight="15" x14ac:dyDescent="0.25"/>
  <cols>
    <col min="1" max="1" width="32" customWidth="1"/>
  </cols>
  <sheetData>
    <row r="1" spans="1:2" x14ac:dyDescent="0.25">
      <c r="A1" t="s">
        <v>720</v>
      </c>
      <c r="B1" t="s">
        <v>276</v>
      </c>
    </row>
    <row r="2" spans="1:2" x14ac:dyDescent="0.25">
      <c r="A2" t="s">
        <v>615</v>
      </c>
      <c r="B2" t="s">
        <v>112</v>
      </c>
    </row>
    <row r="3" spans="1:2" x14ac:dyDescent="0.25">
      <c r="A3" t="s">
        <v>649</v>
      </c>
      <c r="B3" t="s">
        <v>558</v>
      </c>
    </row>
    <row r="4" spans="1:2" x14ac:dyDescent="0.25">
      <c r="A4" t="s">
        <v>199</v>
      </c>
      <c r="B4" t="s">
        <v>558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70C0"/>
  </sheetPr>
  <dimension ref="A1:L124"/>
  <sheetViews>
    <sheetView tabSelected="1" zoomScaleNormal="100" zoomScaleSheetLayoutView="100" workbookViewId="0"/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387</v>
      </c>
      <c r="B1" s="11" t="s">
        <v>489</v>
      </c>
      <c r="C1" s="157" t="s">
        <v>688</v>
      </c>
      <c r="D1" s="157" t="s">
        <v>849</v>
      </c>
      <c r="E1" s="157" t="s">
        <v>376</v>
      </c>
      <c r="F1" s="157" t="s">
        <v>653</v>
      </c>
      <c r="G1" s="157" t="s">
        <v>330</v>
      </c>
      <c r="H1" s="157" t="s">
        <v>594</v>
      </c>
      <c r="I1" s="157" t="s">
        <v>617</v>
      </c>
      <c r="J1" s="157" t="s">
        <v>596</v>
      </c>
      <c r="K1" s="157" t="s">
        <v>882</v>
      </c>
      <c r="L1" s="157" t="s">
        <v>174</v>
      </c>
    </row>
    <row r="2" spans="1:12" x14ac:dyDescent="0.25">
      <c r="A2" s="221" t="s">
        <v>920</v>
      </c>
      <c r="B2" s="103" t="s">
        <v>337</v>
      </c>
      <c r="C2" s="144">
        <v>7083.34</v>
      </c>
      <c r="D2" s="144">
        <v>0</v>
      </c>
      <c r="E2" s="135">
        <v>0</v>
      </c>
      <c r="F2" s="135">
        <v>0</v>
      </c>
      <c r="G2" s="135">
        <v>0</v>
      </c>
      <c r="H2" s="135">
        <v>0</v>
      </c>
      <c r="I2" s="135">
        <v>0</v>
      </c>
      <c r="J2" s="135">
        <v>0</v>
      </c>
      <c r="K2" s="144">
        <v>7083.34</v>
      </c>
      <c r="L2" s="144">
        <v>0</v>
      </c>
    </row>
    <row r="3" spans="1:12" x14ac:dyDescent="0.25">
      <c r="A3" s="221" t="s">
        <v>406</v>
      </c>
      <c r="B3" s="103" t="s">
        <v>389</v>
      </c>
      <c r="C3" s="144">
        <v>0</v>
      </c>
      <c r="D3" s="144">
        <v>7083.34</v>
      </c>
      <c r="E3" s="135">
        <v>0</v>
      </c>
      <c r="F3" s="135">
        <v>0</v>
      </c>
      <c r="G3" s="135">
        <v>0</v>
      </c>
      <c r="H3" s="135">
        <v>0</v>
      </c>
      <c r="I3" s="135">
        <v>0</v>
      </c>
      <c r="J3" s="135">
        <v>0</v>
      </c>
      <c r="K3" s="144">
        <v>0</v>
      </c>
      <c r="L3" s="144">
        <v>7083.34</v>
      </c>
    </row>
    <row r="4" spans="1:12" x14ac:dyDescent="0.25">
      <c r="A4" s="221" t="s">
        <v>935</v>
      </c>
      <c r="B4" s="103" t="s">
        <v>242</v>
      </c>
      <c r="C4" s="135">
        <v>0</v>
      </c>
      <c r="D4" s="135">
        <v>0</v>
      </c>
      <c r="E4" s="135">
        <v>0</v>
      </c>
      <c r="F4" s="135">
        <v>0</v>
      </c>
      <c r="G4" s="135">
        <v>0</v>
      </c>
      <c r="H4" s="144">
        <v>0</v>
      </c>
      <c r="I4" s="135">
        <v>0</v>
      </c>
      <c r="J4" s="144">
        <v>0</v>
      </c>
      <c r="K4" s="144">
        <v>0</v>
      </c>
      <c r="L4" s="144">
        <v>0</v>
      </c>
    </row>
    <row r="5" spans="1:12" x14ac:dyDescent="0.25">
      <c r="A5" s="221" t="s">
        <v>414</v>
      </c>
      <c r="B5" s="103" t="s">
        <v>751</v>
      </c>
      <c r="C5" s="144">
        <v>4.9000000000000004</v>
      </c>
      <c r="D5" s="144">
        <v>0</v>
      </c>
      <c r="E5" s="144">
        <v>36810</v>
      </c>
      <c r="F5" s="144">
        <v>36438.51</v>
      </c>
      <c r="G5" s="144">
        <v>27.6</v>
      </c>
      <c r="H5" s="144">
        <v>3.1</v>
      </c>
      <c r="I5" s="144">
        <v>36837.599999999999</v>
      </c>
      <c r="J5" s="144">
        <v>36441.61</v>
      </c>
      <c r="K5" s="144">
        <v>400.89</v>
      </c>
      <c r="L5" s="144">
        <v>0</v>
      </c>
    </row>
    <row r="6" spans="1:12" x14ac:dyDescent="0.25">
      <c r="A6" s="221" t="s">
        <v>826</v>
      </c>
      <c r="B6" s="103" t="s">
        <v>27</v>
      </c>
      <c r="C6" s="144">
        <v>12038.83</v>
      </c>
      <c r="D6" s="144">
        <v>0</v>
      </c>
      <c r="E6" s="144">
        <v>39322.199999999997</v>
      </c>
      <c r="F6" s="144">
        <v>50632.42</v>
      </c>
      <c r="G6" s="144">
        <v>1680</v>
      </c>
      <c r="H6" s="144">
        <v>1936.03</v>
      </c>
      <c r="I6" s="144">
        <v>41002.199999999997</v>
      </c>
      <c r="J6" s="144">
        <v>52568.45</v>
      </c>
      <c r="K6" s="144">
        <v>472.58</v>
      </c>
      <c r="L6" s="144">
        <v>0</v>
      </c>
    </row>
    <row r="7" spans="1:12" x14ac:dyDescent="0.25">
      <c r="A7" s="221" t="s">
        <v>861</v>
      </c>
      <c r="B7" s="103" t="s">
        <v>1103</v>
      </c>
      <c r="C7" s="135">
        <v>0</v>
      </c>
      <c r="D7" s="135">
        <v>0</v>
      </c>
      <c r="E7" s="135">
        <v>0</v>
      </c>
      <c r="F7" s="144">
        <v>0</v>
      </c>
      <c r="G7" s="135">
        <v>0</v>
      </c>
      <c r="H7" s="135">
        <v>0</v>
      </c>
      <c r="I7" s="135">
        <v>0</v>
      </c>
      <c r="J7" s="144">
        <v>0</v>
      </c>
      <c r="K7" s="144">
        <v>0</v>
      </c>
      <c r="L7" s="144">
        <v>0</v>
      </c>
    </row>
    <row r="8" spans="1:12" x14ac:dyDescent="0.25">
      <c r="A8" s="221" t="s">
        <v>727</v>
      </c>
      <c r="B8" s="103" t="s">
        <v>467</v>
      </c>
      <c r="C8" s="144">
        <v>0</v>
      </c>
      <c r="D8" s="144">
        <v>0</v>
      </c>
      <c r="E8" s="144">
        <v>810</v>
      </c>
      <c r="F8" s="144">
        <v>810</v>
      </c>
      <c r="G8" s="144">
        <v>0</v>
      </c>
      <c r="H8" s="135">
        <v>0</v>
      </c>
      <c r="I8" s="144">
        <v>810</v>
      </c>
      <c r="J8" s="144">
        <v>810</v>
      </c>
      <c r="K8" s="144">
        <v>0</v>
      </c>
      <c r="L8" s="144">
        <v>0</v>
      </c>
    </row>
    <row r="9" spans="1:12" x14ac:dyDescent="0.25">
      <c r="A9" s="221" t="s">
        <v>626</v>
      </c>
      <c r="B9" s="103" t="s">
        <v>28</v>
      </c>
      <c r="C9" s="135">
        <v>0</v>
      </c>
      <c r="D9" s="135">
        <v>0</v>
      </c>
      <c r="E9" s="144">
        <v>0</v>
      </c>
      <c r="F9" s="135">
        <v>0</v>
      </c>
      <c r="G9" s="135">
        <v>0</v>
      </c>
      <c r="H9" s="135">
        <v>0</v>
      </c>
      <c r="I9" s="144">
        <v>0</v>
      </c>
      <c r="J9" s="135">
        <v>0</v>
      </c>
      <c r="K9" s="144">
        <v>0</v>
      </c>
      <c r="L9" s="144">
        <v>0</v>
      </c>
    </row>
    <row r="10" spans="1:12" x14ac:dyDescent="0.25">
      <c r="A10" s="221" t="s">
        <v>584</v>
      </c>
      <c r="B10" s="103" t="s">
        <v>127</v>
      </c>
      <c r="C10" s="144">
        <v>33789.31</v>
      </c>
      <c r="D10" s="144">
        <v>0</v>
      </c>
      <c r="E10" s="144">
        <v>37327.199999999997</v>
      </c>
      <c r="F10" s="144">
        <v>37722.199999999997</v>
      </c>
      <c r="G10" s="144">
        <v>1712</v>
      </c>
      <c r="H10" s="144">
        <v>24096.84</v>
      </c>
      <c r="I10" s="144">
        <v>39039.199999999997</v>
      </c>
      <c r="J10" s="144">
        <v>61819.040000000001</v>
      </c>
      <c r="K10" s="144">
        <v>11009.47</v>
      </c>
      <c r="L10" s="144">
        <v>0</v>
      </c>
    </row>
    <row r="11" spans="1:12" x14ac:dyDescent="0.25">
      <c r="A11" s="221" t="s">
        <v>703</v>
      </c>
      <c r="B11" s="103" t="s">
        <v>319</v>
      </c>
      <c r="C11" s="135">
        <v>0</v>
      </c>
      <c r="D11" s="135">
        <v>0</v>
      </c>
      <c r="E11" s="135">
        <v>0</v>
      </c>
      <c r="F11" s="135">
        <v>0</v>
      </c>
      <c r="G11" s="144">
        <v>70.97</v>
      </c>
      <c r="H11" s="135">
        <v>0</v>
      </c>
      <c r="I11" s="144">
        <v>70.97</v>
      </c>
      <c r="J11" s="135">
        <v>0</v>
      </c>
      <c r="K11" s="144">
        <v>70.97</v>
      </c>
      <c r="L11" s="144">
        <v>0</v>
      </c>
    </row>
    <row r="12" spans="1:12" x14ac:dyDescent="0.25">
      <c r="A12" s="221" t="s">
        <v>947</v>
      </c>
      <c r="B12" s="103" t="s">
        <v>19</v>
      </c>
      <c r="C12" s="144">
        <v>0</v>
      </c>
      <c r="D12" s="144">
        <v>3182.39</v>
      </c>
      <c r="E12" s="144">
        <v>5795.65</v>
      </c>
      <c r="F12" s="144">
        <v>7238.22</v>
      </c>
      <c r="G12" s="144">
        <v>145.71</v>
      </c>
      <c r="H12" s="144">
        <v>99.71</v>
      </c>
      <c r="I12" s="144">
        <v>5941.36</v>
      </c>
      <c r="J12" s="144">
        <v>7337.93</v>
      </c>
      <c r="K12" s="144">
        <v>0</v>
      </c>
      <c r="L12" s="144">
        <v>4578.96</v>
      </c>
    </row>
    <row r="13" spans="1:12" x14ac:dyDescent="0.25">
      <c r="A13" s="221" t="s">
        <v>1092</v>
      </c>
      <c r="B13" s="103" t="s">
        <v>672</v>
      </c>
      <c r="C13" s="144">
        <v>29</v>
      </c>
      <c r="D13" s="144">
        <v>0</v>
      </c>
      <c r="E13" s="135">
        <v>0</v>
      </c>
      <c r="F13" s="135">
        <v>0</v>
      </c>
      <c r="G13" s="144">
        <v>0</v>
      </c>
      <c r="H13" s="144">
        <v>29</v>
      </c>
      <c r="I13" s="144">
        <v>0</v>
      </c>
      <c r="J13" s="144">
        <v>29</v>
      </c>
      <c r="K13" s="144">
        <v>0</v>
      </c>
      <c r="L13" s="144">
        <v>0</v>
      </c>
    </row>
    <row r="14" spans="1:12" x14ac:dyDescent="0.25">
      <c r="A14" s="221" t="s">
        <v>52</v>
      </c>
      <c r="B14" s="103" t="s">
        <v>212</v>
      </c>
      <c r="C14" s="144">
        <v>0</v>
      </c>
      <c r="D14" s="144">
        <v>2129.9499999999998</v>
      </c>
      <c r="E14" s="144">
        <v>36089.65</v>
      </c>
      <c r="F14" s="144">
        <v>36794.83</v>
      </c>
      <c r="G14" s="144">
        <v>1687.37</v>
      </c>
      <c r="H14" s="144">
        <v>4847.26</v>
      </c>
      <c r="I14" s="144">
        <v>37777.019999999997</v>
      </c>
      <c r="J14" s="144">
        <v>41642.089999999997</v>
      </c>
      <c r="K14" s="144">
        <v>0</v>
      </c>
      <c r="L14" s="144">
        <v>5995.02</v>
      </c>
    </row>
    <row r="15" spans="1:12" x14ac:dyDescent="0.25">
      <c r="A15" s="221" t="s">
        <v>883</v>
      </c>
      <c r="B15" s="103" t="s">
        <v>740</v>
      </c>
      <c r="C15" s="144">
        <v>0</v>
      </c>
      <c r="D15" s="144">
        <v>2041.39</v>
      </c>
      <c r="E15" s="144">
        <v>10128.81</v>
      </c>
      <c r="F15" s="144">
        <v>9921.2000000000007</v>
      </c>
      <c r="G15" s="144">
        <v>1833.78</v>
      </c>
      <c r="H15" s="144">
        <v>1020.69</v>
      </c>
      <c r="I15" s="144">
        <v>11962.59</v>
      </c>
      <c r="J15" s="144">
        <v>10941.89</v>
      </c>
      <c r="K15" s="144">
        <v>0</v>
      </c>
      <c r="L15" s="144">
        <v>1020.69</v>
      </c>
    </row>
    <row r="16" spans="1:12" x14ac:dyDescent="0.25">
      <c r="A16" s="221" t="s">
        <v>422</v>
      </c>
      <c r="B16" s="103" t="s">
        <v>13</v>
      </c>
      <c r="C16" s="144">
        <v>0</v>
      </c>
      <c r="D16" s="144">
        <v>826</v>
      </c>
      <c r="E16" s="144">
        <v>4259.42</v>
      </c>
      <c r="F16" s="144">
        <v>4014.42</v>
      </c>
      <c r="G16" s="144">
        <v>329</v>
      </c>
      <c r="H16" s="144">
        <v>413</v>
      </c>
      <c r="I16" s="144">
        <v>4588.42</v>
      </c>
      <c r="J16" s="144">
        <v>4427.42</v>
      </c>
      <c r="K16" s="144">
        <v>0</v>
      </c>
      <c r="L16" s="144">
        <v>665</v>
      </c>
    </row>
    <row r="17" spans="1:12" x14ac:dyDescent="0.25">
      <c r="A17" s="221" t="s">
        <v>562</v>
      </c>
      <c r="B17" s="103" t="s">
        <v>1061</v>
      </c>
      <c r="C17" s="144">
        <v>0</v>
      </c>
      <c r="D17" s="144">
        <v>846.1</v>
      </c>
      <c r="E17" s="144">
        <v>4195.3599999999997</v>
      </c>
      <c r="F17" s="144">
        <v>4089.09</v>
      </c>
      <c r="G17" s="144">
        <v>316.77999999999997</v>
      </c>
      <c r="H17" s="144">
        <v>415.5</v>
      </c>
      <c r="I17" s="144">
        <v>4512.1400000000003</v>
      </c>
      <c r="J17" s="144">
        <v>4504.59</v>
      </c>
      <c r="K17" s="144">
        <v>0</v>
      </c>
      <c r="L17" s="144">
        <v>838.55</v>
      </c>
    </row>
    <row r="18" spans="1:12" x14ac:dyDescent="0.25">
      <c r="A18" s="221" t="s">
        <v>665</v>
      </c>
      <c r="B18" s="103" t="s">
        <v>746</v>
      </c>
      <c r="C18" s="144">
        <v>0</v>
      </c>
      <c r="D18" s="144">
        <v>471.81</v>
      </c>
      <c r="E18" s="144">
        <v>5363.93</v>
      </c>
      <c r="F18" s="144">
        <v>5138.8100000000004</v>
      </c>
      <c r="G18" s="144">
        <v>253.48</v>
      </c>
      <c r="H18" s="144">
        <v>274.14</v>
      </c>
      <c r="I18" s="144">
        <v>5617.41</v>
      </c>
      <c r="J18" s="144">
        <v>5412.95</v>
      </c>
      <c r="K18" s="144">
        <v>0</v>
      </c>
      <c r="L18" s="144">
        <v>267.35000000000002</v>
      </c>
    </row>
    <row r="19" spans="1:12" x14ac:dyDescent="0.25">
      <c r="A19" s="221" t="s">
        <v>754</v>
      </c>
      <c r="B19" s="103" t="s">
        <v>243</v>
      </c>
      <c r="C19" s="144">
        <v>0</v>
      </c>
      <c r="D19" s="144">
        <v>0</v>
      </c>
      <c r="E19" s="144">
        <v>1218.5899999999999</v>
      </c>
      <c r="F19" s="144">
        <v>1218.5899999999999</v>
      </c>
      <c r="G19" s="144">
        <v>11.19</v>
      </c>
      <c r="H19" s="144">
        <v>11.19</v>
      </c>
      <c r="I19" s="144">
        <v>1229.78</v>
      </c>
      <c r="J19" s="144">
        <v>1229.78</v>
      </c>
      <c r="K19" s="144">
        <v>0</v>
      </c>
      <c r="L19" s="144">
        <v>0</v>
      </c>
    </row>
    <row r="20" spans="1:12" x14ac:dyDescent="0.25">
      <c r="A20" s="221" t="s">
        <v>960</v>
      </c>
      <c r="B20" s="103" t="s">
        <v>1013</v>
      </c>
      <c r="C20" s="144">
        <v>0</v>
      </c>
      <c r="D20" s="144">
        <v>0</v>
      </c>
      <c r="E20" s="144">
        <v>6221.22</v>
      </c>
      <c r="F20" s="144">
        <v>6221.22</v>
      </c>
      <c r="G20" s="144">
        <v>285.33</v>
      </c>
      <c r="H20" s="144">
        <v>285.33</v>
      </c>
      <c r="I20" s="144">
        <v>6506.55</v>
      </c>
      <c r="J20" s="144">
        <v>6506.55</v>
      </c>
      <c r="K20" s="144">
        <v>0</v>
      </c>
      <c r="L20" s="144">
        <v>0</v>
      </c>
    </row>
    <row r="21" spans="1:12" x14ac:dyDescent="0.25">
      <c r="A21" s="221" t="s">
        <v>595</v>
      </c>
      <c r="B21" s="103" t="s">
        <v>189</v>
      </c>
      <c r="C21" s="144">
        <v>0</v>
      </c>
      <c r="D21" s="144">
        <v>58</v>
      </c>
      <c r="E21" s="144">
        <v>64</v>
      </c>
      <c r="F21" s="135">
        <v>0</v>
      </c>
      <c r="G21" s="135">
        <v>0</v>
      </c>
      <c r="H21" s="144">
        <v>70</v>
      </c>
      <c r="I21" s="144">
        <v>64</v>
      </c>
      <c r="J21" s="144">
        <v>70</v>
      </c>
      <c r="K21" s="144">
        <v>0</v>
      </c>
      <c r="L21" s="144">
        <v>64</v>
      </c>
    </row>
    <row r="22" spans="1:12" x14ac:dyDescent="0.25">
      <c r="A22" s="221" t="s">
        <v>424</v>
      </c>
      <c r="B22" s="103" t="s">
        <v>227</v>
      </c>
      <c r="C22" s="144">
        <v>0</v>
      </c>
      <c r="D22" s="144">
        <v>9674.0499999999993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44">
        <v>0</v>
      </c>
      <c r="L22" s="144">
        <v>9674.0499999999993</v>
      </c>
    </row>
    <row r="23" spans="1:12" x14ac:dyDescent="0.25">
      <c r="A23" s="221" t="s">
        <v>832</v>
      </c>
      <c r="B23" s="103" t="s">
        <v>1072</v>
      </c>
      <c r="C23" s="144">
        <v>11100</v>
      </c>
      <c r="D23" s="144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44">
        <v>11100</v>
      </c>
      <c r="L23" s="144">
        <v>0</v>
      </c>
    </row>
    <row r="24" spans="1:12" x14ac:dyDescent="0.25">
      <c r="A24" s="221" t="s">
        <v>412</v>
      </c>
      <c r="B24" s="103" t="s">
        <v>950</v>
      </c>
      <c r="C24" s="144">
        <v>16.5</v>
      </c>
      <c r="D24" s="144">
        <v>0</v>
      </c>
      <c r="E24" s="135">
        <v>0</v>
      </c>
      <c r="F24" s="135">
        <v>0</v>
      </c>
      <c r="G24" s="135">
        <v>0</v>
      </c>
      <c r="H24" s="144">
        <v>16.5</v>
      </c>
      <c r="I24" s="135">
        <v>0</v>
      </c>
      <c r="J24" s="144">
        <v>16.5</v>
      </c>
      <c r="K24" s="144">
        <v>0</v>
      </c>
      <c r="L24" s="144">
        <v>0</v>
      </c>
    </row>
    <row r="25" spans="1:12" x14ac:dyDescent="0.25">
      <c r="A25" s="221" t="s">
        <v>795</v>
      </c>
      <c r="B25" s="103" t="s">
        <v>1084</v>
      </c>
      <c r="C25" s="144">
        <v>64.11</v>
      </c>
      <c r="D25" s="144">
        <v>0</v>
      </c>
      <c r="E25" s="135">
        <v>0</v>
      </c>
      <c r="F25" s="135">
        <v>0</v>
      </c>
      <c r="G25" s="135">
        <v>0</v>
      </c>
      <c r="H25" s="144">
        <v>64.11</v>
      </c>
      <c r="I25" s="135">
        <v>0</v>
      </c>
      <c r="J25" s="144">
        <v>64.11</v>
      </c>
      <c r="K25" s="144">
        <v>0</v>
      </c>
      <c r="L25" s="144">
        <v>0</v>
      </c>
    </row>
    <row r="26" spans="1:12" x14ac:dyDescent="0.25">
      <c r="A26" s="221" t="s">
        <v>778</v>
      </c>
      <c r="B26" s="103" t="s">
        <v>606</v>
      </c>
      <c r="C26" s="144">
        <v>338.79</v>
      </c>
      <c r="D26" s="144">
        <v>0</v>
      </c>
      <c r="E26" s="135">
        <v>0</v>
      </c>
      <c r="F26" s="135">
        <v>0</v>
      </c>
      <c r="G26" s="135">
        <v>0</v>
      </c>
      <c r="H26" s="144">
        <v>338.79</v>
      </c>
      <c r="I26" s="135">
        <v>0</v>
      </c>
      <c r="J26" s="144">
        <v>338.79</v>
      </c>
      <c r="K26" s="144">
        <v>0</v>
      </c>
      <c r="L26" s="144">
        <v>0</v>
      </c>
    </row>
    <row r="27" spans="1:12" x14ac:dyDescent="0.25">
      <c r="A27" s="221" t="s">
        <v>671</v>
      </c>
      <c r="B27" s="103" t="s">
        <v>87</v>
      </c>
      <c r="C27" s="144">
        <v>0</v>
      </c>
      <c r="D27" s="144">
        <v>20457.349999999999</v>
      </c>
      <c r="E27" s="135">
        <v>0</v>
      </c>
      <c r="F27" s="135">
        <v>0</v>
      </c>
      <c r="G27" s="144">
        <v>13977.57</v>
      </c>
      <c r="H27" s="144">
        <v>0</v>
      </c>
      <c r="I27" s="144">
        <v>13977.57</v>
      </c>
      <c r="J27" s="144">
        <v>0</v>
      </c>
      <c r="K27" s="144">
        <v>0</v>
      </c>
      <c r="L27" s="144">
        <v>6479.78</v>
      </c>
    </row>
    <row r="28" spans="1:12" x14ac:dyDescent="0.25">
      <c r="A28" s="221" t="s">
        <v>438</v>
      </c>
      <c r="B28" s="103" t="s">
        <v>326</v>
      </c>
      <c r="C28" s="144">
        <v>0</v>
      </c>
      <c r="D28" s="144">
        <v>6638.78</v>
      </c>
      <c r="E28" s="135">
        <v>0</v>
      </c>
      <c r="F28" s="135">
        <v>0</v>
      </c>
      <c r="G28" s="135">
        <v>0</v>
      </c>
      <c r="H28" s="135">
        <v>0</v>
      </c>
      <c r="I28" s="135">
        <v>0</v>
      </c>
      <c r="J28" s="135">
        <v>0</v>
      </c>
      <c r="K28" s="144">
        <v>0</v>
      </c>
      <c r="L28" s="144">
        <v>6638.78</v>
      </c>
    </row>
    <row r="29" spans="1:12" x14ac:dyDescent="0.25">
      <c r="A29" s="221" t="s">
        <v>532</v>
      </c>
      <c r="B29" s="103" t="s">
        <v>347</v>
      </c>
      <c r="C29" s="144">
        <v>0</v>
      </c>
      <c r="D29" s="144">
        <v>663</v>
      </c>
      <c r="E29" s="135">
        <v>0</v>
      </c>
      <c r="F29" s="135">
        <v>0</v>
      </c>
      <c r="G29" s="135">
        <v>0</v>
      </c>
      <c r="H29" s="135">
        <v>0</v>
      </c>
      <c r="I29" s="135">
        <v>0</v>
      </c>
      <c r="J29" s="135">
        <v>0</v>
      </c>
      <c r="K29" s="144">
        <v>0</v>
      </c>
      <c r="L29" s="144">
        <v>663</v>
      </c>
    </row>
    <row r="30" spans="1:12" x14ac:dyDescent="0.25">
      <c r="A30" s="221" t="s">
        <v>571</v>
      </c>
      <c r="B30" s="103" t="s">
        <v>130</v>
      </c>
      <c r="C30" s="144">
        <v>0</v>
      </c>
      <c r="D30" s="144">
        <v>5040.25</v>
      </c>
      <c r="E30" s="135">
        <v>0</v>
      </c>
      <c r="F30" s="135">
        <v>0</v>
      </c>
      <c r="G30" s="135">
        <v>0</v>
      </c>
      <c r="H30" s="135">
        <v>0</v>
      </c>
      <c r="I30" s="135">
        <v>0</v>
      </c>
      <c r="J30" s="135">
        <v>0</v>
      </c>
      <c r="K30" s="144">
        <v>0</v>
      </c>
      <c r="L30" s="144">
        <v>5040.25</v>
      </c>
    </row>
    <row r="31" spans="1:12" x14ac:dyDescent="0.25">
      <c r="A31" s="221" t="s">
        <v>523</v>
      </c>
      <c r="B31" s="103" t="s">
        <v>828</v>
      </c>
      <c r="C31" s="144">
        <v>0</v>
      </c>
      <c r="D31" s="144">
        <v>10939.25</v>
      </c>
      <c r="E31" s="135">
        <v>0</v>
      </c>
      <c r="F31" s="135">
        <v>0</v>
      </c>
      <c r="G31" s="135">
        <v>0</v>
      </c>
      <c r="H31" s="135">
        <v>0</v>
      </c>
      <c r="I31" s="135">
        <v>0</v>
      </c>
      <c r="J31" s="135">
        <v>0</v>
      </c>
      <c r="K31" s="144">
        <v>0</v>
      </c>
      <c r="L31" s="144">
        <v>10939.25</v>
      </c>
    </row>
    <row r="32" spans="1:12" x14ac:dyDescent="0.25">
      <c r="A32" s="221" t="s">
        <v>10</v>
      </c>
      <c r="B32" s="103" t="s">
        <v>1045</v>
      </c>
      <c r="C32" s="144">
        <v>9159.7800000000007</v>
      </c>
      <c r="D32" s="144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44">
        <v>9159.7800000000007</v>
      </c>
      <c r="L32" s="144">
        <v>0</v>
      </c>
    </row>
    <row r="33" spans="1:12" x14ac:dyDescent="0.25">
      <c r="A33" s="221" t="s">
        <v>134</v>
      </c>
      <c r="B33" s="103" t="s">
        <v>952</v>
      </c>
      <c r="C33" s="144">
        <v>16655.55</v>
      </c>
      <c r="D33" s="144">
        <v>0</v>
      </c>
      <c r="E33" s="135">
        <v>0</v>
      </c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44">
        <v>16655.55</v>
      </c>
      <c r="L33" s="144">
        <v>0</v>
      </c>
    </row>
    <row r="34" spans="1:12" x14ac:dyDescent="0.25">
      <c r="A34" s="221" t="s">
        <v>241</v>
      </c>
      <c r="B34" s="103" t="s">
        <v>1099</v>
      </c>
      <c r="C34" s="144">
        <v>9078.16</v>
      </c>
      <c r="D34" s="144">
        <v>0</v>
      </c>
      <c r="E34" s="144">
        <v>4569.5600000000004</v>
      </c>
      <c r="F34" s="135">
        <v>0</v>
      </c>
      <c r="G34" s="135">
        <v>0</v>
      </c>
      <c r="H34" s="135">
        <v>0</v>
      </c>
      <c r="I34" s="144">
        <v>4569.5600000000004</v>
      </c>
      <c r="J34" s="135">
        <v>0</v>
      </c>
      <c r="K34" s="144">
        <v>13647.72</v>
      </c>
      <c r="L34" s="144">
        <v>0</v>
      </c>
    </row>
    <row r="35" spans="1:12" x14ac:dyDescent="0.25">
      <c r="A35" s="221" t="s">
        <v>589</v>
      </c>
      <c r="B35" s="103" t="s">
        <v>490</v>
      </c>
      <c r="C35" s="135">
        <v>0</v>
      </c>
      <c r="D35" s="135">
        <v>0</v>
      </c>
      <c r="E35" s="144">
        <v>0</v>
      </c>
      <c r="F35" s="144">
        <v>0</v>
      </c>
      <c r="G35" s="135">
        <v>0</v>
      </c>
      <c r="H35" s="135">
        <v>0</v>
      </c>
      <c r="I35" s="144">
        <v>0</v>
      </c>
      <c r="J35" s="144">
        <v>0</v>
      </c>
      <c r="K35" s="144">
        <v>0</v>
      </c>
      <c r="L35" s="144">
        <v>0</v>
      </c>
    </row>
    <row r="36" spans="1:12" x14ac:dyDescent="0.25">
      <c r="A36" s="221" t="s">
        <v>42</v>
      </c>
      <c r="B36" s="103" t="s">
        <v>915</v>
      </c>
      <c r="C36" s="144">
        <v>0</v>
      </c>
      <c r="D36" s="144">
        <v>250.69</v>
      </c>
      <c r="E36" s="135">
        <v>0</v>
      </c>
      <c r="F36" s="144">
        <v>163.38999999999999</v>
      </c>
      <c r="G36" s="135">
        <v>0</v>
      </c>
      <c r="H36" s="144">
        <v>17.7</v>
      </c>
      <c r="I36" s="135">
        <v>0</v>
      </c>
      <c r="J36" s="144">
        <v>181.09</v>
      </c>
      <c r="K36" s="144">
        <v>0</v>
      </c>
      <c r="L36" s="144">
        <v>431.78</v>
      </c>
    </row>
    <row r="37" spans="1:12" x14ac:dyDescent="0.25">
      <c r="A37" s="221" t="s">
        <v>197</v>
      </c>
      <c r="B37" s="103" t="s">
        <v>229</v>
      </c>
      <c r="C37" s="144">
        <v>0</v>
      </c>
      <c r="D37" s="144">
        <v>33625.480000000003</v>
      </c>
      <c r="E37" s="144">
        <v>36000</v>
      </c>
      <c r="F37" s="135">
        <v>0</v>
      </c>
      <c r="G37" s="135">
        <v>0</v>
      </c>
      <c r="H37" s="144">
        <v>2700</v>
      </c>
      <c r="I37" s="144">
        <v>36000</v>
      </c>
      <c r="J37" s="144">
        <v>2700</v>
      </c>
      <c r="K37" s="144">
        <v>0</v>
      </c>
      <c r="L37" s="144">
        <v>325.48</v>
      </c>
    </row>
    <row r="38" spans="1:12" x14ac:dyDescent="0.25">
      <c r="A38" s="221" t="s">
        <v>352</v>
      </c>
      <c r="B38" s="103" t="s">
        <v>454</v>
      </c>
      <c r="C38" s="135">
        <v>0</v>
      </c>
      <c r="D38" s="135">
        <v>0</v>
      </c>
      <c r="E38" s="135">
        <v>0</v>
      </c>
      <c r="F38" s="144">
        <v>1600</v>
      </c>
      <c r="G38" s="135">
        <v>0</v>
      </c>
      <c r="H38" s="135">
        <v>0</v>
      </c>
      <c r="I38" s="135">
        <v>0</v>
      </c>
      <c r="J38" s="144">
        <v>1600</v>
      </c>
      <c r="K38" s="144">
        <v>0</v>
      </c>
      <c r="L38" s="144">
        <v>1600</v>
      </c>
    </row>
    <row r="39" spans="1:12" x14ac:dyDescent="0.25">
      <c r="A39" s="221" t="s">
        <v>40</v>
      </c>
      <c r="B39" s="103" t="s">
        <v>419</v>
      </c>
      <c r="C39" s="135">
        <v>0</v>
      </c>
      <c r="D39" s="135">
        <v>0</v>
      </c>
      <c r="E39" s="135">
        <v>0</v>
      </c>
      <c r="F39" s="144">
        <v>36000</v>
      </c>
      <c r="G39" s="135">
        <v>0</v>
      </c>
      <c r="H39" s="135">
        <v>0</v>
      </c>
      <c r="I39" s="135">
        <v>0</v>
      </c>
      <c r="J39" s="144">
        <v>36000</v>
      </c>
      <c r="K39" s="144">
        <v>0</v>
      </c>
      <c r="L39" s="144">
        <v>36000</v>
      </c>
    </row>
    <row r="40" spans="1:12" x14ac:dyDescent="0.25">
      <c r="A40" s="221" t="s">
        <v>246</v>
      </c>
      <c r="B40" s="103" t="s">
        <v>793</v>
      </c>
      <c r="C40" s="144">
        <v>0</v>
      </c>
      <c r="D40" s="144">
        <v>0</v>
      </c>
      <c r="E40" s="144">
        <v>97.76</v>
      </c>
      <c r="F40" s="135">
        <v>0</v>
      </c>
      <c r="G40" s="135">
        <v>0</v>
      </c>
      <c r="H40" s="135">
        <v>0</v>
      </c>
      <c r="I40" s="144">
        <v>97.76</v>
      </c>
      <c r="J40" s="135">
        <v>0</v>
      </c>
      <c r="K40" s="144">
        <v>97.76</v>
      </c>
      <c r="L40" s="144">
        <v>0</v>
      </c>
    </row>
    <row r="41" spans="1:12" x14ac:dyDescent="0.25">
      <c r="A41" s="221" t="s">
        <v>827</v>
      </c>
      <c r="B41" s="103" t="s">
        <v>592</v>
      </c>
      <c r="C41" s="144">
        <v>0</v>
      </c>
      <c r="D41" s="144">
        <v>0</v>
      </c>
      <c r="E41" s="144">
        <v>127.5</v>
      </c>
      <c r="F41" s="135">
        <v>0</v>
      </c>
      <c r="G41" s="135">
        <v>0</v>
      </c>
      <c r="H41" s="135">
        <v>0</v>
      </c>
      <c r="I41" s="144">
        <v>127.5</v>
      </c>
      <c r="J41" s="135">
        <v>0</v>
      </c>
      <c r="K41" s="144">
        <v>127.5</v>
      </c>
      <c r="L41" s="144">
        <v>0</v>
      </c>
    </row>
    <row r="42" spans="1:12" x14ac:dyDescent="0.25">
      <c r="A42" s="221" t="s">
        <v>124</v>
      </c>
      <c r="B42" s="103" t="s">
        <v>192</v>
      </c>
      <c r="C42" s="144">
        <v>0</v>
      </c>
      <c r="D42" s="144">
        <v>0</v>
      </c>
      <c r="E42" s="144">
        <v>373.23</v>
      </c>
      <c r="F42" s="135">
        <v>0</v>
      </c>
      <c r="G42" s="144">
        <v>33.93</v>
      </c>
      <c r="H42" s="135">
        <v>0</v>
      </c>
      <c r="I42" s="144">
        <v>407.16</v>
      </c>
      <c r="J42" s="135">
        <v>0</v>
      </c>
      <c r="K42" s="144">
        <v>407.16</v>
      </c>
      <c r="L42" s="144">
        <v>0</v>
      </c>
    </row>
    <row r="43" spans="1:12" x14ac:dyDescent="0.25">
      <c r="A43" s="221" t="s">
        <v>56</v>
      </c>
      <c r="B43" s="103" t="s">
        <v>667</v>
      </c>
      <c r="C43" s="144">
        <v>0</v>
      </c>
      <c r="D43" s="144">
        <v>0</v>
      </c>
      <c r="E43" s="144">
        <v>836.65</v>
      </c>
      <c r="F43" s="135">
        <v>0</v>
      </c>
      <c r="G43" s="144">
        <v>4.99</v>
      </c>
      <c r="H43" s="135">
        <v>0</v>
      </c>
      <c r="I43" s="144">
        <v>841.64</v>
      </c>
      <c r="J43" s="135">
        <v>0</v>
      </c>
      <c r="K43" s="144">
        <v>841.64</v>
      </c>
      <c r="L43" s="144">
        <v>0</v>
      </c>
    </row>
    <row r="44" spans="1:12" x14ac:dyDescent="0.25">
      <c r="A44" s="221" t="s">
        <v>1059</v>
      </c>
      <c r="B44" s="103" t="s">
        <v>288</v>
      </c>
      <c r="C44" s="144">
        <v>0</v>
      </c>
      <c r="D44" s="144">
        <v>0</v>
      </c>
      <c r="E44" s="144">
        <v>22</v>
      </c>
      <c r="F44" s="135">
        <v>0</v>
      </c>
      <c r="G44" s="135">
        <v>0</v>
      </c>
      <c r="H44" s="135">
        <v>0</v>
      </c>
      <c r="I44" s="144">
        <v>22</v>
      </c>
      <c r="J44" s="135">
        <v>0</v>
      </c>
      <c r="K44" s="144">
        <v>22</v>
      </c>
      <c r="L44" s="144">
        <v>0</v>
      </c>
    </row>
    <row r="45" spans="1:12" x14ac:dyDescent="0.25">
      <c r="A45" s="221" t="s">
        <v>857</v>
      </c>
      <c r="B45" s="103" t="s">
        <v>256</v>
      </c>
      <c r="C45" s="144">
        <v>0</v>
      </c>
      <c r="D45" s="144">
        <v>0</v>
      </c>
      <c r="E45" s="144">
        <v>1011.5</v>
      </c>
      <c r="F45" s="135">
        <v>0</v>
      </c>
      <c r="G45" s="144">
        <v>22</v>
      </c>
      <c r="H45" s="135">
        <v>0</v>
      </c>
      <c r="I45" s="144">
        <v>1033.5</v>
      </c>
      <c r="J45" s="135">
        <v>0</v>
      </c>
      <c r="K45" s="144">
        <v>1033.5</v>
      </c>
      <c r="L45" s="144">
        <v>0</v>
      </c>
    </row>
    <row r="46" spans="1:12" x14ac:dyDescent="0.25">
      <c r="A46" s="221" t="s">
        <v>734</v>
      </c>
      <c r="B46" s="103" t="s">
        <v>819</v>
      </c>
      <c r="C46" s="144">
        <v>0</v>
      </c>
      <c r="D46" s="144">
        <v>0</v>
      </c>
      <c r="E46" s="144">
        <v>3735.55</v>
      </c>
      <c r="F46" s="135">
        <v>0</v>
      </c>
      <c r="G46" s="144">
        <v>1.55</v>
      </c>
      <c r="H46" s="135">
        <v>0</v>
      </c>
      <c r="I46" s="144">
        <v>3737.1</v>
      </c>
      <c r="J46" s="135">
        <v>0</v>
      </c>
      <c r="K46" s="144">
        <v>3737.1</v>
      </c>
      <c r="L46" s="144">
        <v>0</v>
      </c>
    </row>
    <row r="47" spans="1:12" x14ac:dyDescent="0.25">
      <c r="A47" s="221" t="s">
        <v>623</v>
      </c>
      <c r="B47" s="103" t="s">
        <v>333</v>
      </c>
      <c r="C47" s="144">
        <v>0</v>
      </c>
      <c r="D47" s="144">
        <v>0</v>
      </c>
      <c r="E47" s="144">
        <v>13.95</v>
      </c>
      <c r="F47" s="135">
        <v>0</v>
      </c>
      <c r="G47" s="144">
        <v>1.55</v>
      </c>
      <c r="H47" s="135">
        <v>0</v>
      </c>
      <c r="I47" s="144">
        <v>15.5</v>
      </c>
      <c r="J47" s="135">
        <v>0</v>
      </c>
      <c r="K47" s="144">
        <v>15.5</v>
      </c>
      <c r="L47" s="144">
        <v>0</v>
      </c>
    </row>
    <row r="48" spans="1:12" x14ac:dyDescent="0.25">
      <c r="A48" s="221" t="s">
        <v>659</v>
      </c>
      <c r="B48" s="103" t="s">
        <v>918</v>
      </c>
      <c r="C48" s="144">
        <v>0</v>
      </c>
      <c r="D48" s="144">
        <v>0</v>
      </c>
      <c r="E48" s="144">
        <v>28945.82</v>
      </c>
      <c r="F48" s="135">
        <v>0</v>
      </c>
      <c r="G48" s="144">
        <v>2950</v>
      </c>
      <c r="H48" s="135">
        <v>0</v>
      </c>
      <c r="I48" s="144">
        <v>31895.82</v>
      </c>
      <c r="J48" s="135">
        <v>0</v>
      </c>
      <c r="K48" s="144">
        <v>31895.82</v>
      </c>
      <c r="L48" s="144">
        <v>0</v>
      </c>
    </row>
    <row r="49" spans="1:12" x14ac:dyDescent="0.25">
      <c r="A49" s="221" t="s">
        <v>383</v>
      </c>
      <c r="B49" s="103" t="s">
        <v>385</v>
      </c>
      <c r="C49" s="144">
        <v>0</v>
      </c>
      <c r="D49" s="144">
        <v>0</v>
      </c>
      <c r="E49" s="144">
        <v>10093.290000000001</v>
      </c>
      <c r="F49" s="135">
        <v>0</v>
      </c>
      <c r="G49" s="144">
        <v>1038.3900000000001</v>
      </c>
      <c r="H49" s="135">
        <v>0</v>
      </c>
      <c r="I49" s="144">
        <v>11131.68</v>
      </c>
      <c r="J49" s="135">
        <v>0</v>
      </c>
      <c r="K49" s="144">
        <v>11131.68</v>
      </c>
      <c r="L49" s="144">
        <v>0</v>
      </c>
    </row>
    <row r="50" spans="1:12" x14ac:dyDescent="0.25">
      <c r="A50" s="221" t="s">
        <v>268</v>
      </c>
      <c r="B50" s="103" t="s">
        <v>49</v>
      </c>
      <c r="C50" s="144">
        <v>0</v>
      </c>
      <c r="D50" s="144">
        <v>0</v>
      </c>
      <c r="E50" s="144">
        <v>163.38999999999999</v>
      </c>
      <c r="F50" s="135">
        <v>0</v>
      </c>
      <c r="G50" s="144">
        <v>17.7</v>
      </c>
      <c r="H50" s="135">
        <v>0</v>
      </c>
      <c r="I50" s="144">
        <v>181.09</v>
      </c>
      <c r="J50" s="135">
        <v>0</v>
      </c>
      <c r="K50" s="144">
        <v>181.09</v>
      </c>
      <c r="L50" s="144">
        <v>0</v>
      </c>
    </row>
    <row r="51" spans="1:12" x14ac:dyDescent="0.25">
      <c r="A51" s="221" t="s">
        <v>465</v>
      </c>
      <c r="B51" s="103" t="s">
        <v>1038</v>
      </c>
      <c r="C51" s="135">
        <v>0</v>
      </c>
      <c r="D51" s="135">
        <v>0</v>
      </c>
      <c r="E51" s="135">
        <v>0</v>
      </c>
      <c r="F51" s="135">
        <v>0</v>
      </c>
      <c r="G51" s="144">
        <v>64</v>
      </c>
      <c r="H51" s="135">
        <v>0</v>
      </c>
      <c r="I51" s="144">
        <v>64</v>
      </c>
      <c r="J51" s="135">
        <v>0</v>
      </c>
      <c r="K51" s="144">
        <v>64</v>
      </c>
      <c r="L51" s="144">
        <v>0</v>
      </c>
    </row>
    <row r="52" spans="1:12" x14ac:dyDescent="0.25">
      <c r="A52" s="221" t="s">
        <v>289</v>
      </c>
      <c r="B52" s="103" t="s">
        <v>353</v>
      </c>
      <c r="C52" s="135">
        <v>0</v>
      </c>
      <c r="D52" s="135">
        <v>0</v>
      </c>
      <c r="E52" s="135">
        <v>0</v>
      </c>
      <c r="F52" s="135">
        <v>0</v>
      </c>
      <c r="G52" s="144">
        <v>22416.84</v>
      </c>
      <c r="H52" s="135">
        <v>0</v>
      </c>
      <c r="I52" s="144">
        <v>22416.84</v>
      </c>
      <c r="J52" s="135">
        <v>0</v>
      </c>
      <c r="K52" s="144">
        <v>22416.84</v>
      </c>
      <c r="L52" s="144">
        <v>0</v>
      </c>
    </row>
    <row r="53" spans="1:12" x14ac:dyDescent="0.25">
      <c r="A53" s="221" t="s">
        <v>1015</v>
      </c>
      <c r="B53" s="103" t="s">
        <v>67</v>
      </c>
      <c r="C53" s="135">
        <v>0</v>
      </c>
      <c r="D53" s="135">
        <v>0</v>
      </c>
      <c r="E53" s="135">
        <v>0</v>
      </c>
      <c r="F53" s="135">
        <v>0</v>
      </c>
      <c r="G53" s="144">
        <v>0</v>
      </c>
      <c r="H53" s="135">
        <v>0</v>
      </c>
      <c r="I53" s="144">
        <v>0</v>
      </c>
      <c r="J53" s="135">
        <v>0</v>
      </c>
      <c r="K53" s="144">
        <v>0</v>
      </c>
      <c r="L53" s="144">
        <v>0</v>
      </c>
    </row>
    <row r="54" spans="1:12" x14ac:dyDescent="0.25">
      <c r="A54" s="221" t="s">
        <v>351</v>
      </c>
      <c r="B54" s="103" t="s">
        <v>939</v>
      </c>
      <c r="C54" s="135">
        <v>0</v>
      </c>
      <c r="D54" s="135">
        <v>0</v>
      </c>
      <c r="E54" s="135">
        <v>0</v>
      </c>
      <c r="F54" s="135">
        <v>0</v>
      </c>
      <c r="G54" s="144">
        <v>402.9</v>
      </c>
      <c r="H54" s="144">
        <v>0</v>
      </c>
      <c r="I54" s="144">
        <v>402.9</v>
      </c>
      <c r="J54" s="144">
        <v>0</v>
      </c>
      <c r="K54" s="144">
        <v>402.9</v>
      </c>
      <c r="L54" s="144">
        <v>0</v>
      </c>
    </row>
    <row r="55" spans="1:12" x14ac:dyDescent="0.25">
      <c r="A55" s="221" t="s">
        <v>95</v>
      </c>
      <c r="B55" s="103" t="s">
        <v>142</v>
      </c>
      <c r="C55" s="144">
        <v>0</v>
      </c>
      <c r="D55" s="144">
        <v>0</v>
      </c>
      <c r="E55" s="144">
        <v>0.01</v>
      </c>
      <c r="F55" s="135">
        <v>0</v>
      </c>
      <c r="G55" s="144">
        <v>51.5</v>
      </c>
      <c r="H55" s="135">
        <v>0</v>
      </c>
      <c r="I55" s="144">
        <v>51.51</v>
      </c>
      <c r="J55" s="135">
        <v>0</v>
      </c>
      <c r="K55" s="144">
        <v>51.51</v>
      </c>
      <c r="L55" s="144">
        <v>0</v>
      </c>
    </row>
    <row r="56" spans="1:12" x14ac:dyDescent="0.25">
      <c r="A56" s="221" t="s">
        <v>309</v>
      </c>
      <c r="B56" s="103" t="s">
        <v>564</v>
      </c>
      <c r="C56" s="135">
        <v>0</v>
      </c>
      <c r="D56" s="135">
        <v>0</v>
      </c>
      <c r="E56" s="135">
        <v>0</v>
      </c>
      <c r="F56" s="135">
        <v>0</v>
      </c>
      <c r="G56" s="144">
        <v>2700</v>
      </c>
      <c r="H56" s="135">
        <v>0</v>
      </c>
      <c r="I56" s="144">
        <v>2700</v>
      </c>
      <c r="J56" s="135">
        <v>0</v>
      </c>
      <c r="K56" s="144">
        <v>2700</v>
      </c>
      <c r="L56" s="144">
        <v>0</v>
      </c>
    </row>
    <row r="57" spans="1:12" x14ac:dyDescent="0.25">
      <c r="A57" s="221" t="s">
        <v>217</v>
      </c>
      <c r="B57" s="103" t="s">
        <v>6</v>
      </c>
      <c r="C57" s="144">
        <v>0</v>
      </c>
      <c r="D57" s="144">
        <v>0</v>
      </c>
      <c r="E57" s="144">
        <v>82.2</v>
      </c>
      <c r="F57" s="135">
        <v>0</v>
      </c>
      <c r="G57" s="144">
        <v>7</v>
      </c>
      <c r="H57" s="135">
        <v>0</v>
      </c>
      <c r="I57" s="144">
        <v>89.2</v>
      </c>
      <c r="J57" s="135">
        <v>0</v>
      </c>
      <c r="K57" s="144">
        <v>89.2</v>
      </c>
      <c r="L57" s="144">
        <v>0</v>
      </c>
    </row>
    <row r="58" spans="1:12" x14ac:dyDescent="0.25">
      <c r="A58" s="221" t="s">
        <v>1007</v>
      </c>
      <c r="B58" s="103" t="s">
        <v>66</v>
      </c>
      <c r="C58" s="144">
        <v>0</v>
      </c>
      <c r="D58" s="144">
        <v>0</v>
      </c>
      <c r="E58" s="135">
        <v>0</v>
      </c>
      <c r="F58" s="144">
        <v>31105.98</v>
      </c>
      <c r="G58" s="135">
        <v>0</v>
      </c>
      <c r="H58" s="144">
        <v>1426.67</v>
      </c>
      <c r="I58" s="135">
        <v>0</v>
      </c>
      <c r="J58" s="144">
        <v>32532.65</v>
      </c>
      <c r="K58" s="144">
        <v>0</v>
      </c>
      <c r="L58" s="144">
        <v>32532.65</v>
      </c>
    </row>
    <row r="59" spans="1:12" x14ac:dyDescent="0.25">
      <c r="A59" s="221" t="s">
        <v>690</v>
      </c>
      <c r="B59" s="103" t="s">
        <v>566</v>
      </c>
      <c r="C59" s="135">
        <v>0</v>
      </c>
      <c r="D59" s="135">
        <v>0</v>
      </c>
      <c r="E59" s="135">
        <v>0</v>
      </c>
      <c r="F59" s="135">
        <v>0</v>
      </c>
      <c r="G59" s="135">
        <v>0</v>
      </c>
      <c r="H59" s="144">
        <v>13977.57</v>
      </c>
      <c r="I59" s="135">
        <v>0</v>
      </c>
      <c r="J59" s="144">
        <v>13977.57</v>
      </c>
      <c r="K59" s="144">
        <v>0</v>
      </c>
      <c r="L59" s="144">
        <v>13977.57</v>
      </c>
    </row>
    <row r="60" spans="1:12" x14ac:dyDescent="0.25">
      <c r="A60" s="221" t="s">
        <v>284</v>
      </c>
      <c r="B60" s="103" t="s">
        <v>668</v>
      </c>
      <c r="C60" s="144">
        <v>0</v>
      </c>
      <c r="D60" s="144">
        <v>0</v>
      </c>
      <c r="E60" s="135">
        <v>0</v>
      </c>
      <c r="F60" s="135">
        <v>0</v>
      </c>
      <c r="G60" s="135">
        <v>0</v>
      </c>
      <c r="H60" s="144">
        <v>0</v>
      </c>
      <c r="I60" s="144">
        <v>103927.83</v>
      </c>
      <c r="J60" s="144">
        <v>103927.83</v>
      </c>
      <c r="K60" s="144">
        <v>0</v>
      </c>
      <c r="L60" s="144">
        <v>0</v>
      </c>
    </row>
    <row r="61" spans="1:12" x14ac:dyDescent="0.25">
      <c r="A61" s="221" t="s">
        <v>98</v>
      </c>
      <c r="B61" s="103" t="s">
        <v>955</v>
      </c>
      <c r="C61" s="144">
        <v>4569.5600000000004</v>
      </c>
      <c r="D61" s="144">
        <v>0</v>
      </c>
      <c r="E61" s="135">
        <v>0</v>
      </c>
      <c r="F61" s="144">
        <v>4569.5600000000004</v>
      </c>
      <c r="G61" s="144">
        <v>0</v>
      </c>
      <c r="H61" s="135">
        <v>0</v>
      </c>
      <c r="I61" s="144">
        <v>0</v>
      </c>
      <c r="J61" s="144">
        <v>4569.5600000000004</v>
      </c>
      <c r="K61" s="144">
        <v>0</v>
      </c>
      <c r="L61" s="144">
        <v>0</v>
      </c>
    </row>
    <row r="62" spans="1:12" x14ac:dyDescent="0.25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 x14ac:dyDescent="0.25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 x14ac:dyDescent="0.25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 x14ac:dyDescent="0.25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 x14ac:dyDescent="0.25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 x14ac:dyDescent="0.25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 x14ac:dyDescent="0.25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 x14ac:dyDescent="0.25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 x14ac:dyDescent="0.25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 x14ac:dyDescent="0.25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 x14ac:dyDescent="0.25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 x14ac:dyDescent="0.25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 x14ac:dyDescent="0.25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 x14ac:dyDescent="0.25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 x14ac:dyDescent="0.25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 x14ac:dyDescent="0.25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 x14ac:dyDescent="0.25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25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25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25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25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25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25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25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25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25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25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25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25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25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25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25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25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25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25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25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25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25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25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25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25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25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25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25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25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25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25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25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25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25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25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25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25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25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25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25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25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25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25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25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345</v>
      </c>
      <c r="B1" s="11" t="s">
        <v>1070</v>
      </c>
      <c r="C1" s="157" t="s">
        <v>688</v>
      </c>
      <c r="D1" s="157" t="s">
        <v>849</v>
      </c>
      <c r="E1" s="157" t="s">
        <v>376</v>
      </c>
      <c r="F1" s="157" t="s">
        <v>653</v>
      </c>
      <c r="G1" s="157" t="s">
        <v>330</v>
      </c>
      <c r="H1" s="157" t="s">
        <v>594</v>
      </c>
      <c r="I1" s="157" t="s">
        <v>617</v>
      </c>
      <c r="J1" s="157" t="s">
        <v>596</v>
      </c>
      <c r="K1" s="157" t="s">
        <v>882</v>
      </c>
      <c r="L1" s="157" t="s">
        <v>174</v>
      </c>
    </row>
    <row r="2" spans="1:12" x14ac:dyDescent="0.25">
      <c r="A2" s="221" t="s">
        <v>831</v>
      </c>
      <c r="B2" s="103" t="s">
        <v>810</v>
      </c>
      <c r="C2" s="144">
        <v>7083.34</v>
      </c>
      <c r="D2" s="144">
        <v>0</v>
      </c>
      <c r="E2" s="135">
        <v>0</v>
      </c>
      <c r="F2" s="135">
        <v>0</v>
      </c>
      <c r="G2" s="135">
        <v>0</v>
      </c>
      <c r="H2" s="135">
        <v>0</v>
      </c>
      <c r="I2" s="135">
        <v>0</v>
      </c>
      <c r="J2" s="135">
        <v>0</v>
      </c>
      <c r="K2" s="144">
        <v>7083.34</v>
      </c>
      <c r="L2" s="144">
        <v>0</v>
      </c>
    </row>
    <row r="3" spans="1:12" x14ac:dyDescent="0.25">
      <c r="A3" s="221" t="s">
        <v>1033</v>
      </c>
      <c r="B3" s="103" t="s">
        <v>728</v>
      </c>
      <c r="C3" s="144">
        <v>0</v>
      </c>
      <c r="D3" s="144">
        <v>7083.34</v>
      </c>
      <c r="E3" s="135">
        <v>0</v>
      </c>
      <c r="F3" s="135">
        <v>0</v>
      </c>
      <c r="G3" s="135">
        <v>0</v>
      </c>
      <c r="H3" s="135">
        <v>0</v>
      </c>
      <c r="I3" s="135">
        <v>0</v>
      </c>
      <c r="J3" s="135">
        <v>0</v>
      </c>
      <c r="K3" s="144">
        <v>0</v>
      </c>
      <c r="L3" s="144">
        <v>7083.34</v>
      </c>
    </row>
    <row r="4" spans="1:12" x14ac:dyDescent="0.25">
      <c r="A4" s="221" t="s">
        <v>136</v>
      </c>
      <c r="B4" s="103" t="s">
        <v>202</v>
      </c>
      <c r="C4" s="144">
        <v>4.9000000000000004</v>
      </c>
      <c r="D4" s="144">
        <v>0</v>
      </c>
      <c r="E4" s="144">
        <v>36810</v>
      </c>
      <c r="F4" s="144">
        <v>36438.51</v>
      </c>
      <c r="G4" s="144">
        <v>27.6</v>
      </c>
      <c r="H4" s="144">
        <v>3.1</v>
      </c>
      <c r="I4" s="144">
        <v>36837.599999999999</v>
      </c>
      <c r="J4" s="144">
        <v>36441.61</v>
      </c>
      <c r="K4" s="144">
        <v>400.89</v>
      </c>
      <c r="L4" s="144">
        <v>0</v>
      </c>
    </row>
    <row r="5" spans="1:12" x14ac:dyDescent="0.25">
      <c r="A5" s="221" t="s">
        <v>577</v>
      </c>
      <c r="B5" s="103" t="s">
        <v>559</v>
      </c>
      <c r="C5" s="144">
        <v>12038.83</v>
      </c>
      <c r="D5" s="144">
        <v>0</v>
      </c>
      <c r="E5" s="144">
        <v>39322.199999999997</v>
      </c>
      <c r="F5" s="144">
        <v>50632.42</v>
      </c>
      <c r="G5" s="144">
        <v>1680</v>
      </c>
      <c r="H5" s="144">
        <v>1936.03</v>
      </c>
      <c r="I5" s="144">
        <v>41002.199999999997</v>
      </c>
      <c r="J5" s="144">
        <v>52568.45</v>
      </c>
      <c r="K5" s="144">
        <v>472.58</v>
      </c>
      <c r="L5" s="144">
        <v>0</v>
      </c>
    </row>
    <row r="6" spans="1:12" x14ac:dyDescent="0.25">
      <c r="A6" s="221" t="s">
        <v>442</v>
      </c>
      <c r="B6" s="103" t="s">
        <v>447</v>
      </c>
      <c r="C6" s="135">
        <v>0</v>
      </c>
      <c r="D6" s="135">
        <v>0</v>
      </c>
      <c r="E6" s="135">
        <v>0</v>
      </c>
      <c r="F6" s="144">
        <v>0</v>
      </c>
      <c r="G6" s="135">
        <v>0</v>
      </c>
      <c r="H6" s="135">
        <v>0</v>
      </c>
      <c r="I6" s="135">
        <v>0</v>
      </c>
      <c r="J6" s="144">
        <v>0</v>
      </c>
      <c r="K6" s="144">
        <v>0</v>
      </c>
      <c r="L6" s="144">
        <v>0</v>
      </c>
    </row>
    <row r="7" spans="1:12" x14ac:dyDescent="0.25">
      <c r="A7" s="221" t="s">
        <v>505</v>
      </c>
      <c r="B7" s="103" t="s">
        <v>467</v>
      </c>
      <c r="C7" s="144">
        <v>0</v>
      </c>
      <c r="D7" s="144">
        <v>0</v>
      </c>
      <c r="E7" s="144">
        <v>810</v>
      </c>
      <c r="F7" s="144">
        <v>810</v>
      </c>
      <c r="G7" s="144">
        <v>0</v>
      </c>
      <c r="H7" s="144">
        <v>0</v>
      </c>
      <c r="I7" s="144">
        <v>810</v>
      </c>
      <c r="J7" s="144">
        <v>810</v>
      </c>
      <c r="K7" s="144">
        <v>0</v>
      </c>
      <c r="L7" s="144">
        <v>0</v>
      </c>
    </row>
    <row r="8" spans="1:12" x14ac:dyDescent="0.25">
      <c r="A8" s="221" t="s">
        <v>752</v>
      </c>
      <c r="B8" s="103" t="s">
        <v>97</v>
      </c>
      <c r="C8" s="135">
        <v>0</v>
      </c>
      <c r="D8" s="135">
        <v>0</v>
      </c>
      <c r="E8" s="144">
        <v>0</v>
      </c>
      <c r="F8" s="135">
        <v>0</v>
      </c>
      <c r="G8" s="135">
        <v>0</v>
      </c>
      <c r="H8" s="135">
        <v>0</v>
      </c>
      <c r="I8" s="144">
        <v>0</v>
      </c>
      <c r="J8" s="135">
        <v>0</v>
      </c>
      <c r="K8" s="144">
        <v>0</v>
      </c>
      <c r="L8" s="144">
        <v>0</v>
      </c>
    </row>
    <row r="9" spans="1:12" x14ac:dyDescent="0.25">
      <c r="A9" s="221" t="s">
        <v>921</v>
      </c>
      <c r="B9" s="103" t="s">
        <v>390</v>
      </c>
      <c r="C9" s="144">
        <v>33789.31</v>
      </c>
      <c r="D9" s="144">
        <v>0</v>
      </c>
      <c r="E9" s="144">
        <v>37327.199999999997</v>
      </c>
      <c r="F9" s="144">
        <v>37722.199999999997</v>
      </c>
      <c r="G9" s="144">
        <v>1712</v>
      </c>
      <c r="H9" s="144">
        <v>24096.84</v>
      </c>
      <c r="I9" s="144">
        <v>39039.199999999997</v>
      </c>
      <c r="J9" s="144">
        <v>61819.040000000001</v>
      </c>
      <c r="K9" s="144">
        <v>11009.47</v>
      </c>
      <c r="L9" s="144">
        <v>0</v>
      </c>
    </row>
    <row r="10" spans="1:12" x14ac:dyDescent="0.25">
      <c r="A10" s="221" t="s">
        <v>248</v>
      </c>
      <c r="B10" s="103" t="s">
        <v>319</v>
      </c>
      <c r="C10" s="135">
        <v>0</v>
      </c>
      <c r="D10" s="135">
        <v>0</v>
      </c>
      <c r="E10" s="135">
        <v>0</v>
      </c>
      <c r="F10" s="135">
        <v>0</v>
      </c>
      <c r="G10" s="144">
        <v>70.97</v>
      </c>
      <c r="H10" s="135">
        <v>0</v>
      </c>
      <c r="I10" s="144">
        <v>70.97</v>
      </c>
      <c r="J10" s="135">
        <v>0</v>
      </c>
      <c r="K10" s="144">
        <v>70.97</v>
      </c>
      <c r="L10" s="144">
        <v>0</v>
      </c>
    </row>
    <row r="11" spans="1:12" x14ac:dyDescent="0.25">
      <c r="A11" s="221" t="s">
        <v>970</v>
      </c>
      <c r="B11" s="103" t="s">
        <v>691</v>
      </c>
      <c r="C11" s="144">
        <v>0</v>
      </c>
      <c r="D11" s="144">
        <v>3182.39</v>
      </c>
      <c r="E11" s="144">
        <v>5795.65</v>
      </c>
      <c r="F11" s="144">
        <v>7238.22</v>
      </c>
      <c r="G11" s="144">
        <v>145.71</v>
      </c>
      <c r="H11" s="144">
        <v>99.71</v>
      </c>
      <c r="I11" s="144">
        <v>5941.36</v>
      </c>
      <c r="J11" s="144">
        <v>7337.93</v>
      </c>
      <c r="K11" s="144">
        <v>0</v>
      </c>
      <c r="L11" s="144">
        <v>4578.96</v>
      </c>
    </row>
    <row r="12" spans="1:12" x14ac:dyDescent="0.25">
      <c r="A12" s="221" t="s">
        <v>157</v>
      </c>
      <c r="B12" s="103" t="s">
        <v>672</v>
      </c>
      <c r="C12" s="144">
        <v>29</v>
      </c>
      <c r="D12" s="144">
        <v>0</v>
      </c>
      <c r="E12" s="135">
        <v>0</v>
      </c>
      <c r="F12" s="135">
        <v>0</v>
      </c>
      <c r="G12" s="144">
        <v>0</v>
      </c>
      <c r="H12" s="144">
        <v>29</v>
      </c>
      <c r="I12" s="144">
        <v>0</v>
      </c>
      <c r="J12" s="144">
        <v>29</v>
      </c>
      <c r="K12" s="144">
        <v>0</v>
      </c>
      <c r="L12" s="144">
        <v>0</v>
      </c>
    </row>
    <row r="13" spans="1:12" x14ac:dyDescent="0.25">
      <c r="A13" s="221" t="s">
        <v>1085</v>
      </c>
      <c r="B13" s="103" t="s">
        <v>212</v>
      </c>
      <c r="C13" s="144">
        <v>0</v>
      </c>
      <c r="D13" s="144">
        <v>2129.9499999999998</v>
      </c>
      <c r="E13" s="144">
        <v>36089.65</v>
      </c>
      <c r="F13" s="144">
        <v>36794.83</v>
      </c>
      <c r="G13" s="144">
        <v>1687.37</v>
      </c>
      <c r="H13" s="144">
        <v>4847.26</v>
      </c>
      <c r="I13" s="144">
        <v>37777.019999999997</v>
      </c>
      <c r="J13" s="144">
        <v>41642.089999999997</v>
      </c>
      <c r="K13" s="144">
        <v>0</v>
      </c>
      <c r="L13" s="144">
        <v>5995.02</v>
      </c>
    </row>
    <row r="14" spans="1:12" x14ac:dyDescent="0.25">
      <c r="A14" s="221" t="s">
        <v>513</v>
      </c>
      <c r="B14" s="103" t="s">
        <v>863</v>
      </c>
      <c r="C14" s="144">
        <v>0</v>
      </c>
      <c r="D14" s="144">
        <v>2867.39</v>
      </c>
      <c r="E14" s="144">
        <v>14388.23</v>
      </c>
      <c r="F14" s="144">
        <v>13935.62</v>
      </c>
      <c r="G14" s="144">
        <v>2162.7800000000002</v>
      </c>
      <c r="H14" s="144">
        <v>1433.69</v>
      </c>
      <c r="I14" s="144">
        <v>16551.009999999998</v>
      </c>
      <c r="J14" s="144">
        <v>15369.31</v>
      </c>
      <c r="K14" s="144">
        <v>0</v>
      </c>
      <c r="L14" s="144">
        <v>1685.69</v>
      </c>
    </row>
    <row r="15" spans="1:12" x14ac:dyDescent="0.25">
      <c r="A15" s="221" t="s">
        <v>840</v>
      </c>
      <c r="B15" s="103" t="s">
        <v>815</v>
      </c>
      <c r="C15" s="144">
        <v>0</v>
      </c>
      <c r="D15" s="144">
        <v>846.1</v>
      </c>
      <c r="E15" s="144">
        <v>4195.3599999999997</v>
      </c>
      <c r="F15" s="144">
        <v>4089.09</v>
      </c>
      <c r="G15" s="144">
        <v>316.77999999999997</v>
      </c>
      <c r="H15" s="144">
        <v>415.5</v>
      </c>
      <c r="I15" s="144">
        <v>4512.1400000000003</v>
      </c>
      <c r="J15" s="144">
        <v>4504.59</v>
      </c>
      <c r="K15" s="144">
        <v>0</v>
      </c>
      <c r="L15" s="144">
        <v>838.55</v>
      </c>
    </row>
    <row r="16" spans="1:12" x14ac:dyDescent="0.25">
      <c r="A16" s="221" t="s">
        <v>259</v>
      </c>
      <c r="B16" s="103" t="s">
        <v>969</v>
      </c>
      <c r="C16" s="144">
        <v>0</v>
      </c>
      <c r="D16" s="144">
        <v>471.81</v>
      </c>
      <c r="E16" s="144">
        <v>12803.74</v>
      </c>
      <c r="F16" s="144">
        <v>12578.62</v>
      </c>
      <c r="G16" s="144">
        <v>550</v>
      </c>
      <c r="H16" s="144">
        <v>570.66</v>
      </c>
      <c r="I16" s="144">
        <v>13353.74</v>
      </c>
      <c r="J16" s="144">
        <v>13149.28</v>
      </c>
      <c r="K16" s="144">
        <v>0</v>
      </c>
      <c r="L16" s="144">
        <v>267.35000000000002</v>
      </c>
    </row>
    <row r="17" spans="1:12" x14ac:dyDescent="0.25">
      <c r="A17" s="221" t="s">
        <v>619</v>
      </c>
      <c r="B17" s="103" t="s">
        <v>189</v>
      </c>
      <c r="C17" s="144">
        <v>0</v>
      </c>
      <c r="D17" s="144">
        <v>58</v>
      </c>
      <c r="E17" s="144">
        <v>64</v>
      </c>
      <c r="F17" s="144">
        <v>0</v>
      </c>
      <c r="G17" s="144">
        <v>0</v>
      </c>
      <c r="H17" s="144">
        <v>70</v>
      </c>
      <c r="I17" s="144">
        <v>64</v>
      </c>
      <c r="J17" s="144">
        <v>70</v>
      </c>
      <c r="K17" s="144">
        <v>0</v>
      </c>
      <c r="L17" s="144">
        <v>64</v>
      </c>
    </row>
    <row r="18" spans="1:12" x14ac:dyDescent="0.25">
      <c r="A18" s="221" t="s">
        <v>190</v>
      </c>
      <c r="B18" s="103" t="s">
        <v>227</v>
      </c>
      <c r="C18" s="144">
        <v>0</v>
      </c>
      <c r="D18" s="144">
        <v>9674.0499999999993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44">
        <v>0</v>
      </c>
      <c r="L18" s="144">
        <v>9674.0499999999993</v>
      </c>
    </row>
    <row r="19" spans="1:12" x14ac:dyDescent="0.25">
      <c r="A19" s="221" t="s">
        <v>315</v>
      </c>
      <c r="B19" s="103" t="s">
        <v>1078</v>
      </c>
      <c r="C19" s="144">
        <v>11100</v>
      </c>
      <c r="D19" s="144">
        <v>0</v>
      </c>
      <c r="E19" s="135">
        <v>0</v>
      </c>
      <c r="F19" s="135">
        <v>0</v>
      </c>
      <c r="G19" s="135">
        <v>0</v>
      </c>
      <c r="H19" s="135">
        <v>0</v>
      </c>
      <c r="I19" s="135">
        <v>0</v>
      </c>
      <c r="J19" s="135">
        <v>0</v>
      </c>
      <c r="K19" s="144">
        <v>11100</v>
      </c>
      <c r="L19" s="144">
        <v>0</v>
      </c>
    </row>
    <row r="20" spans="1:12" x14ac:dyDescent="0.25">
      <c r="A20" s="221" t="s">
        <v>128</v>
      </c>
      <c r="B20" s="103" t="s">
        <v>781</v>
      </c>
      <c r="C20" s="144">
        <v>16.5</v>
      </c>
      <c r="D20" s="144">
        <v>0</v>
      </c>
      <c r="E20" s="135">
        <v>0</v>
      </c>
      <c r="F20" s="135">
        <v>0</v>
      </c>
      <c r="G20" s="135">
        <v>0</v>
      </c>
      <c r="H20" s="144">
        <v>16.5</v>
      </c>
      <c r="I20" s="135">
        <v>0</v>
      </c>
      <c r="J20" s="144">
        <v>16.5</v>
      </c>
      <c r="K20" s="144">
        <v>0</v>
      </c>
      <c r="L20" s="144">
        <v>0</v>
      </c>
    </row>
    <row r="21" spans="1:12" x14ac:dyDescent="0.25">
      <c r="A21" s="221" t="s">
        <v>150</v>
      </c>
      <c r="B21" s="103" t="s">
        <v>1084</v>
      </c>
      <c r="C21" s="144">
        <v>402.9</v>
      </c>
      <c r="D21" s="144">
        <v>0</v>
      </c>
      <c r="E21" s="135">
        <v>0</v>
      </c>
      <c r="F21" s="135">
        <v>0</v>
      </c>
      <c r="G21" s="135">
        <v>0</v>
      </c>
      <c r="H21" s="144">
        <v>402.9</v>
      </c>
      <c r="I21" s="135">
        <v>0</v>
      </c>
      <c r="J21" s="144">
        <v>402.9</v>
      </c>
      <c r="K21" s="144">
        <v>0</v>
      </c>
      <c r="L21" s="144">
        <v>0</v>
      </c>
    </row>
    <row r="22" spans="1:12" x14ac:dyDescent="0.25">
      <c r="A22" s="221" t="s">
        <v>1100</v>
      </c>
      <c r="B22" s="103" t="s">
        <v>87</v>
      </c>
      <c r="C22" s="144">
        <v>0</v>
      </c>
      <c r="D22" s="144">
        <v>20457.349999999999</v>
      </c>
      <c r="E22" s="135">
        <v>0</v>
      </c>
      <c r="F22" s="135">
        <v>0</v>
      </c>
      <c r="G22" s="144">
        <v>13977.57</v>
      </c>
      <c r="H22" s="144">
        <v>0</v>
      </c>
      <c r="I22" s="144">
        <v>13977.57</v>
      </c>
      <c r="J22" s="144">
        <v>0</v>
      </c>
      <c r="K22" s="144">
        <v>0</v>
      </c>
      <c r="L22" s="144">
        <v>6479.78</v>
      </c>
    </row>
    <row r="23" spans="1:12" x14ac:dyDescent="0.25">
      <c r="A23" s="221" t="s">
        <v>1023</v>
      </c>
      <c r="B23" s="103" t="s">
        <v>326</v>
      </c>
      <c r="C23" s="144">
        <v>0</v>
      </c>
      <c r="D23" s="144">
        <v>6638.78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44">
        <v>0</v>
      </c>
      <c r="L23" s="144">
        <v>6638.78</v>
      </c>
    </row>
    <row r="24" spans="1:12" x14ac:dyDescent="0.25">
      <c r="A24" s="221" t="s">
        <v>81</v>
      </c>
      <c r="B24" s="103" t="s">
        <v>347</v>
      </c>
      <c r="C24" s="144">
        <v>0</v>
      </c>
      <c r="D24" s="144">
        <v>663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44">
        <v>0</v>
      </c>
      <c r="L24" s="144">
        <v>663</v>
      </c>
    </row>
    <row r="25" spans="1:12" x14ac:dyDescent="0.25">
      <c r="A25" s="221" t="s">
        <v>741</v>
      </c>
      <c r="B25" s="103" t="s">
        <v>624</v>
      </c>
      <c r="C25" s="144">
        <v>0</v>
      </c>
      <c r="D25" s="144">
        <v>15979.5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5">
        <v>0</v>
      </c>
      <c r="K25" s="144">
        <v>0</v>
      </c>
      <c r="L25" s="144">
        <v>15979.5</v>
      </c>
    </row>
    <row r="26" spans="1:12" x14ac:dyDescent="0.25">
      <c r="A26" s="221" t="s">
        <v>1073</v>
      </c>
      <c r="B26" s="103" t="s">
        <v>85</v>
      </c>
      <c r="C26" s="144">
        <v>34893.49</v>
      </c>
      <c r="D26" s="144">
        <v>0</v>
      </c>
      <c r="E26" s="144">
        <v>4569.5600000000004</v>
      </c>
      <c r="F26" s="135">
        <v>0</v>
      </c>
      <c r="G26" s="135">
        <v>0</v>
      </c>
      <c r="H26" s="135">
        <v>0</v>
      </c>
      <c r="I26" s="144">
        <v>4569.5600000000004</v>
      </c>
      <c r="J26" s="135">
        <v>0</v>
      </c>
      <c r="K26" s="144">
        <v>39463.050000000003</v>
      </c>
      <c r="L26" s="144">
        <v>0</v>
      </c>
    </row>
    <row r="27" spans="1:12" x14ac:dyDescent="0.25">
      <c r="A27" s="221" t="s">
        <v>908</v>
      </c>
      <c r="B27" s="103" t="s">
        <v>490</v>
      </c>
      <c r="C27" s="135">
        <v>0</v>
      </c>
      <c r="D27" s="135">
        <v>0</v>
      </c>
      <c r="E27" s="144">
        <v>0</v>
      </c>
      <c r="F27" s="144">
        <v>0</v>
      </c>
      <c r="G27" s="135">
        <v>0</v>
      </c>
      <c r="H27" s="135">
        <v>0</v>
      </c>
      <c r="I27" s="144">
        <v>0</v>
      </c>
      <c r="J27" s="144">
        <v>0</v>
      </c>
      <c r="K27" s="144">
        <v>0</v>
      </c>
      <c r="L27" s="144">
        <v>0</v>
      </c>
    </row>
    <row r="28" spans="1:12" x14ac:dyDescent="0.25">
      <c r="A28" s="221" t="s">
        <v>625</v>
      </c>
      <c r="B28" s="103" t="s">
        <v>915</v>
      </c>
      <c r="C28" s="144">
        <v>0</v>
      </c>
      <c r="D28" s="144">
        <v>250.69</v>
      </c>
      <c r="E28" s="144">
        <v>0</v>
      </c>
      <c r="F28" s="144">
        <v>163.38999999999999</v>
      </c>
      <c r="G28" s="144">
        <v>0</v>
      </c>
      <c r="H28" s="144">
        <v>17.7</v>
      </c>
      <c r="I28" s="144">
        <v>0</v>
      </c>
      <c r="J28" s="144">
        <v>181.09</v>
      </c>
      <c r="K28" s="144">
        <v>0</v>
      </c>
      <c r="L28" s="144">
        <v>431.78</v>
      </c>
    </row>
    <row r="29" spans="1:12" x14ac:dyDescent="0.25">
      <c r="A29" s="221" t="s">
        <v>1048</v>
      </c>
      <c r="B29" s="103" t="s">
        <v>599</v>
      </c>
      <c r="C29" s="144">
        <v>0</v>
      </c>
      <c r="D29" s="144">
        <v>33625.480000000003</v>
      </c>
      <c r="E29" s="144">
        <v>36000</v>
      </c>
      <c r="F29" s="144">
        <v>37600</v>
      </c>
      <c r="G29" s="135">
        <v>0</v>
      </c>
      <c r="H29" s="144">
        <v>2700</v>
      </c>
      <c r="I29" s="144">
        <v>36000</v>
      </c>
      <c r="J29" s="144">
        <v>40300</v>
      </c>
      <c r="K29" s="144">
        <v>0</v>
      </c>
      <c r="L29" s="144">
        <v>37925.480000000003</v>
      </c>
    </row>
    <row r="30" spans="1:12" x14ac:dyDescent="0.25">
      <c r="A30" s="221" t="s">
        <v>78</v>
      </c>
      <c r="B30" s="103" t="s">
        <v>758</v>
      </c>
      <c r="C30" s="144">
        <v>0</v>
      </c>
      <c r="D30" s="144">
        <v>0</v>
      </c>
      <c r="E30" s="144">
        <v>225.26</v>
      </c>
      <c r="F30" s="144">
        <v>0</v>
      </c>
      <c r="G30" s="144">
        <v>0</v>
      </c>
      <c r="H30" s="144">
        <v>0</v>
      </c>
      <c r="I30" s="144">
        <v>225.26</v>
      </c>
      <c r="J30" s="144">
        <v>0</v>
      </c>
      <c r="K30" s="144">
        <v>225.26</v>
      </c>
      <c r="L30" s="144">
        <v>0</v>
      </c>
    </row>
    <row r="31" spans="1:12" x14ac:dyDescent="0.25">
      <c r="A31" s="221" t="s">
        <v>359</v>
      </c>
      <c r="B31" s="103" t="s">
        <v>539</v>
      </c>
      <c r="C31" s="144">
        <v>0</v>
      </c>
      <c r="D31" s="144">
        <v>0</v>
      </c>
      <c r="E31" s="144">
        <v>5992.88</v>
      </c>
      <c r="F31" s="144">
        <v>0</v>
      </c>
      <c r="G31" s="144">
        <v>64.02</v>
      </c>
      <c r="H31" s="144">
        <v>0</v>
      </c>
      <c r="I31" s="144">
        <v>6056.9</v>
      </c>
      <c r="J31" s="144">
        <v>0</v>
      </c>
      <c r="K31" s="144">
        <v>6056.9</v>
      </c>
      <c r="L31" s="144">
        <v>0</v>
      </c>
    </row>
    <row r="32" spans="1:12" x14ac:dyDescent="0.25">
      <c r="A32" s="221" t="s">
        <v>148</v>
      </c>
      <c r="B32" s="103" t="s">
        <v>399</v>
      </c>
      <c r="C32" s="144">
        <v>0</v>
      </c>
      <c r="D32" s="144">
        <v>0</v>
      </c>
      <c r="E32" s="144">
        <v>28945.82</v>
      </c>
      <c r="F32" s="144">
        <v>0</v>
      </c>
      <c r="G32" s="144">
        <v>2950</v>
      </c>
      <c r="H32" s="144">
        <v>0</v>
      </c>
      <c r="I32" s="144">
        <v>31895.82</v>
      </c>
      <c r="J32" s="144">
        <v>0</v>
      </c>
      <c r="K32" s="144">
        <v>31895.82</v>
      </c>
      <c r="L32" s="144">
        <v>0</v>
      </c>
    </row>
    <row r="33" spans="1:12" x14ac:dyDescent="0.25">
      <c r="A33" s="221" t="s">
        <v>903</v>
      </c>
      <c r="B33" s="103" t="s">
        <v>686</v>
      </c>
      <c r="C33" s="144">
        <v>0</v>
      </c>
      <c r="D33" s="144">
        <v>0</v>
      </c>
      <c r="E33" s="144">
        <v>10093.290000000001</v>
      </c>
      <c r="F33" s="144">
        <v>0</v>
      </c>
      <c r="G33" s="144">
        <v>1038.3900000000001</v>
      </c>
      <c r="H33" s="144">
        <v>0</v>
      </c>
      <c r="I33" s="144">
        <v>11131.68</v>
      </c>
      <c r="J33" s="144">
        <v>0</v>
      </c>
      <c r="K33" s="144">
        <v>11131.68</v>
      </c>
      <c r="L33" s="144">
        <v>0</v>
      </c>
    </row>
    <row r="34" spans="1:12" x14ac:dyDescent="0.25">
      <c r="A34" s="221" t="s">
        <v>724</v>
      </c>
      <c r="B34" s="103" t="s">
        <v>49</v>
      </c>
      <c r="C34" s="144">
        <v>0</v>
      </c>
      <c r="D34" s="144">
        <v>0</v>
      </c>
      <c r="E34" s="144">
        <v>163.38999999999999</v>
      </c>
      <c r="F34" s="144">
        <v>0</v>
      </c>
      <c r="G34" s="144">
        <v>17.7</v>
      </c>
      <c r="H34" s="144">
        <v>0</v>
      </c>
      <c r="I34" s="144">
        <v>181.09</v>
      </c>
      <c r="J34" s="144">
        <v>0</v>
      </c>
      <c r="K34" s="144">
        <v>181.09</v>
      </c>
      <c r="L34" s="144">
        <v>0</v>
      </c>
    </row>
    <row r="35" spans="1:12" x14ac:dyDescent="0.25">
      <c r="A35" s="221" t="s">
        <v>293</v>
      </c>
      <c r="B35" s="103" t="s">
        <v>1038</v>
      </c>
      <c r="C35" s="135">
        <v>0</v>
      </c>
      <c r="D35" s="135">
        <v>0</v>
      </c>
      <c r="E35" s="135">
        <v>0</v>
      </c>
      <c r="F35" s="135">
        <v>0</v>
      </c>
      <c r="G35" s="144">
        <v>64</v>
      </c>
      <c r="H35" s="135">
        <v>0</v>
      </c>
      <c r="I35" s="144">
        <v>64</v>
      </c>
      <c r="J35" s="135">
        <v>0</v>
      </c>
      <c r="K35" s="144">
        <v>64</v>
      </c>
      <c r="L35" s="144">
        <v>0</v>
      </c>
    </row>
    <row r="36" spans="1:12" x14ac:dyDescent="0.25">
      <c r="A36" s="221" t="s">
        <v>30</v>
      </c>
      <c r="B36" s="103" t="s">
        <v>353</v>
      </c>
      <c r="C36" s="135">
        <v>0</v>
      </c>
      <c r="D36" s="135">
        <v>0</v>
      </c>
      <c r="E36" s="135">
        <v>0</v>
      </c>
      <c r="F36" s="135">
        <v>0</v>
      </c>
      <c r="G36" s="144">
        <v>22416.84</v>
      </c>
      <c r="H36" s="135">
        <v>0</v>
      </c>
      <c r="I36" s="144">
        <v>22416.84</v>
      </c>
      <c r="J36" s="135">
        <v>0</v>
      </c>
      <c r="K36" s="144">
        <v>22416.84</v>
      </c>
      <c r="L36" s="144">
        <v>0</v>
      </c>
    </row>
    <row r="37" spans="1:12" x14ac:dyDescent="0.25">
      <c r="A37" s="221" t="s">
        <v>304</v>
      </c>
      <c r="B37" s="103" t="s">
        <v>67</v>
      </c>
      <c r="C37" s="135">
        <v>0</v>
      </c>
      <c r="D37" s="135">
        <v>0</v>
      </c>
      <c r="E37" s="135">
        <v>0</v>
      </c>
      <c r="F37" s="135">
        <v>0</v>
      </c>
      <c r="G37" s="144">
        <v>0</v>
      </c>
      <c r="H37" s="135">
        <v>0</v>
      </c>
      <c r="I37" s="144">
        <v>0</v>
      </c>
      <c r="J37" s="135">
        <v>0</v>
      </c>
      <c r="K37" s="144">
        <v>0</v>
      </c>
      <c r="L37" s="144">
        <v>0</v>
      </c>
    </row>
    <row r="38" spans="1:12" x14ac:dyDescent="0.25">
      <c r="A38" s="221" t="s">
        <v>808</v>
      </c>
      <c r="B38" s="103" t="s">
        <v>911</v>
      </c>
      <c r="C38" s="144">
        <v>0</v>
      </c>
      <c r="D38" s="144">
        <v>0</v>
      </c>
      <c r="E38" s="144">
        <v>0.01</v>
      </c>
      <c r="F38" s="144">
        <v>0</v>
      </c>
      <c r="G38" s="144">
        <v>454.4</v>
      </c>
      <c r="H38" s="144">
        <v>0</v>
      </c>
      <c r="I38" s="144">
        <v>454.41</v>
      </c>
      <c r="J38" s="144">
        <v>0</v>
      </c>
      <c r="K38" s="144">
        <v>454.41</v>
      </c>
      <c r="L38" s="144">
        <v>0</v>
      </c>
    </row>
    <row r="39" spans="1:12" x14ac:dyDescent="0.25">
      <c r="A39" s="221" t="s">
        <v>1087</v>
      </c>
      <c r="B39" s="103" t="s">
        <v>564</v>
      </c>
      <c r="C39" s="135">
        <v>0</v>
      </c>
      <c r="D39" s="135">
        <v>0</v>
      </c>
      <c r="E39" s="135">
        <v>0</v>
      </c>
      <c r="F39" s="135">
        <v>0</v>
      </c>
      <c r="G39" s="144">
        <v>2700</v>
      </c>
      <c r="H39" s="135">
        <v>0</v>
      </c>
      <c r="I39" s="144">
        <v>2700</v>
      </c>
      <c r="J39" s="135">
        <v>0</v>
      </c>
      <c r="K39" s="144">
        <v>2700</v>
      </c>
      <c r="L39" s="144">
        <v>0</v>
      </c>
    </row>
    <row r="40" spans="1:12" x14ac:dyDescent="0.25">
      <c r="A40" s="221" t="s">
        <v>451</v>
      </c>
      <c r="B40" s="103" t="s">
        <v>735</v>
      </c>
      <c r="C40" s="144">
        <v>0</v>
      </c>
      <c r="D40" s="144">
        <v>0</v>
      </c>
      <c r="E40" s="144">
        <v>82.2</v>
      </c>
      <c r="F40" s="144">
        <v>0</v>
      </c>
      <c r="G40" s="144">
        <v>7</v>
      </c>
      <c r="H40" s="144">
        <v>0</v>
      </c>
      <c r="I40" s="144">
        <v>89.2</v>
      </c>
      <c r="J40" s="144">
        <v>0</v>
      </c>
      <c r="K40" s="144">
        <v>89.2</v>
      </c>
      <c r="L40" s="144">
        <v>0</v>
      </c>
    </row>
    <row r="41" spans="1:12" x14ac:dyDescent="0.25">
      <c r="A41" s="221" t="s">
        <v>181</v>
      </c>
      <c r="B41" s="103" t="s">
        <v>597</v>
      </c>
      <c r="C41" s="144">
        <v>0</v>
      </c>
      <c r="D41" s="144">
        <v>0</v>
      </c>
      <c r="E41" s="144">
        <v>0</v>
      </c>
      <c r="F41" s="144">
        <v>31105.98</v>
      </c>
      <c r="G41" s="144">
        <v>0</v>
      </c>
      <c r="H41" s="144">
        <v>1426.67</v>
      </c>
      <c r="I41" s="144">
        <v>0</v>
      </c>
      <c r="J41" s="144">
        <v>32532.65</v>
      </c>
      <c r="K41" s="144">
        <v>0</v>
      </c>
      <c r="L41" s="144">
        <v>32532.65</v>
      </c>
    </row>
    <row r="42" spans="1:12" x14ac:dyDescent="0.25">
      <c r="A42" s="221" t="s">
        <v>331</v>
      </c>
      <c r="B42" s="103" t="s">
        <v>566</v>
      </c>
      <c r="C42" s="135">
        <v>0</v>
      </c>
      <c r="D42" s="135">
        <v>0</v>
      </c>
      <c r="E42" s="135">
        <v>0</v>
      </c>
      <c r="F42" s="135">
        <v>0</v>
      </c>
      <c r="G42" s="135">
        <v>0</v>
      </c>
      <c r="H42" s="144">
        <v>13977.57</v>
      </c>
      <c r="I42" s="135">
        <v>0</v>
      </c>
      <c r="J42" s="144">
        <v>13977.57</v>
      </c>
      <c r="K42" s="144">
        <v>0</v>
      </c>
      <c r="L42" s="144">
        <v>13977.57</v>
      </c>
    </row>
    <row r="43" spans="1:12" x14ac:dyDescent="0.25">
      <c r="A43" s="221" t="s">
        <v>234</v>
      </c>
      <c r="B43" s="103" t="s">
        <v>668</v>
      </c>
      <c r="C43" s="144">
        <v>0</v>
      </c>
      <c r="D43" s="144">
        <v>0</v>
      </c>
      <c r="E43" s="135">
        <v>0</v>
      </c>
      <c r="F43" s="135">
        <v>0</v>
      </c>
      <c r="G43" s="135">
        <v>0</v>
      </c>
      <c r="H43" s="144">
        <v>0</v>
      </c>
      <c r="I43" s="144">
        <v>103927.83</v>
      </c>
      <c r="J43" s="144">
        <v>103927.83</v>
      </c>
      <c r="K43" s="144">
        <v>0</v>
      </c>
      <c r="L43" s="144">
        <v>0</v>
      </c>
    </row>
    <row r="44" spans="1:12" x14ac:dyDescent="0.25">
      <c r="A44" s="221" t="s">
        <v>113</v>
      </c>
      <c r="B44" s="103" t="s">
        <v>955</v>
      </c>
      <c r="C44" s="144">
        <v>4569.5600000000004</v>
      </c>
      <c r="D44" s="144">
        <v>0</v>
      </c>
      <c r="E44" s="135">
        <v>0</v>
      </c>
      <c r="F44" s="144">
        <v>4569.5600000000004</v>
      </c>
      <c r="G44" s="144">
        <v>0</v>
      </c>
      <c r="H44" s="135">
        <v>0</v>
      </c>
      <c r="I44" s="144">
        <v>0</v>
      </c>
      <c r="J44" s="144">
        <v>4569.5600000000004</v>
      </c>
      <c r="K44" s="144">
        <v>0</v>
      </c>
      <c r="L44" s="144">
        <v>0</v>
      </c>
    </row>
    <row r="45" spans="1:12" x14ac:dyDescent="0.25">
      <c r="A45" s="221"/>
      <c r="B45" s="103"/>
      <c r="C45" s="135"/>
      <c r="D45" s="135"/>
      <c r="E45" s="135"/>
      <c r="F45" s="135"/>
      <c r="G45" s="135"/>
      <c r="H45" s="135"/>
      <c r="I45" s="135"/>
      <c r="J45" s="135"/>
      <c r="K45" s="135"/>
      <c r="L45" s="135"/>
    </row>
    <row r="46" spans="1:12" x14ac:dyDescent="0.25">
      <c r="A46" s="221"/>
      <c r="B46" s="103"/>
      <c r="C46" s="135"/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2" x14ac:dyDescent="0.25">
      <c r="A47" s="221"/>
      <c r="B47" s="103"/>
      <c r="C47" s="135"/>
      <c r="D47" s="135"/>
      <c r="E47" s="135"/>
      <c r="F47" s="135"/>
      <c r="G47" s="135"/>
      <c r="H47" s="135"/>
      <c r="I47" s="135"/>
      <c r="J47" s="135"/>
      <c r="K47" s="135"/>
      <c r="L47" s="135"/>
    </row>
    <row r="48" spans="1:12" x14ac:dyDescent="0.25">
      <c r="A48" s="221"/>
      <c r="B48" s="103"/>
      <c r="C48" s="135"/>
      <c r="D48" s="135"/>
      <c r="E48" s="135"/>
      <c r="F48" s="135"/>
      <c r="G48" s="135"/>
      <c r="H48" s="135"/>
      <c r="I48" s="135"/>
      <c r="J48" s="135"/>
      <c r="K48" s="135"/>
      <c r="L48" s="135"/>
    </row>
    <row r="49" spans="1:12" x14ac:dyDescent="0.25">
      <c r="A49" s="221"/>
      <c r="B49" s="103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 x14ac:dyDescent="0.25">
      <c r="A50" s="221"/>
      <c r="B50" s="103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 x14ac:dyDescent="0.25">
      <c r="A51" s="221"/>
      <c r="B51" s="103"/>
      <c r="C51" s="135"/>
      <c r="D51" s="135"/>
      <c r="E51" s="135"/>
      <c r="F51" s="135"/>
      <c r="G51" s="135"/>
      <c r="H51" s="135"/>
      <c r="I51" s="135"/>
      <c r="J51" s="135"/>
      <c r="K51" s="135"/>
      <c r="L51" s="135"/>
    </row>
    <row r="52" spans="1:12" x14ac:dyDescent="0.25">
      <c r="A52" s="221"/>
      <c r="B52" s="103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 x14ac:dyDescent="0.25">
      <c r="A53" s="221"/>
      <c r="B53" s="103"/>
      <c r="C53" s="135"/>
      <c r="D53" s="135"/>
      <c r="E53" s="135"/>
      <c r="F53" s="135"/>
      <c r="G53" s="135"/>
      <c r="H53" s="135"/>
      <c r="I53" s="135"/>
      <c r="J53" s="135"/>
      <c r="K53" s="135"/>
      <c r="L53" s="135"/>
    </row>
    <row r="54" spans="1:12" x14ac:dyDescent="0.25">
      <c r="A54" s="221"/>
      <c r="B54" s="103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  <row r="55" spans="1:12" x14ac:dyDescent="0.25">
      <c r="A55" s="221"/>
      <c r="B55" s="103"/>
      <c r="C55" s="135"/>
      <c r="D55" s="135"/>
      <c r="E55" s="135"/>
      <c r="F55" s="135"/>
      <c r="G55" s="135"/>
      <c r="H55" s="135"/>
      <c r="I55" s="135"/>
      <c r="J55" s="135"/>
      <c r="K55" s="135"/>
      <c r="L55" s="135"/>
    </row>
    <row r="56" spans="1:12" x14ac:dyDescent="0.25">
      <c r="A56" s="221"/>
      <c r="B56" s="103"/>
      <c r="C56" s="135"/>
      <c r="D56" s="135"/>
      <c r="E56" s="135"/>
      <c r="F56" s="135"/>
      <c r="G56" s="135"/>
      <c r="H56" s="135"/>
      <c r="I56" s="135"/>
      <c r="J56" s="135"/>
      <c r="K56" s="135"/>
      <c r="L56" s="135"/>
    </row>
    <row r="57" spans="1:12" x14ac:dyDescent="0.25">
      <c r="A57" s="221"/>
      <c r="B57" s="103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2" x14ac:dyDescent="0.25">
      <c r="A58" s="221"/>
      <c r="B58" s="103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2" x14ac:dyDescent="0.25">
      <c r="A59" s="221"/>
      <c r="B59" s="103"/>
      <c r="C59" s="135"/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12" x14ac:dyDescent="0.25">
      <c r="A60" s="221"/>
      <c r="B60" s="103"/>
      <c r="C60" s="135"/>
      <c r="D60" s="135"/>
      <c r="E60" s="135"/>
      <c r="F60" s="135"/>
      <c r="G60" s="135"/>
      <c r="H60" s="135"/>
      <c r="I60" s="135"/>
      <c r="J60" s="135"/>
      <c r="K60" s="135"/>
      <c r="L60" s="135"/>
    </row>
    <row r="61" spans="1:12" x14ac:dyDescent="0.25">
      <c r="A61" s="221"/>
      <c r="B61" s="103"/>
      <c r="C61" s="135"/>
      <c r="D61" s="135"/>
      <c r="E61" s="135"/>
      <c r="F61" s="135"/>
      <c r="G61" s="135"/>
      <c r="H61" s="135"/>
      <c r="I61" s="135"/>
      <c r="J61" s="135"/>
      <c r="K61" s="135"/>
      <c r="L61" s="135"/>
    </row>
    <row r="62" spans="1:12" x14ac:dyDescent="0.25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 x14ac:dyDescent="0.25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 x14ac:dyDescent="0.25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 x14ac:dyDescent="0.25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 x14ac:dyDescent="0.25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 x14ac:dyDescent="0.25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 x14ac:dyDescent="0.25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 x14ac:dyDescent="0.25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 x14ac:dyDescent="0.25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 x14ac:dyDescent="0.25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 x14ac:dyDescent="0.25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 x14ac:dyDescent="0.25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 x14ac:dyDescent="0.25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 x14ac:dyDescent="0.25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 x14ac:dyDescent="0.25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 x14ac:dyDescent="0.25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 x14ac:dyDescent="0.25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25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25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25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25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25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25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25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25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25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25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25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25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25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25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25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25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25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25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25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25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25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25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25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25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25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25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25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25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25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25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25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25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25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25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25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25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25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25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25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25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25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25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25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68"/>
  <sheetViews>
    <sheetView zoomScaleNormal="100" zoomScaleSheetLayoutView="100" workbookViewId="0"/>
  </sheetViews>
  <sheetFormatPr defaultColWidth="9.140625" defaultRowHeight="15" x14ac:dyDescent="0.25"/>
  <cols>
    <col min="1" max="1" width="16.5703125" style="58" customWidth="1"/>
    <col min="2" max="2" width="46.7109375" style="2" customWidth="1"/>
    <col min="3" max="12" width="15.28515625" style="236" customWidth="1"/>
    <col min="13" max="16384" width="9.140625" style="112"/>
  </cols>
  <sheetData>
    <row r="1" spans="1:12" ht="22.5" x14ac:dyDescent="0.25">
      <c r="A1" s="51" t="s">
        <v>387</v>
      </c>
      <c r="B1" s="11" t="s">
        <v>489</v>
      </c>
      <c r="C1" s="157" t="s">
        <v>688</v>
      </c>
      <c r="D1" s="157" t="s">
        <v>849</v>
      </c>
      <c r="E1" s="157" t="s">
        <v>376</v>
      </c>
      <c r="F1" s="157" t="s">
        <v>653</v>
      </c>
      <c r="G1" s="157" t="s">
        <v>330</v>
      </c>
      <c r="H1" s="157" t="s">
        <v>594</v>
      </c>
      <c r="I1" s="157" t="s">
        <v>617</v>
      </c>
      <c r="J1" s="157" t="s">
        <v>596</v>
      </c>
      <c r="K1" s="157" t="s">
        <v>882</v>
      </c>
      <c r="L1" s="157" t="s">
        <v>174</v>
      </c>
    </row>
    <row r="2" spans="1:12" x14ac:dyDescent="0.25">
      <c r="A2" s="221" t="s">
        <v>920</v>
      </c>
      <c r="B2" s="103" t="s">
        <v>337</v>
      </c>
      <c r="C2" s="144">
        <v>7083.34</v>
      </c>
      <c r="D2" s="144">
        <v>0</v>
      </c>
      <c r="E2" s="135">
        <v>0</v>
      </c>
      <c r="F2" s="135">
        <v>0</v>
      </c>
      <c r="G2" s="135">
        <v>0</v>
      </c>
      <c r="H2" s="135">
        <v>0</v>
      </c>
      <c r="I2" s="135">
        <v>0</v>
      </c>
      <c r="J2" s="135">
        <v>0</v>
      </c>
      <c r="K2" s="144">
        <v>7083.34</v>
      </c>
      <c r="L2" s="144">
        <v>0</v>
      </c>
    </row>
    <row r="3" spans="1:12" x14ac:dyDescent="0.25">
      <c r="A3" s="221" t="s">
        <v>406</v>
      </c>
      <c r="B3" s="103" t="s">
        <v>389</v>
      </c>
      <c r="C3" s="144">
        <v>0</v>
      </c>
      <c r="D3" s="144">
        <v>6068</v>
      </c>
      <c r="E3" s="135">
        <v>0</v>
      </c>
      <c r="F3" s="144">
        <v>1015.34</v>
      </c>
      <c r="G3" s="135">
        <v>0</v>
      </c>
      <c r="H3" s="135">
        <v>0</v>
      </c>
      <c r="I3" s="135">
        <v>0</v>
      </c>
      <c r="J3" s="144">
        <v>1015.34</v>
      </c>
      <c r="K3" s="144">
        <v>0</v>
      </c>
      <c r="L3" s="144">
        <v>7083.34</v>
      </c>
    </row>
    <row r="4" spans="1:12" x14ac:dyDescent="0.25">
      <c r="A4" s="221" t="s">
        <v>935</v>
      </c>
      <c r="B4" s="103" t="s">
        <v>242</v>
      </c>
      <c r="C4" s="144">
        <v>0</v>
      </c>
      <c r="D4" s="144">
        <v>0</v>
      </c>
      <c r="E4" s="135">
        <v>0</v>
      </c>
      <c r="F4" s="135">
        <v>0</v>
      </c>
      <c r="G4" s="144">
        <v>0</v>
      </c>
      <c r="H4" s="135">
        <v>0</v>
      </c>
      <c r="I4" s="144">
        <v>0</v>
      </c>
      <c r="J4" s="135">
        <v>0</v>
      </c>
      <c r="K4" s="144">
        <v>0</v>
      </c>
      <c r="L4" s="144">
        <v>0</v>
      </c>
    </row>
    <row r="5" spans="1:12" x14ac:dyDescent="0.25">
      <c r="A5" s="221" t="s">
        <v>414</v>
      </c>
      <c r="B5" s="103" t="s">
        <v>751</v>
      </c>
      <c r="C5" s="144">
        <v>0</v>
      </c>
      <c r="D5" s="144">
        <v>0</v>
      </c>
      <c r="E5" s="144">
        <v>175</v>
      </c>
      <c r="F5" s="144">
        <v>170.1</v>
      </c>
      <c r="G5" s="135">
        <v>0</v>
      </c>
      <c r="H5" s="135">
        <v>0</v>
      </c>
      <c r="I5" s="144">
        <v>175</v>
      </c>
      <c r="J5" s="144">
        <v>170.1</v>
      </c>
      <c r="K5" s="144">
        <v>4.9000000000000004</v>
      </c>
      <c r="L5" s="144">
        <v>0</v>
      </c>
    </row>
    <row r="6" spans="1:12" x14ac:dyDescent="0.25">
      <c r="A6" s="221" t="s">
        <v>826</v>
      </c>
      <c r="B6" s="103" t="s">
        <v>27</v>
      </c>
      <c r="C6" s="144">
        <v>269.62</v>
      </c>
      <c r="D6" s="144">
        <v>0</v>
      </c>
      <c r="E6" s="144">
        <v>65768.47</v>
      </c>
      <c r="F6" s="144">
        <v>59078.73</v>
      </c>
      <c r="G6" s="144">
        <v>12143.32</v>
      </c>
      <c r="H6" s="144">
        <v>7063.85</v>
      </c>
      <c r="I6" s="144">
        <v>77911.789999999994</v>
      </c>
      <c r="J6" s="144">
        <v>66142.58</v>
      </c>
      <c r="K6" s="144">
        <v>12038.83</v>
      </c>
      <c r="L6" s="144">
        <v>0</v>
      </c>
    </row>
    <row r="7" spans="1:12" x14ac:dyDescent="0.25">
      <c r="A7" s="221" t="s">
        <v>269</v>
      </c>
      <c r="B7" s="103" t="s">
        <v>340</v>
      </c>
      <c r="C7" s="144">
        <v>0</v>
      </c>
      <c r="D7" s="144">
        <v>0</v>
      </c>
      <c r="E7" s="144">
        <v>0</v>
      </c>
      <c r="F7" s="144">
        <v>0</v>
      </c>
      <c r="G7" s="135">
        <v>0</v>
      </c>
      <c r="H7" s="135">
        <v>0</v>
      </c>
      <c r="I7" s="144">
        <v>0</v>
      </c>
      <c r="J7" s="144">
        <v>0</v>
      </c>
      <c r="K7" s="144">
        <v>0</v>
      </c>
      <c r="L7" s="144">
        <v>0</v>
      </c>
    </row>
    <row r="8" spans="1:12" x14ac:dyDescent="0.25">
      <c r="A8" s="221" t="s">
        <v>727</v>
      </c>
      <c r="B8" s="103" t="s">
        <v>467</v>
      </c>
      <c r="C8" s="144">
        <v>0</v>
      </c>
      <c r="D8" s="144">
        <v>0</v>
      </c>
      <c r="E8" s="144">
        <v>175</v>
      </c>
      <c r="F8" s="144">
        <v>175</v>
      </c>
      <c r="G8" s="144">
        <v>0</v>
      </c>
      <c r="H8" s="135">
        <v>0</v>
      </c>
      <c r="I8" s="144">
        <v>175</v>
      </c>
      <c r="J8" s="144">
        <v>175</v>
      </c>
      <c r="K8" s="144">
        <v>0</v>
      </c>
      <c r="L8" s="144">
        <v>0</v>
      </c>
    </row>
    <row r="9" spans="1:12" x14ac:dyDescent="0.25">
      <c r="A9" s="221" t="s">
        <v>584</v>
      </c>
      <c r="B9" s="103" t="s">
        <v>127</v>
      </c>
      <c r="C9" s="144">
        <v>47543.97</v>
      </c>
      <c r="D9" s="144">
        <v>0</v>
      </c>
      <c r="E9" s="144">
        <v>64498.51</v>
      </c>
      <c r="F9" s="144">
        <v>72270.33</v>
      </c>
      <c r="G9" s="144">
        <v>6160.48</v>
      </c>
      <c r="H9" s="144">
        <v>12143.32</v>
      </c>
      <c r="I9" s="144">
        <v>70658.990000000005</v>
      </c>
      <c r="J9" s="144">
        <v>84413.65</v>
      </c>
      <c r="K9" s="144">
        <v>33789.31</v>
      </c>
      <c r="L9" s="144">
        <v>0</v>
      </c>
    </row>
    <row r="10" spans="1:12" x14ac:dyDescent="0.25">
      <c r="A10" s="221" t="s">
        <v>1029</v>
      </c>
      <c r="B10" s="103" t="s">
        <v>323</v>
      </c>
      <c r="C10" s="144">
        <v>0</v>
      </c>
      <c r="D10" s="144">
        <v>0</v>
      </c>
      <c r="E10" s="135">
        <v>0</v>
      </c>
      <c r="F10" s="135">
        <v>0</v>
      </c>
      <c r="G10" s="144">
        <v>0</v>
      </c>
      <c r="H10" s="135">
        <v>0</v>
      </c>
      <c r="I10" s="144">
        <v>0</v>
      </c>
      <c r="J10" s="135">
        <v>0</v>
      </c>
      <c r="K10" s="144">
        <v>0</v>
      </c>
      <c r="L10" s="144">
        <v>0</v>
      </c>
    </row>
    <row r="11" spans="1:12" x14ac:dyDescent="0.25">
      <c r="A11" s="221" t="s">
        <v>947</v>
      </c>
      <c r="B11" s="103" t="s">
        <v>19</v>
      </c>
      <c r="C11" s="144">
        <v>0</v>
      </c>
      <c r="D11" s="144">
        <v>7428.29</v>
      </c>
      <c r="E11" s="144">
        <v>27615.46</v>
      </c>
      <c r="F11" s="144">
        <v>23787.16</v>
      </c>
      <c r="G11" s="144">
        <v>3747.2</v>
      </c>
      <c r="H11" s="144">
        <v>3329.6</v>
      </c>
      <c r="I11" s="144">
        <v>31362.66</v>
      </c>
      <c r="J11" s="144">
        <v>27116.76</v>
      </c>
      <c r="K11" s="144">
        <v>0</v>
      </c>
      <c r="L11" s="144">
        <v>3182.39</v>
      </c>
    </row>
    <row r="12" spans="1:12" x14ac:dyDescent="0.25">
      <c r="A12" s="221" t="s">
        <v>182</v>
      </c>
      <c r="B12" s="103" t="s">
        <v>366</v>
      </c>
      <c r="C12" s="144">
        <v>0</v>
      </c>
      <c r="D12" s="144">
        <v>0</v>
      </c>
      <c r="E12" s="144">
        <v>0</v>
      </c>
      <c r="F12" s="144">
        <v>0</v>
      </c>
      <c r="G12" s="135">
        <v>0</v>
      </c>
      <c r="H12" s="135">
        <v>0</v>
      </c>
      <c r="I12" s="144">
        <v>0</v>
      </c>
      <c r="J12" s="144">
        <v>0</v>
      </c>
      <c r="K12" s="144">
        <v>0</v>
      </c>
      <c r="L12" s="144">
        <v>0</v>
      </c>
    </row>
    <row r="13" spans="1:12" x14ac:dyDescent="0.25">
      <c r="A13" s="221" t="s">
        <v>1092</v>
      </c>
      <c r="B13" s="103" t="s">
        <v>672</v>
      </c>
      <c r="C13" s="144">
        <v>0</v>
      </c>
      <c r="D13" s="144">
        <v>0</v>
      </c>
      <c r="E13" s="135">
        <v>0</v>
      </c>
      <c r="F13" s="135">
        <v>0</v>
      </c>
      <c r="G13" s="144">
        <v>29</v>
      </c>
      <c r="H13" s="135">
        <v>0</v>
      </c>
      <c r="I13" s="144">
        <v>29</v>
      </c>
      <c r="J13" s="135">
        <v>0</v>
      </c>
      <c r="K13" s="144">
        <v>29</v>
      </c>
      <c r="L13" s="144">
        <v>0</v>
      </c>
    </row>
    <row r="14" spans="1:12" x14ac:dyDescent="0.25">
      <c r="A14" s="221" t="s">
        <v>52</v>
      </c>
      <c r="B14" s="103" t="s">
        <v>212</v>
      </c>
      <c r="C14" s="144">
        <v>0</v>
      </c>
      <c r="D14" s="144">
        <v>867.33</v>
      </c>
      <c r="E14" s="144">
        <v>33973.83</v>
      </c>
      <c r="F14" s="144">
        <v>35236.449999999997</v>
      </c>
      <c r="G14" s="144">
        <v>5081.6499999999996</v>
      </c>
      <c r="H14" s="144">
        <v>5081.6499999999996</v>
      </c>
      <c r="I14" s="144">
        <v>39055.480000000003</v>
      </c>
      <c r="J14" s="144">
        <v>40318.1</v>
      </c>
      <c r="K14" s="144">
        <v>0</v>
      </c>
      <c r="L14" s="144">
        <v>2129.9499999999998</v>
      </c>
    </row>
    <row r="15" spans="1:12" x14ac:dyDescent="0.25">
      <c r="A15" s="221" t="s">
        <v>320</v>
      </c>
      <c r="B15" s="103" t="s">
        <v>402</v>
      </c>
      <c r="C15" s="144">
        <v>0</v>
      </c>
      <c r="D15" s="144">
        <v>0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44">
        <v>0</v>
      </c>
      <c r="L15" s="144">
        <v>0</v>
      </c>
    </row>
    <row r="16" spans="1:12" x14ac:dyDescent="0.25">
      <c r="A16" s="221" t="s">
        <v>883</v>
      </c>
      <c r="B16" s="103" t="s">
        <v>740</v>
      </c>
      <c r="C16" s="144">
        <v>0</v>
      </c>
      <c r="D16" s="144">
        <v>397.89</v>
      </c>
      <c r="E16" s="144">
        <v>6354.25</v>
      </c>
      <c r="F16" s="144">
        <v>6977.06</v>
      </c>
      <c r="G16" s="135">
        <v>0</v>
      </c>
      <c r="H16" s="144">
        <v>1020.69</v>
      </c>
      <c r="I16" s="144">
        <v>6354.25</v>
      </c>
      <c r="J16" s="144">
        <v>7997.75</v>
      </c>
      <c r="K16" s="144">
        <v>0</v>
      </c>
      <c r="L16" s="144">
        <v>2041.39</v>
      </c>
    </row>
    <row r="17" spans="1:12" x14ac:dyDescent="0.25">
      <c r="A17" s="221" t="s">
        <v>422</v>
      </c>
      <c r="B17" s="103" t="s">
        <v>13</v>
      </c>
      <c r="C17" s="144">
        <v>0</v>
      </c>
      <c r="D17" s="144">
        <v>161</v>
      </c>
      <c r="E17" s="144">
        <v>2571.15</v>
      </c>
      <c r="F17" s="144">
        <v>2823.15</v>
      </c>
      <c r="G17" s="135">
        <v>0</v>
      </c>
      <c r="H17" s="144">
        <v>413</v>
      </c>
      <c r="I17" s="144">
        <v>2571.15</v>
      </c>
      <c r="J17" s="144">
        <v>3236.15</v>
      </c>
      <c r="K17" s="144">
        <v>0</v>
      </c>
      <c r="L17" s="144">
        <v>826</v>
      </c>
    </row>
    <row r="18" spans="1:12" x14ac:dyDescent="0.25">
      <c r="A18" s="221" t="s">
        <v>11</v>
      </c>
      <c r="B18" s="103" t="s">
        <v>292</v>
      </c>
      <c r="C18" s="135">
        <v>0</v>
      </c>
      <c r="D18" s="135">
        <v>0</v>
      </c>
      <c r="E18" s="135">
        <v>0</v>
      </c>
      <c r="F18" s="135">
        <v>0</v>
      </c>
      <c r="G18" s="135">
        <v>0</v>
      </c>
      <c r="H18" s="144">
        <v>0</v>
      </c>
      <c r="I18" s="135">
        <v>0</v>
      </c>
      <c r="J18" s="144">
        <v>0</v>
      </c>
      <c r="K18" s="144">
        <v>0</v>
      </c>
      <c r="L18" s="144">
        <v>0</v>
      </c>
    </row>
    <row r="19" spans="1:12" x14ac:dyDescent="0.25">
      <c r="A19" s="221" t="s">
        <v>673</v>
      </c>
      <c r="B19" s="103" t="s">
        <v>815</v>
      </c>
      <c r="C19" s="144">
        <v>0</v>
      </c>
      <c r="D19" s="144">
        <v>0</v>
      </c>
      <c r="E19" s="144">
        <v>0</v>
      </c>
      <c r="F19" s="135">
        <v>0</v>
      </c>
      <c r="G19" s="135">
        <v>0</v>
      </c>
      <c r="H19" s="135">
        <v>0</v>
      </c>
      <c r="I19" s="144">
        <v>0</v>
      </c>
      <c r="J19" s="135">
        <v>0</v>
      </c>
      <c r="K19" s="144">
        <v>0</v>
      </c>
      <c r="L19" s="144">
        <v>0</v>
      </c>
    </row>
    <row r="20" spans="1:12" x14ac:dyDescent="0.25">
      <c r="A20" s="246" t="s">
        <v>562</v>
      </c>
      <c r="B20" s="70" t="s">
        <v>1061</v>
      </c>
      <c r="C20" s="176">
        <v>0</v>
      </c>
      <c r="D20" s="176">
        <v>128.57</v>
      </c>
      <c r="E20" s="176">
        <v>2097.83</v>
      </c>
      <c r="F20" s="176">
        <v>2392.31</v>
      </c>
      <c r="G20" s="162">
        <v>0</v>
      </c>
      <c r="H20" s="176">
        <v>423.05</v>
      </c>
      <c r="I20" s="176">
        <v>2097.83</v>
      </c>
      <c r="J20" s="176">
        <v>2815.36</v>
      </c>
      <c r="K20" s="176">
        <v>0</v>
      </c>
      <c r="L20" s="176">
        <v>846.1</v>
      </c>
    </row>
    <row r="21" spans="1:12" x14ac:dyDescent="0.25">
      <c r="A21" s="246" t="s">
        <v>665</v>
      </c>
      <c r="B21" s="70" t="s">
        <v>746</v>
      </c>
      <c r="C21" s="176">
        <v>31.31</v>
      </c>
      <c r="D21" s="176">
        <v>0</v>
      </c>
      <c r="E21" s="176">
        <v>5852.15</v>
      </c>
      <c r="F21" s="176">
        <v>7032.46</v>
      </c>
      <c r="G21" s="176">
        <v>1149</v>
      </c>
      <c r="H21" s="176">
        <v>471.81</v>
      </c>
      <c r="I21" s="176">
        <v>7001.15</v>
      </c>
      <c r="J21" s="176">
        <v>7504.27</v>
      </c>
      <c r="K21" s="176">
        <v>0</v>
      </c>
      <c r="L21" s="176">
        <v>471.81</v>
      </c>
    </row>
    <row r="22" spans="1:12" x14ac:dyDescent="0.25">
      <c r="A22" s="246" t="s">
        <v>754</v>
      </c>
      <c r="B22" s="70" t="s">
        <v>243</v>
      </c>
      <c r="C22" s="176">
        <v>0</v>
      </c>
      <c r="D22" s="176">
        <v>0</v>
      </c>
      <c r="E22" s="176">
        <v>3859.02</v>
      </c>
      <c r="F22" s="176">
        <v>3859.02</v>
      </c>
      <c r="G22" s="176">
        <v>554.94000000000005</v>
      </c>
      <c r="H22" s="176">
        <v>554.94000000000005</v>
      </c>
      <c r="I22" s="176">
        <v>4413.96</v>
      </c>
      <c r="J22" s="176">
        <v>4413.96</v>
      </c>
      <c r="K22" s="176">
        <v>0</v>
      </c>
      <c r="L22" s="176">
        <v>0</v>
      </c>
    </row>
    <row r="23" spans="1:12" x14ac:dyDescent="0.25">
      <c r="A23" s="246" t="s">
        <v>973</v>
      </c>
      <c r="B23" s="70" t="s">
        <v>459</v>
      </c>
      <c r="C23" s="176">
        <v>0</v>
      </c>
      <c r="D23" s="176">
        <v>0</v>
      </c>
      <c r="E23" s="162">
        <v>0</v>
      </c>
      <c r="F23" s="176">
        <v>0</v>
      </c>
      <c r="G23" s="162">
        <v>0</v>
      </c>
      <c r="H23" s="162">
        <v>0</v>
      </c>
      <c r="I23" s="162">
        <v>0</v>
      </c>
      <c r="J23" s="176">
        <v>0</v>
      </c>
      <c r="K23" s="176">
        <v>0</v>
      </c>
      <c r="L23" s="176">
        <v>0</v>
      </c>
    </row>
    <row r="24" spans="1:12" x14ac:dyDescent="0.25">
      <c r="A24" s="246" t="s">
        <v>960</v>
      </c>
      <c r="B24" s="70" t="s">
        <v>1013</v>
      </c>
      <c r="C24" s="176">
        <v>0</v>
      </c>
      <c r="D24" s="176">
        <v>0</v>
      </c>
      <c r="E24" s="176">
        <v>10781.42</v>
      </c>
      <c r="F24" s="176">
        <v>10781.42</v>
      </c>
      <c r="G24" s="176">
        <v>1026.75</v>
      </c>
      <c r="H24" s="176">
        <v>1026.75</v>
      </c>
      <c r="I24" s="176">
        <v>11808.17</v>
      </c>
      <c r="J24" s="176">
        <v>11808.17</v>
      </c>
      <c r="K24" s="176">
        <v>0</v>
      </c>
      <c r="L24" s="176">
        <v>0</v>
      </c>
    </row>
    <row r="25" spans="1:12" x14ac:dyDescent="0.25">
      <c r="A25" s="246" t="s">
        <v>595</v>
      </c>
      <c r="B25" s="70" t="s">
        <v>189</v>
      </c>
      <c r="C25" s="176">
        <v>0</v>
      </c>
      <c r="D25" s="176">
        <v>55.66</v>
      </c>
      <c r="E25" s="176">
        <v>61.66</v>
      </c>
      <c r="F25" s="162">
        <v>0</v>
      </c>
      <c r="G25" s="162">
        <v>0</v>
      </c>
      <c r="H25" s="176">
        <v>64</v>
      </c>
      <c r="I25" s="176">
        <v>61.66</v>
      </c>
      <c r="J25" s="176">
        <v>64</v>
      </c>
      <c r="K25" s="176">
        <v>0</v>
      </c>
      <c r="L25" s="176">
        <v>58</v>
      </c>
    </row>
    <row r="26" spans="1:12" x14ac:dyDescent="0.25">
      <c r="A26" s="246" t="s">
        <v>424</v>
      </c>
      <c r="B26" s="70" t="s">
        <v>227</v>
      </c>
      <c r="C26" s="176">
        <v>0</v>
      </c>
      <c r="D26" s="176">
        <v>8544.0499999999993</v>
      </c>
      <c r="E26" s="162">
        <v>0</v>
      </c>
      <c r="F26" s="176">
        <v>1130</v>
      </c>
      <c r="G26" s="162">
        <v>0</v>
      </c>
      <c r="H26" s="162">
        <v>0</v>
      </c>
      <c r="I26" s="162">
        <v>0</v>
      </c>
      <c r="J26" s="176">
        <v>1130</v>
      </c>
      <c r="K26" s="176">
        <v>0</v>
      </c>
      <c r="L26" s="176">
        <v>9674.0499999999993</v>
      </c>
    </row>
    <row r="27" spans="1:12" x14ac:dyDescent="0.25">
      <c r="A27" s="246" t="s">
        <v>832</v>
      </c>
      <c r="B27" s="70" t="s">
        <v>1078</v>
      </c>
      <c r="C27" s="176">
        <v>11100</v>
      </c>
      <c r="D27" s="176">
        <v>0</v>
      </c>
      <c r="E27" s="162">
        <v>0</v>
      </c>
      <c r="F27" s="162">
        <v>0</v>
      </c>
      <c r="G27" s="162">
        <v>0</v>
      </c>
      <c r="H27" s="162">
        <v>0</v>
      </c>
      <c r="I27" s="162">
        <v>0</v>
      </c>
      <c r="J27" s="162">
        <v>0</v>
      </c>
      <c r="K27" s="176">
        <v>11100</v>
      </c>
      <c r="L27" s="176">
        <v>0</v>
      </c>
    </row>
    <row r="28" spans="1:12" x14ac:dyDescent="0.25">
      <c r="A28" s="246" t="s">
        <v>412</v>
      </c>
      <c r="B28" s="70" t="s">
        <v>950</v>
      </c>
      <c r="C28" s="176">
        <v>0</v>
      </c>
      <c r="D28" s="176">
        <v>0</v>
      </c>
      <c r="E28" s="176">
        <v>561</v>
      </c>
      <c r="F28" s="176">
        <v>544.5</v>
      </c>
      <c r="G28" s="162">
        <v>0</v>
      </c>
      <c r="H28" s="162">
        <v>0</v>
      </c>
      <c r="I28" s="176">
        <v>561</v>
      </c>
      <c r="J28" s="176">
        <v>544.5</v>
      </c>
      <c r="K28" s="176">
        <v>16.5</v>
      </c>
      <c r="L28" s="176">
        <v>0</v>
      </c>
    </row>
    <row r="29" spans="1:12" x14ac:dyDescent="0.25">
      <c r="A29" s="246" t="s">
        <v>795</v>
      </c>
      <c r="B29" s="70" t="s">
        <v>1084</v>
      </c>
      <c r="C29" s="176">
        <v>64.11</v>
      </c>
      <c r="D29" s="176">
        <v>0</v>
      </c>
      <c r="E29" s="162">
        <v>0</v>
      </c>
      <c r="F29" s="162">
        <v>0</v>
      </c>
      <c r="G29" s="162">
        <v>0</v>
      </c>
      <c r="H29" s="162">
        <v>0</v>
      </c>
      <c r="I29" s="162">
        <v>0</v>
      </c>
      <c r="J29" s="162">
        <v>0</v>
      </c>
      <c r="K29" s="176">
        <v>64.11</v>
      </c>
      <c r="L29" s="176">
        <v>0</v>
      </c>
    </row>
    <row r="30" spans="1:12" x14ac:dyDescent="0.25">
      <c r="A30" s="246" t="s">
        <v>778</v>
      </c>
      <c r="B30" s="70" t="s">
        <v>606</v>
      </c>
      <c r="C30" s="176">
        <v>142.01</v>
      </c>
      <c r="D30" s="176">
        <v>0</v>
      </c>
      <c r="E30" s="176">
        <v>196.78</v>
      </c>
      <c r="F30" s="162">
        <v>0</v>
      </c>
      <c r="G30" s="162">
        <v>0</v>
      </c>
      <c r="H30" s="162">
        <v>0</v>
      </c>
      <c r="I30" s="176">
        <v>196.78</v>
      </c>
      <c r="J30" s="162">
        <v>0</v>
      </c>
      <c r="K30" s="176">
        <v>338.79</v>
      </c>
      <c r="L30" s="176">
        <v>0</v>
      </c>
    </row>
    <row r="31" spans="1:12" x14ac:dyDescent="0.25">
      <c r="A31" s="246" t="s">
        <v>671</v>
      </c>
      <c r="B31" s="70" t="s">
        <v>87</v>
      </c>
      <c r="C31" s="176">
        <v>0</v>
      </c>
      <c r="D31" s="176">
        <v>20457.349999999999</v>
      </c>
      <c r="E31" s="162">
        <v>0</v>
      </c>
      <c r="F31" s="162">
        <v>0</v>
      </c>
      <c r="G31" s="162">
        <v>0</v>
      </c>
      <c r="H31" s="162">
        <v>0</v>
      </c>
      <c r="I31" s="162">
        <v>0</v>
      </c>
      <c r="J31" s="162">
        <v>0</v>
      </c>
      <c r="K31" s="176">
        <v>0</v>
      </c>
      <c r="L31" s="176">
        <v>20457.349999999999</v>
      </c>
    </row>
    <row r="32" spans="1:12" x14ac:dyDescent="0.25">
      <c r="A32" s="246" t="s">
        <v>438</v>
      </c>
      <c r="B32" s="70" t="s">
        <v>326</v>
      </c>
      <c r="C32" s="176">
        <v>0</v>
      </c>
      <c r="D32" s="176">
        <v>6638.78</v>
      </c>
      <c r="E32" s="162">
        <v>0</v>
      </c>
      <c r="F32" s="162">
        <v>0</v>
      </c>
      <c r="G32" s="162">
        <v>0</v>
      </c>
      <c r="H32" s="162">
        <v>0</v>
      </c>
      <c r="I32" s="162">
        <v>0</v>
      </c>
      <c r="J32" s="162">
        <v>0</v>
      </c>
      <c r="K32" s="176">
        <v>0</v>
      </c>
      <c r="L32" s="176">
        <v>6638.78</v>
      </c>
    </row>
    <row r="33" spans="1:12" x14ac:dyDescent="0.25">
      <c r="A33" s="246" t="s">
        <v>532</v>
      </c>
      <c r="B33" s="70" t="s">
        <v>347</v>
      </c>
      <c r="C33" s="176">
        <v>0</v>
      </c>
      <c r="D33" s="176">
        <v>663</v>
      </c>
      <c r="E33" s="162">
        <v>0</v>
      </c>
      <c r="F33" s="162">
        <v>0</v>
      </c>
      <c r="G33" s="162">
        <v>0</v>
      </c>
      <c r="H33" s="162">
        <v>0</v>
      </c>
      <c r="I33" s="162">
        <v>0</v>
      </c>
      <c r="J33" s="162">
        <v>0</v>
      </c>
      <c r="K33" s="176">
        <v>0</v>
      </c>
      <c r="L33" s="176">
        <v>663</v>
      </c>
    </row>
    <row r="34" spans="1:12" x14ac:dyDescent="0.25">
      <c r="A34" s="246" t="s">
        <v>571</v>
      </c>
      <c r="B34" s="70" t="s">
        <v>130</v>
      </c>
      <c r="C34" s="176">
        <v>0</v>
      </c>
      <c r="D34" s="176">
        <v>5040.25</v>
      </c>
      <c r="E34" s="162">
        <v>0</v>
      </c>
      <c r="F34" s="162">
        <v>0</v>
      </c>
      <c r="G34" s="162">
        <v>0</v>
      </c>
      <c r="H34" s="162">
        <v>0</v>
      </c>
      <c r="I34" s="162">
        <v>0</v>
      </c>
      <c r="J34" s="162">
        <v>0</v>
      </c>
      <c r="K34" s="176">
        <v>0</v>
      </c>
      <c r="L34" s="176">
        <v>5040.25</v>
      </c>
    </row>
    <row r="35" spans="1:12" x14ac:dyDescent="0.25">
      <c r="A35" s="246" t="s">
        <v>523</v>
      </c>
      <c r="B35" s="70" t="s">
        <v>828</v>
      </c>
      <c r="C35" s="176">
        <v>0</v>
      </c>
      <c r="D35" s="176">
        <v>10939.25</v>
      </c>
      <c r="E35" s="162">
        <v>0</v>
      </c>
      <c r="F35" s="162">
        <v>0</v>
      </c>
      <c r="G35" s="162">
        <v>0</v>
      </c>
      <c r="H35" s="162">
        <v>0</v>
      </c>
      <c r="I35" s="162">
        <v>0</v>
      </c>
      <c r="J35" s="162">
        <v>0</v>
      </c>
      <c r="K35" s="176">
        <v>0</v>
      </c>
      <c r="L35" s="176">
        <v>10939.25</v>
      </c>
    </row>
    <row r="36" spans="1:12" x14ac:dyDescent="0.25">
      <c r="A36" s="246" t="s">
        <v>10</v>
      </c>
      <c r="B36" s="70" t="s">
        <v>1045</v>
      </c>
      <c r="C36" s="176">
        <v>9159.7800000000007</v>
      </c>
      <c r="D36" s="176">
        <v>0</v>
      </c>
      <c r="E36" s="162">
        <v>0</v>
      </c>
      <c r="F36" s="162">
        <v>0</v>
      </c>
      <c r="G36" s="162">
        <v>0</v>
      </c>
      <c r="H36" s="162">
        <v>0</v>
      </c>
      <c r="I36" s="162">
        <v>0</v>
      </c>
      <c r="J36" s="162">
        <v>0</v>
      </c>
      <c r="K36" s="176">
        <v>9159.7800000000007</v>
      </c>
      <c r="L36" s="176">
        <v>0</v>
      </c>
    </row>
    <row r="37" spans="1:12" x14ac:dyDescent="0.25">
      <c r="A37" s="246" t="s">
        <v>134</v>
      </c>
      <c r="B37" s="70" t="s">
        <v>952</v>
      </c>
      <c r="C37" s="176">
        <v>16655.55</v>
      </c>
      <c r="D37" s="176">
        <v>0</v>
      </c>
      <c r="E37" s="162">
        <v>0</v>
      </c>
      <c r="F37" s="162">
        <v>0</v>
      </c>
      <c r="G37" s="162">
        <v>0</v>
      </c>
      <c r="H37" s="162">
        <v>0</v>
      </c>
      <c r="I37" s="162">
        <v>0</v>
      </c>
      <c r="J37" s="162">
        <v>0</v>
      </c>
      <c r="K37" s="176">
        <v>16655.55</v>
      </c>
      <c r="L37" s="176">
        <v>0</v>
      </c>
    </row>
    <row r="38" spans="1:12" x14ac:dyDescent="0.25">
      <c r="A38" s="246" t="s">
        <v>241</v>
      </c>
      <c r="B38" s="70" t="s">
        <v>943</v>
      </c>
      <c r="C38" s="176">
        <v>0</v>
      </c>
      <c r="D38" s="176">
        <v>0</v>
      </c>
      <c r="E38" s="176">
        <v>9078.16</v>
      </c>
      <c r="F38" s="162">
        <v>0</v>
      </c>
      <c r="G38" s="162">
        <v>0</v>
      </c>
      <c r="H38" s="162">
        <v>0</v>
      </c>
      <c r="I38" s="176">
        <v>9078.16</v>
      </c>
      <c r="J38" s="162">
        <v>0</v>
      </c>
      <c r="K38" s="176">
        <v>9078.16</v>
      </c>
      <c r="L38" s="176">
        <v>0</v>
      </c>
    </row>
    <row r="39" spans="1:12" x14ac:dyDescent="0.25">
      <c r="A39" s="246" t="s">
        <v>589</v>
      </c>
      <c r="B39" s="70" t="s">
        <v>490</v>
      </c>
      <c r="C39" s="176">
        <v>9078.16</v>
      </c>
      <c r="D39" s="176">
        <v>0</v>
      </c>
      <c r="E39" s="162">
        <v>0</v>
      </c>
      <c r="F39" s="176">
        <v>9078.16</v>
      </c>
      <c r="G39" s="162">
        <v>0</v>
      </c>
      <c r="H39" s="162">
        <v>0</v>
      </c>
      <c r="I39" s="162">
        <v>0</v>
      </c>
      <c r="J39" s="176">
        <v>9078.16</v>
      </c>
      <c r="K39" s="176">
        <v>0</v>
      </c>
      <c r="L39" s="176">
        <v>0</v>
      </c>
    </row>
    <row r="40" spans="1:12" x14ac:dyDescent="0.25">
      <c r="A40" s="246" t="s">
        <v>42</v>
      </c>
      <c r="B40" s="70" t="s">
        <v>915</v>
      </c>
      <c r="C40" s="176">
        <v>0</v>
      </c>
      <c r="D40" s="176">
        <v>112.95</v>
      </c>
      <c r="E40" s="162">
        <v>0</v>
      </c>
      <c r="F40" s="176">
        <v>120.04</v>
      </c>
      <c r="G40" s="162">
        <v>0</v>
      </c>
      <c r="H40" s="176">
        <v>17.7</v>
      </c>
      <c r="I40" s="162">
        <v>0</v>
      </c>
      <c r="J40" s="176">
        <v>137.74</v>
      </c>
      <c r="K40" s="176">
        <v>0</v>
      </c>
      <c r="L40" s="176">
        <v>250.69</v>
      </c>
    </row>
    <row r="41" spans="1:12" x14ac:dyDescent="0.25">
      <c r="A41" s="246" t="s">
        <v>197</v>
      </c>
      <c r="B41" s="70" t="s">
        <v>599</v>
      </c>
      <c r="C41" s="176">
        <v>0</v>
      </c>
      <c r="D41" s="176">
        <v>33625.480000000003</v>
      </c>
      <c r="E41" s="162">
        <v>0</v>
      </c>
      <c r="F41" s="162">
        <v>0</v>
      </c>
      <c r="G41" s="162">
        <v>0</v>
      </c>
      <c r="H41" s="162">
        <v>0</v>
      </c>
      <c r="I41" s="162">
        <v>0</v>
      </c>
      <c r="J41" s="162">
        <v>0</v>
      </c>
      <c r="K41" s="176">
        <v>0</v>
      </c>
      <c r="L41" s="176">
        <v>33625.480000000003</v>
      </c>
    </row>
    <row r="42" spans="1:12" x14ac:dyDescent="0.25">
      <c r="A42" s="246" t="s">
        <v>246</v>
      </c>
      <c r="B42" s="70" t="s">
        <v>793</v>
      </c>
      <c r="C42" s="176">
        <v>0</v>
      </c>
      <c r="D42" s="176">
        <v>0</v>
      </c>
      <c r="E42" s="176">
        <v>1545.12</v>
      </c>
      <c r="F42" s="162">
        <v>0</v>
      </c>
      <c r="G42" s="162">
        <v>0</v>
      </c>
      <c r="H42" s="162">
        <v>0</v>
      </c>
      <c r="I42" s="176">
        <v>1545.12</v>
      </c>
      <c r="J42" s="162">
        <v>0</v>
      </c>
      <c r="K42" s="176">
        <v>1545.12</v>
      </c>
      <c r="L42" s="176">
        <v>0</v>
      </c>
    </row>
    <row r="43" spans="1:12" x14ac:dyDescent="0.25">
      <c r="A43" s="246" t="s">
        <v>643</v>
      </c>
      <c r="B43" s="70" t="s">
        <v>468</v>
      </c>
      <c r="C43" s="176">
        <v>0</v>
      </c>
      <c r="D43" s="176">
        <v>0</v>
      </c>
      <c r="E43" s="176">
        <v>164</v>
      </c>
      <c r="F43" s="162">
        <v>0</v>
      </c>
      <c r="G43" s="162">
        <v>0</v>
      </c>
      <c r="H43" s="162">
        <v>0</v>
      </c>
      <c r="I43" s="176">
        <v>164</v>
      </c>
      <c r="J43" s="162">
        <v>0</v>
      </c>
      <c r="K43" s="176">
        <v>164</v>
      </c>
      <c r="L43" s="176">
        <v>0</v>
      </c>
    </row>
    <row r="44" spans="1:12" x14ac:dyDescent="0.25">
      <c r="A44" s="246" t="s">
        <v>124</v>
      </c>
      <c r="B44" s="70" t="s">
        <v>192</v>
      </c>
      <c r="C44" s="176">
        <v>0</v>
      </c>
      <c r="D44" s="176">
        <v>0</v>
      </c>
      <c r="E44" s="176">
        <v>430.63</v>
      </c>
      <c r="F44" s="162">
        <v>0</v>
      </c>
      <c r="G44" s="176">
        <v>33.93</v>
      </c>
      <c r="H44" s="162">
        <v>0</v>
      </c>
      <c r="I44" s="176">
        <v>464.56</v>
      </c>
      <c r="J44" s="162">
        <v>0</v>
      </c>
      <c r="K44" s="176">
        <v>464.56</v>
      </c>
      <c r="L44" s="176">
        <v>0</v>
      </c>
    </row>
    <row r="45" spans="1:12" x14ac:dyDescent="0.25">
      <c r="A45" s="246" t="s">
        <v>56</v>
      </c>
      <c r="B45" s="70" t="s">
        <v>667</v>
      </c>
      <c r="C45" s="176">
        <v>0</v>
      </c>
      <c r="D45" s="176">
        <v>0</v>
      </c>
      <c r="E45" s="162">
        <v>0</v>
      </c>
      <c r="F45" s="162">
        <v>0</v>
      </c>
      <c r="G45" s="176">
        <v>25</v>
      </c>
      <c r="H45" s="162">
        <v>0</v>
      </c>
      <c r="I45" s="176">
        <v>25</v>
      </c>
      <c r="J45" s="162">
        <v>0</v>
      </c>
      <c r="K45" s="176">
        <v>25</v>
      </c>
      <c r="L45" s="176">
        <v>0</v>
      </c>
    </row>
    <row r="46" spans="1:12" x14ac:dyDescent="0.25">
      <c r="A46" s="246" t="s">
        <v>1059</v>
      </c>
      <c r="B46" s="70" t="s">
        <v>288</v>
      </c>
      <c r="C46" s="176">
        <v>0</v>
      </c>
      <c r="D46" s="176">
        <v>0</v>
      </c>
      <c r="E46" s="176">
        <v>0</v>
      </c>
      <c r="F46" s="162">
        <v>0</v>
      </c>
      <c r="G46" s="162">
        <v>0</v>
      </c>
      <c r="H46" s="162">
        <v>0</v>
      </c>
      <c r="I46" s="176">
        <v>0</v>
      </c>
      <c r="J46" s="162">
        <v>0</v>
      </c>
      <c r="K46" s="176">
        <v>0</v>
      </c>
      <c r="L46" s="176">
        <v>0</v>
      </c>
    </row>
    <row r="47" spans="1:12" x14ac:dyDescent="0.25">
      <c r="A47" s="246" t="s">
        <v>857</v>
      </c>
      <c r="B47" s="70" t="s">
        <v>256</v>
      </c>
      <c r="C47" s="176">
        <v>0</v>
      </c>
      <c r="D47" s="176">
        <v>0</v>
      </c>
      <c r="E47" s="176">
        <v>682.5</v>
      </c>
      <c r="F47" s="162">
        <v>0</v>
      </c>
      <c r="G47" s="176">
        <v>0</v>
      </c>
      <c r="H47" s="162">
        <v>0</v>
      </c>
      <c r="I47" s="176">
        <v>682.5</v>
      </c>
      <c r="J47" s="162">
        <v>0</v>
      </c>
      <c r="K47" s="176">
        <v>682.5</v>
      </c>
      <c r="L47" s="176">
        <v>0</v>
      </c>
    </row>
    <row r="48" spans="1:12" x14ac:dyDescent="0.25">
      <c r="A48" s="246" t="s">
        <v>734</v>
      </c>
      <c r="B48" s="70" t="s">
        <v>819</v>
      </c>
      <c r="C48" s="176">
        <v>0</v>
      </c>
      <c r="D48" s="176">
        <v>0</v>
      </c>
      <c r="E48" s="176">
        <v>14686.83</v>
      </c>
      <c r="F48" s="162">
        <v>0</v>
      </c>
      <c r="G48" s="176">
        <v>2715.73</v>
      </c>
      <c r="H48" s="162">
        <v>0</v>
      </c>
      <c r="I48" s="176">
        <v>17402.560000000001</v>
      </c>
      <c r="J48" s="162">
        <v>0</v>
      </c>
      <c r="K48" s="176">
        <v>17402.560000000001</v>
      </c>
      <c r="L48" s="176">
        <v>0</v>
      </c>
    </row>
    <row r="49" spans="1:12" x14ac:dyDescent="0.25">
      <c r="A49" s="246" t="s">
        <v>341</v>
      </c>
      <c r="B49" s="70" t="s">
        <v>45</v>
      </c>
      <c r="C49" s="176">
        <v>0</v>
      </c>
      <c r="D49" s="176">
        <v>0</v>
      </c>
      <c r="E49" s="176">
        <v>2100</v>
      </c>
      <c r="F49" s="162">
        <v>0</v>
      </c>
      <c r="G49" s="162">
        <v>0</v>
      </c>
      <c r="H49" s="162">
        <v>0</v>
      </c>
      <c r="I49" s="176">
        <v>2100</v>
      </c>
      <c r="J49" s="162">
        <v>0</v>
      </c>
      <c r="K49" s="176">
        <v>2100</v>
      </c>
      <c r="L49" s="176">
        <v>0</v>
      </c>
    </row>
    <row r="50" spans="1:12" x14ac:dyDescent="0.25">
      <c r="A50" s="246" t="s">
        <v>659</v>
      </c>
      <c r="B50" s="70" t="s">
        <v>918</v>
      </c>
      <c r="C50" s="176">
        <v>0</v>
      </c>
      <c r="D50" s="176">
        <v>0</v>
      </c>
      <c r="E50" s="176">
        <v>20165.45</v>
      </c>
      <c r="F50" s="162">
        <v>0</v>
      </c>
      <c r="G50" s="176">
        <v>2950</v>
      </c>
      <c r="H50" s="162">
        <v>0</v>
      </c>
      <c r="I50" s="176">
        <v>23115.45</v>
      </c>
      <c r="J50" s="162">
        <v>0</v>
      </c>
      <c r="K50" s="176">
        <v>23115.45</v>
      </c>
      <c r="L50" s="176">
        <v>0</v>
      </c>
    </row>
    <row r="51" spans="1:12" x14ac:dyDescent="0.25">
      <c r="A51" s="246" t="s">
        <v>383</v>
      </c>
      <c r="B51" s="70" t="s">
        <v>385</v>
      </c>
      <c r="C51" s="176">
        <v>0</v>
      </c>
      <c r="D51" s="176">
        <v>0</v>
      </c>
      <c r="E51" s="176">
        <v>7098.07</v>
      </c>
      <c r="F51" s="162">
        <v>0</v>
      </c>
      <c r="G51" s="176">
        <v>1038.3900000000001</v>
      </c>
      <c r="H51" s="162">
        <v>0</v>
      </c>
      <c r="I51" s="176">
        <v>8136.46</v>
      </c>
      <c r="J51" s="162">
        <v>0</v>
      </c>
      <c r="K51" s="176">
        <v>8136.46</v>
      </c>
      <c r="L51" s="176">
        <v>0</v>
      </c>
    </row>
    <row r="52" spans="1:12" x14ac:dyDescent="0.25">
      <c r="A52" s="246" t="s">
        <v>268</v>
      </c>
      <c r="B52" s="70" t="s">
        <v>49</v>
      </c>
      <c r="C52" s="176">
        <v>0</v>
      </c>
      <c r="D52" s="176">
        <v>0</v>
      </c>
      <c r="E52" s="176">
        <v>120.04</v>
      </c>
      <c r="F52" s="162">
        <v>0</v>
      </c>
      <c r="G52" s="176">
        <v>17.7</v>
      </c>
      <c r="H52" s="162">
        <v>0</v>
      </c>
      <c r="I52" s="176">
        <v>137.74</v>
      </c>
      <c r="J52" s="162">
        <v>0</v>
      </c>
      <c r="K52" s="176">
        <v>137.74</v>
      </c>
      <c r="L52" s="176">
        <v>0</v>
      </c>
    </row>
    <row r="53" spans="1:12" x14ac:dyDescent="0.25">
      <c r="A53" s="246" t="s">
        <v>465</v>
      </c>
      <c r="B53" s="70" t="s">
        <v>1038</v>
      </c>
      <c r="C53" s="176">
        <v>0</v>
      </c>
      <c r="D53" s="176">
        <v>0</v>
      </c>
      <c r="E53" s="162">
        <v>0</v>
      </c>
      <c r="F53" s="162">
        <v>0</v>
      </c>
      <c r="G53" s="176">
        <v>64</v>
      </c>
      <c r="H53" s="162">
        <v>0</v>
      </c>
      <c r="I53" s="176">
        <v>64</v>
      </c>
      <c r="J53" s="162">
        <v>0</v>
      </c>
      <c r="K53" s="176">
        <v>64</v>
      </c>
      <c r="L53" s="176">
        <v>0</v>
      </c>
    </row>
    <row r="54" spans="1:12" x14ac:dyDescent="0.25">
      <c r="A54" s="246" t="s">
        <v>1068</v>
      </c>
      <c r="B54" s="70" t="s">
        <v>189</v>
      </c>
      <c r="C54" s="176">
        <v>0</v>
      </c>
      <c r="D54" s="176">
        <v>0</v>
      </c>
      <c r="E54" s="176">
        <v>544.5</v>
      </c>
      <c r="F54" s="162">
        <v>0</v>
      </c>
      <c r="G54" s="162">
        <v>0</v>
      </c>
      <c r="H54" s="162">
        <v>0</v>
      </c>
      <c r="I54" s="176">
        <v>544.5</v>
      </c>
      <c r="J54" s="162">
        <v>0</v>
      </c>
      <c r="K54" s="176">
        <v>544.5</v>
      </c>
      <c r="L54" s="176">
        <v>0</v>
      </c>
    </row>
    <row r="55" spans="1:12" x14ac:dyDescent="0.25">
      <c r="A55" s="246" t="s">
        <v>582</v>
      </c>
      <c r="B55" s="70" t="s">
        <v>979</v>
      </c>
      <c r="C55" s="176">
        <v>0</v>
      </c>
      <c r="D55" s="176">
        <v>0</v>
      </c>
      <c r="E55" s="176">
        <v>58.8</v>
      </c>
      <c r="F55" s="162">
        <v>0</v>
      </c>
      <c r="G55" s="162">
        <v>0</v>
      </c>
      <c r="H55" s="162">
        <v>0</v>
      </c>
      <c r="I55" s="176">
        <v>58.8</v>
      </c>
      <c r="J55" s="162">
        <v>0</v>
      </c>
      <c r="K55" s="176">
        <v>58.8</v>
      </c>
      <c r="L55" s="176">
        <v>0</v>
      </c>
    </row>
    <row r="56" spans="1:12" x14ac:dyDescent="0.25">
      <c r="A56" s="246" t="s">
        <v>289</v>
      </c>
      <c r="B56" s="70" t="s">
        <v>353</v>
      </c>
      <c r="C56" s="162">
        <v>0</v>
      </c>
      <c r="D56" s="162">
        <v>0</v>
      </c>
      <c r="E56" s="176">
        <v>8262.82</v>
      </c>
      <c r="F56" s="162">
        <v>0</v>
      </c>
      <c r="G56" s="162">
        <v>0</v>
      </c>
      <c r="H56" s="162">
        <v>0</v>
      </c>
      <c r="I56" s="176">
        <v>8262.82</v>
      </c>
      <c r="J56" s="162">
        <v>0</v>
      </c>
      <c r="K56" s="176">
        <v>8262.82</v>
      </c>
      <c r="L56" s="176">
        <v>0</v>
      </c>
    </row>
    <row r="57" spans="1:12" x14ac:dyDescent="0.25">
      <c r="A57" s="246" t="s">
        <v>351</v>
      </c>
      <c r="B57" s="70" t="s">
        <v>939</v>
      </c>
      <c r="C57" s="176">
        <v>0</v>
      </c>
      <c r="D57" s="176">
        <v>0</v>
      </c>
      <c r="E57" s="176">
        <v>98.39</v>
      </c>
      <c r="F57" s="162">
        <v>0</v>
      </c>
      <c r="G57" s="162">
        <v>0</v>
      </c>
      <c r="H57" s="162">
        <v>0</v>
      </c>
      <c r="I57" s="176">
        <v>98.39</v>
      </c>
      <c r="J57" s="162">
        <v>0</v>
      </c>
      <c r="K57" s="176">
        <v>98.39</v>
      </c>
      <c r="L57" s="176">
        <v>0</v>
      </c>
    </row>
    <row r="58" spans="1:12" x14ac:dyDescent="0.25">
      <c r="A58" s="246" t="s">
        <v>95</v>
      </c>
      <c r="B58" s="70" t="s">
        <v>142</v>
      </c>
      <c r="C58" s="176">
        <v>0</v>
      </c>
      <c r="D58" s="176">
        <v>0</v>
      </c>
      <c r="E58" s="176">
        <v>23.89</v>
      </c>
      <c r="F58" s="162">
        <v>0</v>
      </c>
      <c r="G58" s="162">
        <v>0</v>
      </c>
      <c r="H58" s="162">
        <v>0</v>
      </c>
      <c r="I58" s="176">
        <v>23.89</v>
      </c>
      <c r="J58" s="162">
        <v>0</v>
      </c>
      <c r="K58" s="176">
        <v>23.89</v>
      </c>
      <c r="L58" s="176">
        <v>0</v>
      </c>
    </row>
    <row r="59" spans="1:12" x14ac:dyDescent="0.25">
      <c r="A59" s="246" t="s">
        <v>654</v>
      </c>
      <c r="B59" s="70" t="s">
        <v>567</v>
      </c>
      <c r="C59" s="176">
        <v>0</v>
      </c>
      <c r="D59" s="176">
        <v>0</v>
      </c>
      <c r="E59" s="176">
        <v>1015.34</v>
      </c>
      <c r="F59" s="162">
        <v>0</v>
      </c>
      <c r="G59" s="162">
        <v>0</v>
      </c>
      <c r="H59" s="162">
        <v>0</v>
      </c>
      <c r="I59" s="176">
        <v>1015.34</v>
      </c>
      <c r="J59" s="162">
        <v>0</v>
      </c>
      <c r="K59" s="176">
        <v>1015.34</v>
      </c>
      <c r="L59" s="176">
        <v>0</v>
      </c>
    </row>
    <row r="60" spans="1:12" x14ac:dyDescent="0.25">
      <c r="A60" s="246" t="s">
        <v>217</v>
      </c>
      <c r="B60" s="70" t="s">
        <v>6</v>
      </c>
      <c r="C60" s="176">
        <v>0</v>
      </c>
      <c r="D60" s="176">
        <v>0</v>
      </c>
      <c r="E60" s="176">
        <v>97.94</v>
      </c>
      <c r="F60" s="162">
        <v>0</v>
      </c>
      <c r="G60" s="176">
        <v>7</v>
      </c>
      <c r="H60" s="162">
        <v>0</v>
      </c>
      <c r="I60" s="176">
        <v>104.94</v>
      </c>
      <c r="J60" s="162">
        <v>0</v>
      </c>
      <c r="K60" s="176">
        <v>104.94</v>
      </c>
      <c r="L60" s="176">
        <v>0</v>
      </c>
    </row>
    <row r="61" spans="1:12" x14ac:dyDescent="0.25">
      <c r="A61" s="246" t="s">
        <v>695</v>
      </c>
      <c r="B61" s="70" t="s">
        <v>892</v>
      </c>
      <c r="C61" s="162">
        <v>0</v>
      </c>
      <c r="D61" s="162">
        <v>0</v>
      </c>
      <c r="E61" s="162">
        <v>0</v>
      </c>
      <c r="F61" s="162">
        <v>0</v>
      </c>
      <c r="G61" s="176">
        <v>0</v>
      </c>
      <c r="H61" s="162">
        <v>0</v>
      </c>
      <c r="I61" s="176">
        <v>0</v>
      </c>
      <c r="J61" s="162">
        <v>0</v>
      </c>
      <c r="K61" s="176">
        <v>0</v>
      </c>
      <c r="L61" s="176">
        <v>0</v>
      </c>
    </row>
    <row r="62" spans="1:12" x14ac:dyDescent="0.25">
      <c r="A62" s="246" t="s">
        <v>578</v>
      </c>
      <c r="B62" s="70" t="s">
        <v>597</v>
      </c>
      <c r="C62" s="176">
        <v>0</v>
      </c>
      <c r="D62" s="176">
        <v>0</v>
      </c>
      <c r="E62" s="162">
        <v>0</v>
      </c>
      <c r="F62" s="176">
        <v>1620</v>
      </c>
      <c r="G62" s="162">
        <v>0</v>
      </c>
      <c r="H62" s="162">
        <v>0</v>
      </c>
      <c r="I62" s="162">
        <v>0</v>
      </c>
      <c r="J62" s="176">
        <v>1620</v>
      </c>
      <c r="K62" s="176">
        <v>0</v>
      </c>
      <c r="L62" s="176">
        <v>1620</v>
      </c>
    </row>
    <row r="63" spans="1:12" x14ac:dyDescent="0.25">
      <c r="A63" s="246" t="s">
        <v>1007</v>
      </c>
      <c r="B63" s="70" t="s">
        <v>66</v>
      </c>
      <c r="C63" s="176">
        <v>0</v>
      </c>
      <c r="D63" s="176">
        <v>0</v>
      </c>
      <c r="E63" s="176">
        <v>0</v>
      </c>
      <c r="F63" s="176">
        <v>52112.09</v>
      </c>
      <c r="G63" s="162">
        <v>0</v>
      </c>
      <c r="H63" s="176">
        <v>5133.7299999999996</v>
      </c>
      <c r="I63" s="176">
        <v>0</v>
      </c>
      <c r="J63" s="176">
        <v>57245.82</v>
      </c>
      <c r="K63" s="176">
        <v>0</v>
      </c>
      <c r="L63" s="176">
        <v>57245.82</v>
      </c>
    </row>
    <row r="64" spans="1:12" x14ac:dyDescent="0.25">
      <c r="A64" s="246" t="s">
        <v>1122</v>
      </c>
      <c r="B64" s="70" t="s">
        <v>902</v>
      </c>
      <c r="C64" s="176">
        <v>0</v>
      </c>
      <c r="D64" s="176">
        <v>0</v>
      </c>
      <c r="E64" s="162">
        <v>0</v>
      </c>
      <c r="F64" s="176">
        <v>175</v>
      </c>
      <c r="G64" s="162">
        <v>0</v>
      </c>
      <c r="H64" s="162">
        <v>0</v>
      </c>
      <c r="I64" s="162">
        <v>0</v>
      </c>
      <c r="J64" s="176">
        <v>175</v>
      </c>
      <c r="K64" s="176">
        <v>0</v>
      </c>
      <c r="L64" s="176">
        <v>175</v>
      </c>
    </row>
    <row r="65" spans="1:12" x14ac:dyDescent="0.25">
      <c r="A65" s="246" t="s">
        <v>690</v>
      </c>
      <c r="B65" s="70" t="s">
        <v>566</v>
      </c>
      <c r="C65" s="176">
        <v>0</v>
      </c>
      <c r="D65" s="176">
        <v>0</v>
      </c>
      <c r="E65" s="176">
        <v>0.3</v>
      </c>
      <c r="F65" s="176">
        <v>335.99</v>
      </c>
      <c r="G65" s="162">
        <v>0</v>
      </c>
      <c r="H65" s="162">
        <v>0</v>
      </c>
      <c r="I65" s="176">
        <v>0.3</v>
      </c>
      <c r="J65" s="176">
        <v>335.99</v>
      </c>
      <c r="K65" s="176">
        <v>0</v>
      </c>
      <c r="L65" s="176">
        <v>335.69</v>
      </c>
    </row>
    <row r="66" spans="1:12" x14ac:dyDescent="0.25">
      <c r="A66" s="246" t="s">
        <v>284</v>
      </c>
      <c r="B66" s="70" t="s">
        <v>668</v>
      </c>
      <c r="C66" s="176">
        <v>0</v>
      </c>
      <c r="D66" s="176">
        <v>0</v>
      </c>
      <c r="E66" s="162">
        <v>0</v>
      </c>
      <c r="F66" s="162">
        <v>0</v>
      </c>
      <c r="G66" s="162">
        <v>0</v>
      </c>
      <c r="H66" s="162">
        <v>0</v>
      </c>
      <c r="I66" s="176">
        <v>101127.85</v>
      </c>
      <c r="J66" s="176">
        <v>101127.85</v>
      </c>
      <c r="K66" s="176">
        <v>0</v>
      </c>
      <c r="L66" s="176">
        <v>0</v>
      </c>
    </row>
    <row r="67" spans="1:12" x14ac:dyDescent="0.25">
      <c r="A67" s="246" t="s">
        <v>98</v>
      </c>
      <c r="B67" s="70" t="s">
        <v>955</v>
      </c>
      <c r="C67" s="162">
        <v>0</v>
      </c>
      <c r="D67" s="162">
        <v>0</v>
      </c>
      <c r="E67" s="162">
        <v>0</v>
      </c>
      <c r="F67" s="162">
        <v>0</v>
      </c>
      <c r="G67" s="162">
        <v>0</v>
      </c>
      <c r="H67" s="162">
        <v>0</v>
      </c>
      <c r="I67" s="162">
        <v>0</v>
      </c>
      <c r="J67" s="162">
        <v>0</v>
      </c>
      <c r="K67" s="162">
        <v>0</v>
      </c>
      <c r="L67" s="162">
        <v>0</v>
      </c>
    </row>
    <row r="68" spans="1:12" x14ac:dyDescent="0.25">
      <c r="A68" s="246" t="s">
        <v>704</v>
      </c>
      <c r="B68" s="70" t="s">
        <v>224</v>
      </c>
      <c r="C68" s="162">
        <v>0</v>
      </c>
      <c r="D68" s="162">
        <v>0</v>
      </c>
      <c r="E68" s="162">
        <v>0</v>
      </c>
      <c r="F68" s="162">
        <v>0</v>
      </c>
      <c r="G68" s="162">
        <v>0</v>
      </c>
      <c r="H68" s="162">
        <v>0</v>
      </c>
      <c r="I68" s="162">
        <v>0</v>
      </c>
      <c r="J68" s="162">
        <v>0</v>
      </c>
      <c r="K68" s="162">
        <v>0</v>
      </c>
      <c r="L68" s="162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345</v>
      </c>
      <c r="B1" s="11" t="s">
        <v>1070</v>
      </c>
      <c r="C1" s="157" t="s">
        <v>688</v>
      </c>
      <c r="D1" s="157" t="s">
        <v>849</v>
      </c>
      <c r="E1" s="157" t="s">
        <v>376</v>
      </c>
      <c r="F1" s="157" t="s">
        <v>653</v>
      </c>
      <c r="G1" s="157" t="s">
        <v>330</v>
      </c>
      <c r="H1" s="157" t="s">
        <v>594</v>
      </c>
      <c r="I1" s="157" t="s">
        <v>617</v>
      </c>
      <c r="J1" s="157" t="s">
        <v>596</v>
      </c>
      <c r="K1" s="157" t="s">
        <v>882</v>
      </c>
      <c r="L1" s="157" t="s">
        <v>174</v>
      </c>
    </row>
    <row r="2" spans="1:12" x14ac:dyDescent="0.25">
      <c r="A2" s="221" t="s">
        <v>831</v>
      </c>
      <c r="B2" s="103" t="s">
        <v>810</v>
      </c>
      <c r="C2" s="144">
        <v>7083.34</v>
      </c>
      <c r="D2" s="144">
        <v>0</v>
      </c>
      <c r="E2" s="144">
        <v>0</v>
      </c>
      <c r="F2" s="144">
        <v>0</v>
      </c>
      <c r="G2" s="144">
        <v>0</v>
      </c>
      <c r="H2" s="144">
        <v>0</v>
      </c>
      <c r="I2" s="144">
        <v>0</v>
      </c>
      <c r="J2" s="144">
        <v>0</v>
      </c>
      <c r="K2" s="144">
        <v>7083.34</v>
      </c>
      <c r="L2" s="144">
        <v>0</v>
      </c>
    </row>
    <row r="3" spans="1:12" x14ac:dyDescent="0.25">
      <c r="A3" s="221" t="s">
        <v>1033</v>
      </c>
      <c r="B3" s="103" t="s">
        <v>728</v>
      </c>
      <c r="C3" s="144">
        <v>0</v>
      </c>
      <c r="D3" s="144">
        <v>6068</v>
      </c>
      <c r="E3" s="144">
        <v>0</v>
      </c>
      <c r="F3" s="144">
        <v>1015.34</v>
      </c>
      <c r="G3" s="144">
        <v>0</v>
      </c>
      <c r="H3" s="144">
        <v>0</v>
      </c>
      <c r="I3" s="144">
        <v>0</v>
      </c>
      <c r="J3" s="144">
        <v>1015.34</v>
      </c>
      <c r="K3" s="144">
        <v>0</v>
      </c>
      <c r="L3" s="144">
        <v>7083.34</v>
      </c>
    </row>
    <row r="4" spans="1:12" x14ac:dyDescent="0.25">
      <c r="A4" s="221" t="s">
        <v>136</v>
      </c>
      <c r="B4" s="103" t="s">
        <v>202</v>
      </c>
      <c r="C4" s="144">
        <v>0</v>
      </c>
      <c r="D4" s="144">
        <v>0</v>
      </c>
      <c r="E4" s="144">
        <v>175</v>
      </c>
      <c r="F4" s="144">
        <v>170.1</v>
      </c>
      <c r="G4" s="144">
        <v>0</v>
      </c>
      <c r="H4" s="144">
        <v>0</v>
      </c>
      <c r="I4" s="144">
        <v>175</v>
      </c>
      <c r="J4" s="144">
        <v>170.1</v>
      </c>
      <c r="K4" s="144">
        <v>4.9000000000000004</v>
      </c>
      <c r="L4" s="144">
        <v>0</v>
      </c>
    </row>
    <row r="5" spans="1:12" x14ac:dyDescent="0.25">
      <c r="A5" s="221" t="s">
        <v>577</v>
      </c>
      <c r="B5" s="103" t="s">
        <v>559</v>
      </c>
      <c r="C5" s="144">
        <v>269.62</v>
      </c>
      <c r="D5" s="144">
        <v>0</v>
      </c>
      <c r="E5" s="144">
        <v>65768.47</v>
      </c>
      <c r="F5" s="144">
        <v>59078.73</v>
      </c>
      <c r="G5" s="144">
        <v>12143.32</v>
      </c>
      <c r="H5" s="144">
        <v>7063.85</v>
      </c>
      <c r="I5" s="144">
        <v>77911.789999999994</v>
      </c>
      <c r="J5" s="144">
        <v>66142.58</v>
      </c>
      <c r="K5" s="144">
        <v>12038.83</v>
      </c>
      <c r="L5" s="144">
        <v>0</v>
      </c>
    </row>
    <row r="6" spans="1:12" x14ac:dyDescent="0.25">
      <c r="A6" s="221" t="s">
        <v>505</v>
      </c>
      <c r="B6" s="103" t="s">
        <v>467</v>
      </c>
      <c r="C6" s="144">
        <v>0</v>
      </c>
      <c r="D6" s="144">
        <v>0</v>
      </c>
      <c r="E6" s="144">
        <v>175</v>
      </c>
      <c r="F6" s="144">
        <v>175</v>
      </c>
      <c r="G6" s="144">
        <v>0</v>
      </c>
      <c r="H6" s="144">
        <v>0</v>
      </c>
      <c r="I6" s="144">
        <v>175</v>
      </c>
      <c r="J6" s="144">
        <v>175</v>
      </c>
      <c r="K6" s="144">
        <v>0</v>
      </c>
      <c r="L6" s="144">
        <v>0</v>
      </c>
    </row>
    <row r="7" spans="1:12" x14ac:dyDescent="0.25">
      <c r="A7" s="221" t="s">
        <v>921</v>
      </c>
      <c r="B7" s="103" t="s">
        <v>390</v>
      </c>
      <c r="C7" s="144">
        <v>47543.97</v>
      </c>
      <c r="D7" s="144">
        <v>0</v>
      </c>
      <c r="E7" s="144">
        <v>64498.51</v>
      </c>
      <c r="F7" s="144">
        <v>72270.33</v>
      </c>
      <c r="G7" s="144">
        <v>6160.48</v>
      </c>
      <c r="H7" s="144">
        <v>12143.32</v>
      </c>
      <c r="I7" s="144">
        <v>70658.990000000005</v>
      </c>
      <c r="J7" s="144">
        <v>84413.65</v>
      </c>
      <c r="K7" s="144">
        <v>33789.31</v>
      </c>
      <c r="L7" s="144">
        <v>0</v>
      </c>
    </row>
    <row r="8" spans="1:12" x14ac:dyDescent="0.25">
      <c r="A8" s="221" t="s">
        <v>1126</v>
      </c>
      <c r="B8" s="103" t="s">
        <v>92</v>
      </c>
      <c r="C8" s="144">
        <v>0</v>
      </c>
      <c r="D8" s="144">
        <v>0</v>
      </c>
      <c r="E8" s="144">
        <v>0</v>
      </c>
      <c r="F8" s="144">
        <v>0</v>
      </c>
      <c r="G8" s="144">
        <v>0</v>
      </c>
      <c r="H8" s="144">
        <v>0</v>
      </c>
      <c r="I8" s="144">
        <v>0</v>
      </c>
      <c r="J8" s="144">
        <v>0</v>
      </c>
      <c r="K8" s="144">
        <v>0</v>
      </c>
      <c r="L8" s="144">
        <v>0</v>
      </c>
    </row>
    <row r="9" spans="1:12" x14ac:dyDescent="0.25">
      <c r="A9" s="221" t="s">
        <v>970</v>
      </c>
      <c r="B9" s="103" t="s">
        <v>691</v>
      </c>
      <c r="C9" s="144">
        <v>0</v>
      </c>
      <c r="D9" s="144">
        <v>7428.29</v>
      </c>
      <c r="E9" s="144">
        <v>27615.46</v>
      </c>
      <c r="F9" s="144">
        <v>23787.16</v>
      </c>
      <c r="G9" s="144">
        <v>3747.2</v>
      </c>
      <c r="H9" s="144">
        <v>3329.6</v>
      </c>
      <c r="I9" s="144">
        <v>31362.66</v>
      </c>
      <c r="J9" s="144">
        <v>27116.76</v>
      </c>
      <c r="K9" s="144">
        <v>0</v>
      </c>
      <c r="L9" s="144">
        <v>3182.39</v>
      </c>
    </row>
    <row r="10" spans="1:12" x14ac:dyDescent="0.25">
      <c r="A10" s="221" t="s">
        <v>60</v>
      </c>
      <c r="B10" s="103" t="s">
        <v>221</v>
      </c>
      <c r="C10" s="144">
        <v>0</v>
      </c>
      <c r="D10" s="144">
        <v>0</v>
      </c>
      <c r="E10" s="144">
        <v>0</v>
      </c>
      <c r="F10" s="144">
        <v>0</v>
      </c>
      <c r="G10" s="144">
        <v>0</v>
      </c>
      <c r="H10" s="144">
        <v>0</v>
      </c>
      <c r="I10" s="144">
        <v>0</v>
      </c>
      <c r="J10" s="144">
        <v>0</v>
      </c>
      <c r="K10" s="144">
        <v>0</v>
      </c>
      <c r="L10" s="144">
        <v>0</v>
      </c>
    </row>
    <row r="11" spans="1:12" x14ac:dyDescent="0.25">
      <c r="A11" s="221" t="s">
        <v>157</v>
      </c>
      <c r="B11" s="103" t="s">
        <v>672</v>
      </c>
      <c r="C11" s="144">
        <v>0</v>
      </c>
      <c r="D11" s="144">
        <v>0</v>
      </c>
      <c r="E11" s="144">
        <v>0</v>
      </c>
      <c r="F11" s="144">
        <v>0</v>
      </c>
      <c r="G11" s="144">
        <v>29</v>
      </c>
      <c r="H11" s="144">
        <v>0</v>
      </c>
      <c r="I11" s="144">
        <v>29</v>
      </c>
      <c r="J11" s="144">
        <v>0</v>
      </c>
      <c r="K11" s="144">
        <v>29</v>
      </c>
      <c r="L11" s="144">
        <v>0</v>
      </c>
    </row>
    <row r="12" spans="1:12" x14ac:dyDescent="0.25">
      <c r="A12" s="221" t="s">
        <v>1085</v>
      </c>
      <c r="B12" s="103" t="s">
        <v>212</v>
      </c>
      <c r="C12" s="144">
        <v>0</v>
      </c>
      <c r="D12" s="144">
        <v>867.33</v>
      </c>
      <c r="E12" s="144">
        <v>33973.83</v>
      </c>
      <c r="F12" s="144">
        <v>35236.449999999997</v>
      </c>
      <c r="G12" s="144">
        <v>5081.6499999999996</v>
      </c>
      <c r="H12" s="144">
        <v>5081.6499999999996</v>
      </c>
      <c r="I12" s="144">
        <v>39055.480000000003</v>
      </c>
      <c r="J12" s="144">
        <v>40318.1</v>
      </c>
      <c r="K12" s="144">
        <v>0</v>
      </c>
      <c r="L12" s="144">
        <v>2129.9499999999998</v>
      </c>
    </row>
    <row r="13" spans="1:12" x14ac:dyDescent="0.25">
      <c r="A13" s="221" t="s">
        <v>998</v>
      </c>
      <c r="B13" s="103" t="s">
        <v>402</v>
      </c>
      <c r="C13" s="144">
        <v>0</v>
      </c>
      <c r="D13" s="144">
        <v>0</v>
      </c>
      <c r="E13" s="144">
        <v>0</v>
      </c>
      <c r="F13" s="144">
        <v>0</v>
      </c>
      <c r="G13" s="144">
        <v>0</v>
      </c>
      <c r="H13" s="144">
        <v>0</v>
      </c>
      <c r="I13" s="144">
        <v>0</v>
      </c>
      <c r="J13" s="144">
        <v>0</v>
      </c>
      <c r="K13" s="144">
        <v>0</v>
      </c>
      <c r="L13" s="144">
        <v>0</v>
      </c>
    </row>
    <row r="14" spans="1:12" x14ac:dyDescent="0.25">
      <c r="A14" s="221" t="s">
        <v>513</v>
      </c>
      <c r="B14" s="103" t="s">
        <v>863</v>
      </c>
      <c r="C14" s="144">
        <v>0</v>
      </c>
      <c r="D14" s="144">
        <v>558.89</v>
      </c>
      <c r="E14" s="144">
        <v>8925.4</v>
      </c>
      <c r="F14" s="144">
        <v>9800.2099999999991</v>
      </c>
      <c r="G14" s="144">
        <v>0</v>
      </c>
      <c r="H14" s="144">
        <v>1433.69</v>
      </c>
      <c r="I14" s="144">
        <v>8925.4</v>
      </c>
      <c r="J14" s="144">
        <v>11233.9</v>
      </c>
      <c r="K14" s="144">
        <v>0</v>
      </c>
      <c r="L14" s="144">
        <v>2867.39</v>
      </c>
    </row>
    <row r="15" spans="1:12" x14ac:dyDescent="0.25">
      <c r="A15" s="221" t="s">
        <v>930</v>
      </c>
      <c r="B15" s="103" t="s">
        <v>292</v>
      </c>
      <c r="C15" s="135">
        <v>0</v>
      </c>
      <c r="D15" s="135">
        <v>0</v>
      </c>
      <c r="E15" s="135">
        <v>0</v>
      </c>
      <c r="F15" s="135">
        <v>0</v>
      </c>
      <c r="G15" s="135">
        <v>0</v>
      </c>
      <c r="H15" s="144">
        <v>0</v>
      </c>
      <c r="I15" s="135">
        <v>0</v>
      </c>
      <c r="J15" s="144">
        <v>0</v>
      </c>
      <c r="K15" s="144">
        <v>0</v>
      </c>
      <c r="L15" s="144">
        <v>0</v>
      </c>
    </row>
    <row r="16" spans="1:12" x14ac:dyDescent="0.25">
      <c r="A16" s="221" t="s">
        <v>840</v>
      </c>
      <c r="B16" s="103" t="s">
        <v>815</v>
      </c>
      <c r="C16" s="144">
        <v>0</v>
      </c>
      <c r="D16" s="144">
        <v>128.57</v>
      </c>
      <c r="E16" s="144">
        <v>2097.83</v>
      </c>
      <c r="F16" s="144">
        <v>2392.31</v>
      </c>
      <c r="G16" s="144">
        <v>0</v>
      </c>
      <c r="H16" s="144">
        <v>423.05</v>
      </c>
      <c r="I16" s="144">
        <v>2097.83</v>
      </c>
      <c r="J16" s="144">
        <v>2815.36</v>
      </c>
      <c r="K16" s="144">
        <v>0</v>
      </c>
      <c r="L16" s="144">
        <v>846.1</v>
      </c>
    </row>
    <row r="17" spans="1:12" x14ac:dyDescent="0.25">
      <c r="A17" s="221" t="s">
        <v>259</v>
      </c>
      <c r="B17" s="103" t="s">
        <v>969</v>
      </c>
      <c r="C17" s="144">
        <v>31.31</v>
      </c>
      <c r="D17" s="144">
        <v>0</v>
      </c>
      <c r="E17" s="144">
        <v>20492.59</v>
      </c>
      <c r="F17" s="144">
        <v>21672.9</v>
      </c>
      <c r="G17" s="144">
        <v>2730.69</v>
      </c>
      <c r="H17" s="144">
        <v>2053.5</v>
      </c>
      <c r="I17" s="144">
        <v>23223.279999999999</v>
      </c>
      <c r="J17" s="144">
        <v>23726.400000000001</v>
      </c>
      <c r="K17" s="144">
        <v>0</v>
      </c>
      <c r="L17" s="144">
        <v>471.81</v>
      </c>
    </row>
    <row r="18" spans="1:12" x14ac:dyDescent="0.25">
      <c r="A18" s="221" t="s">
        <v>619</v>
      </c>
      <c r="B18" s="103" t="s">
        <v>189</v>
      </c>
      <c r="C18" s="144">
        <v>0</v>
      </c>
      <c r="D18" s="144">
        <v>55.66</v>
      </c>
      <c r="E18" s="144">
        <v>61.66</v>
      </c>
      <c r="F18" s="144">
        <v>0</v>
      </c>
      <c r="G18" s="144">
        <v>0</v>
      </c>
      <c r="H18" s="144">
        <v>64</v>
      </c>
      <c r="I18" s="144">
        <v>61.66</v>
      </c>
      <c r="J18" s="144">
        <v>64</v>
      </c>
      <c r="K18" s="144">
        <v>0</v>
      </c>
      <c r="L18" s="144">
        <v>58</v>
      </c>
    </row>
    <row r="19" spans="1:12" x14ac:dyDescent="0.25">
      <c r="A19" s="221" t="s">
        <v>190</v>
      </c>
      <c r="B19" s="103" t="s">
        <v>227</v>
      </c>
      <c r="C19" s="144">
        <v>0</v>
      </c>
      <c r="D19" s="144">
        <v>8544.0499999999993</v>
      </c>
      <c r="E19" s="144">
        <v>0</v>
      </c>
      <c r="F19" s="144">
        <v>1130</v>
      </c>
      <c r="G19" s="144">
        <v>0</v>
      </c>
      <c r="H19" s="144">
        <v>0</v>
      </c>
      <c r="I19" s="144">
        <v>0</v>
      </c>
      <c r="J19" s="144">
        <v>1130</v>
      </c>
      <c r="K19" s="144">
        <v>0</v>
      </c>
      <c r="L19" s="144">
        <v>9674.0499999999993</v>
      </c>
    </row>
    <row r="20" spans="1:12" x14ac:dyDescent="0.25">
      <c r="A20" s="221" t="s">
        <v>315</v>
      </c>
      <c r="B20" s="103" t="s">
        <v>1078</v>
      </c>
      <c r="C20" s="144">
        <v>11100</v>
      </c>
      <c r="D20" s="144">
        <v>0</v>
      </c>
      <c r="E20" s="144">
        <v>0</v>
      </c>
      <c r="F20" s="144">
        <v>0</v>
      </c>
      <c r="G20" s="144">
        <v>0</v>
      </c>
      <c r="H20" s="144">
        <v>0</v>
      </c>
      <c r="I20" s="144">
        <v>0</v>
      </c>
      <c r="J20" s="144">
        <v>0</v>
      </c>
      <c r="K20" s="144">
        <v>11100</v>
      </c>
      <c r="L20" s="144">
        <v>0</v>
      </c>
    </row>
    <row r="21" spans="1:12" x14ac:dyDescent="0.25">
      <c r="A21" s="221" t="s">
        <v>128</v>
      </c>
      <c r="B21" s="103" t="s">
        <v>781</v>
      </c>
      <c r="C21" s="144">
        <v>0</v>
      </c>
      <c r="D21" s="144">
        <v>0</v>
      </c>
      <c r="E21" s="144">
        <v>561</v>
      </c>
      <c r="F21" s="144">
        <v>544.5</v>
      </c>
      <c r="G21" s="144">
        <v>0</v>
      </c>
      <c r="H21" s="144">
        <v>0</v>
      </c>
      <c r="I21" s="144">
        <v>561</v>
      </c>
      <c r="J21" s="144">
        <v>544.5</v>
      </c>
      <c r="K21" s="144">
        <v>16.5</v>
      </c>
      <c r="L21" s="144">
        <v>0</v>
      </c>
    </row>
    <row r="22" spans="1:12" x14ac:dyDescent="0.25">
      <c r="A22" s="221" t="s">
        <v>150</v>
      </c>
      <c r="B22" s="103" t="s">
        <v>1084</v>
      </c>
      <c r="C22" s="144">
        <v>206.12</v>
      </c>
      <c r="D22" s="144">
        <v>0</v>
      </c>
      <c r="E22" s="144">
        <v>196.78</v>
      </c>
      <c r="F22" s="144">
        <v>0</v>
      </c>
      <c r="G22" s="144">
        <v>0</v>
      </c>
      <c r="H22" s="144">
        <v>0</v>
      </c>
      <c r="I22" s="144">
        <v>196.78</v>
      </c>
      <c r="J22" s="144">
        <v>0</v>
      </c>
      <c r="K22" s="144">
        <v>402.9</v>
      </c>
      <c r="L22" s="144">
        <v>0</v>
      </c>
    </row>
    <row r="23" spans="1:12" x14ac:dyDescent="0.25">
      <c r="A23" s="221" t="s">
        <v>1100</v>
      </c>
      <c r="B23" s="103" t="s">
        <v>87</v>
      </c>
      <c r="C23" s="144">
        <v>0</v>
      </c>
      <c r="D23" s="144">
        <v>20457.349999999999</v>
      </c>
      <c r="E23" s="144">
        <v>0</v>
      </c>
      <c r="F23" s="144">
        <v>0</v>
      </c>
      <c r="G23" s="144">
        <v>0</v>
      </c>
      <c r="H23" s="144">
        <v>0</v>
      </c>
      <c r="I23" s="144">
        <v>0</v>
      </c>
      <c r="J23" s="144">
        <v>0</v>
      </c>
      <c r="K23" s="144">
        <v>0</v>
      </c>
      <c r="L23" s="144">
        <v>20457.349999999999</v>
      </c>
    </row>
    <row r="24" spans="1:12" x14ac:dyDescent="0.25">
      <c r="A24" s="221" t="s">
        <v>1023</v>
      </c>
      <c r="B24" s="103" t="s">
        <v>326</v>
      </c>
      <c r="C24" s="144">
        <v>0</v>
      </c>
      <c r="D24" s="144">
        <v>6638.78</v>
      </c>
      <c r="E24" s="144">
        <v>0</v>
      </c>
      <c r="F24" s="144">
        <v>0</v>
      </c>
      <c r="G24" s="144">
        <v>0</v>
      </c>
      <c r="H24" s="144">
        <v>0</v>
      </c>
      <c r="I24" s="144">
        <v>0</v>
      </c>
      <c r="J24" s="144">
        <v>0</v>
      </c>
      <c r="K24" s="144">
        <v>0</v>
      </c>
      <c r="L24" s="144">
        <v>6638.78</v>
      </c>
    </row>
    <row r="25" spans="1:12" x14ac:dyDescent="0.25">
      <c r="A25" s="221" t="s">
        <v>81</v>
      </c>
      <c r="B25" s="103" t="s">
        <v>347</v>
      </c>
      <c r="C25" s="144">
        <v>0</v>
      </c>
      <c r="D25" s="144">
        <v>663</v>
      </c>
      <c r="E25" s="144">
        <v>0</v>
      </c>
      <c r="F25" s="144">
        <v>0</v>
      </c>
      <c r="G25" s="144">
        <v>0</v>
      </c>
      <c r="H25" s="144">
        <v>0</v>
      </c>
      <c r="I25" s="144">
        <v>0</v>
      </c>
      <c r="J25" s="144">
        <v>0</v>
      </c>
      <c r="K25" s="144">
        <v>0</v>
      </c>
      <c r="L25" s="144">
        <v>663</v>
      </c>
    </row>
    <row r="26" spans="1:12" x14ac:dyDescent="0.25">
      <c r="A26" s="221" t="s">
        <v>741</v>
      </c>
      <c r="B26" s="103" t="s">
        <v>624</v>
      </c>
      <c r="C26" s="144">
        <v>0</v>
      </c>
      <c r="D26" s="144">
        <v>15979.5</v>
      </c>
      <c r="E26" s="144">
        <v>0</v>
      </c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4">
        <v>0</v>
      </c>
      <c r="L26" s="144">
        <v>15979.5</v>
      </c>
    </row>
    <row r="27" spans="1:12" x14ac:dyDescent="0.25">
      <c r="A27" s="221" t="s">
        <v>1073</v>
      </c>
      <c r="B27" s="103" t="s">
        <v>85</v>
      </c>
      <c r="C27" s="144">
        <v>25815.33</v>
      </c>
      <c r="D27" s="144">
        <v>0</v>
      </c>
      <c r="E27" s="144">
        <v>9078.16</v>
      </c>
      <c r="F27" s="144">
        <v>0</v>
      </c>
      <c r="G27" s="144">
        <v>0</v>
      </c>
      <c r="H27" s="144">
        <v>0</v>
      </c>
      <c r="I27" s="144">
        <v>9078.16</v>
      </c>
      <c r="J27" s="144">
        <v>0</v>
      </c>
      <c r="K27" s="144">
        <v>34893.49</v>
      </c>
      <c r="L27" s="144">
        <v>0</v>
      </c>
    </row>
    <row r="28" spans="1:12" x14ac:dyDescent="0.25">
      <c r="A28" s="221" t="s">
        <v>908</v>
      </c>
      <c r="B28" s="103" t="s">
        <v>490</v>
      </c>
      <c r="C28" s="144">
        <v>9078.16</v>
      </c>
      <c r="D28" s="144">
        <v>0</v>
      </c>
      <c r="E28" s="144">
        <v>0</v>
      </c>
      <c r="F28" s="144">
        <v>9078.16</v>
      </c>
      <c r="G28" s="144">
        <v>0</v>
      </c>
      <c r="H28" s="144">
        <v>0</v>
      </c>
      <c r="I28" s="144">
        <v>0</v>
      </c>
      <c r="J28" s="144">
        <v>9078.16</v>
      </c>
      <c r="K28" s="144">
        <v>0</v>
      </c>
      <c r="L28" s="144">
        <v>0</v>
      </c>
    </row>
    <row r="29" spans="1:12" x14ac:dyDescent="0.25">
      <c r="A29" s="221" t="s">
        <v>625</v>
      </c>
      <c r="B29" s="103" t="s">
        <v>915</v>
      </c>
      <c r="C29" s="144">
        <v>0</v>
      </c>
      <c r="D29" s="144">
        <v>112.95</v>
      </c>
      <c r="E29" s="144">
        <v>0</v>
      </c>
      <c r="F29" s="144">
        <v>120.04</v>
      </c>
      <c r="G29" s="144">
        <v>0</v>
      </c>
      <c r="H29" s="144">
        <v>17.7</v>
      </c>
      <c r="I29" s="144">
        <v>0</v>
      </c>
      <c r="J29" s="144">
        <v>137.74</v>
      </c>
      <c r="K29" s="144">
        <v>0</v>
      </c>
      <c r="L29" s="144">
        <v>250.69</v>
      </c>
    </row>
    <row r="30" spans="1:12" x14ac:dyDescent="0.25">
      <c r="A30" s="221" t="s">
        <v>1048</v>
      </c>
      <c r="B30" s="103" t="s">
        <v>599</v>
      </c>
      <c r="C30" s="144">
        <v>0</v>
      </c>
      <c r="D30" s="144">
        <v>33625.480000000003</v>
      </c>
      <c r="E30" s="144">
        <v>0</v>
      </c>
      <c r="F30" s="144">
        <v>0</v>
      </c>
      <c r="G30" s="144">
        <v>0</v>
      </c>
      <c r="H30" s="144">
        <v>0</v>
      </c>
      <c r="I30" s="144">
        <v>0</v>
      </c>
      <c r="J30" s="144">
        <v>0</v>
      </c>
      <c r="K30" s="144">
        <v>0</v>
      </c>
      <c r="L30" s="144">
        <v>33625.480000000003</v>
      </c>
    </row>
    <row r="31" spans="1:12" x14ac:dyDescent="0.25">
      <c r="A31" s="221" t="s">
        <v>78</v>
      </c>
      <c r="B31" s="103" t="s">
        <v>758</v>
      </c>
      <c r="C31" s="144">
        <v>0</v>
      </c>
      <c r="D31" s="144">
        <v>0</v>
      </c>
      <c r="E31" s="144">
        <v>1545.12</v>
      </c>
      <c r="F31" s="144">
        <v>0</v>
      </c>
      <c r="G31" s="144">
        <v>0</v>
      </c>
      <c r="H31" s="144">
        <v>0</v>
      </c>
      <c r="I31" s="144">
        <v>1545.12</v>
      </c>
      <c r="J31" s="144">
        <v>0</v>
      </c>
      <c r="K31" s="144">
        <v>1545.12</v>
      </c>
      <c r="L31" s="144">
        <v>0</v>
      </c>
    </row>
    <row r="32" spans="1:12" x14ac:dyDescent="0.25">
      <c r="A32" s="221" t="s">
        <v>1058</v>
      </c>
      <c r="B32" s="103" t="s">
        <v>468</v>
      </c>
      <c r="C32" s="144">
        <v>0</v>
      </c>
      <c r="D32" s="144">
        <v>0</v>
      </c>
      <c r="E32" s="144">
        <v>164</v>
      </c>
      <c r="F32" s="144">
        <v>0</v>
      </c>
      <c r="G32" s="144">
        <v>0</v>
      </c>
      <c r="H32" s="144">
        <v>0</v>
      </c>
      <c r="I32" s="144">
        <v>164</v>
      </c>
      <c r="J32" s="144">
        <v>0</v>
      </c>
      <c r="K32" s="144">
        <v>164</v>
      </c>
      <c r="L32" s="144">
        <v>0</v>
      </c>
    </row>
    <row r="33" spans="1:12" x14ac:dyDescent="0.25">
      <c r="A33" s="221" t="s">
        <v>359</v>
      </c>
      <c r="B33" s="103" t="s">
        <v>539</v>
      </c>
      <c r="C33" s="144">
        <v>0</v>
      </c>
      <c r="D33" s="144">
        <v>0</v>
      </c>
      <c r="E33" s="144">
        <v>17899.96</v>
      </c>
      <c r="F33" s="144">
        <v>0</v>
      </c>
      <c r="G33" s="144">
        <v>2774.66</v>
      </c>
      <c r="H33" s="144">
        <v>0</v>
      </c>
      <c r="I33" s="144">
        <v>20674.62</v>
      </c>
      <c r="J33" s="144">
        <v>0</v>
      </c>
      <c r="K33" s="144">
        <v>20674.62</v>
      </c>
      <c r="L33" s="144">
        <v>0</v>
      </c>
    </row>
    <row r="34" spans="1:12" x14ac:dyDescent="0.25">
      <c r="A34" s="221" t="s">
        <v>148</v>
      </c>
      <c r="B34" s="103" t="s">
        <v>399</v>
      </c>
      <c r="C34" s="144">
        <v>0</v>
      </c>
      <c r="D34" s="144">
        <v>0</v>
      </c>
      <c r="E34" s="144">
        <v>20165.45</v>
      </c>
      <c r="F34" s="144">
        <v>0</v>
      </c>
      <c r="G34" s="144">
        <v>2950</v>
      </c>
      <c r="H34" s="144">
        <v>0</v>
      </c>
      <c r="I34" s="144">
        <v>23115.45</v>
      </c>
      <c r="J34" s="144">
        <v>0</v>
      </c>
      <c r="K34" s="144">
        <v>23115.45</v>
      </c>
      <c r="L34" s="144">
        <v>0</v>
      </c>
    </row>
    <row r="35" spans="1:12" x14ac:dyDescent="0.25">
      <c r="A35" s="221" t="s">
        <v>903</v>
      </c>
      <c r="B35" s="103" t="s">
        <v>686</v>
      </c>
      <c r="C35" s="144">
        <v>0</v>
      </c>
      <c r="D35" s="144">
        <v>0</v>
      </c>
      <c r="E35" s="144">
        <v>7098.07</v>
      </c>
      <c r="F35" s="144">
        <v>0</v>
      </c>
      <c r="G35" s="144">
        <v>1038.3900000000001</v>
      </c>
      <c r="H35" s="144">
        <v>0</v>
      </c>
      <c r="I35" s="144">
        <v>8136.46</v>
      </c>
      <c r="J35" s="144">
        <v>0</v>
      </c>
      <c r="K35" s="144">
        <v>8136.46</v>
      </c>
      <c r="L35" s="144">
        <v>0</v>
      </c>
    </row>
    <row r="36" spans="1:12" x14ac:dyDescent="0.25">
      <c r="A36" s="221" t="s">
        <v>724</v>
      </c>
      <c r="B36" s="103" t="s">
        <v>49</v>
      </c>
      <c r="C36" s="144">
        <v>0</v>
      </c>
      <c r="D36" s="144">
        <v>0</v>
      </c>
      <c r="E36" s="144">
        <v>120.04</v>
      </c>
      <c r="F36" s="144">
        <v>0</v>
      </c>
      <c r="G36" s="144">
        <v>17.7</v>
      </c>
      <c r="H36" s="144">
        <v>0</v>
      </c>
      <c r="I36" s="144">
        <v>137.74</v>
      </c>
      <c r="J36" s="144">
        <v>0</v>
      </c>
      <c r="K36" s="144">
        <v>137.74</v>
      </c>
      <c r="L36" s="144">
        <v>0</v>
      </c>
    </row>
    <row r="37" spans="1:12" x14ac:dyDescent="0.25">
      <c r="A37" s="221" t="s">
        <v>293</v>
      </c>
      <c r="B37" s="103" t="s">
        <v>1038</v>
      </c>
      <c r="C37" s="144">
        <v>0</v>
      </c>
      <c r="D37" s="144">
        <v>0</v>
      </c>
      <c r="E37" s="144">
        <v>0</v>
      </c>
      <c r="F37" s="144">
        <v>0</v>
      </c>
      <c r="G37" s="144">
        <v>64</v>
      </c>
      <c r="H37" s="144">
        <v>0</v>
      </c>
      <c r="I37" s="144">
        <v>64</v>
      </c>
      <c r="J37" s="144">
        <v>0</v>
      </c>
      <c r="K37" s="144">
        <v>64</v>
      </c>
      <c r="L37" s="144">
        <v>0</v>
      </c>
    </row>
    <row r="38" spans="1:12" x14ac:dyDescent="0.25">
      <c r="A38" s="221" t="s">
        <v>813</v>
      </c>
      <c r="B38" s="103" t="s">
        <v>189</v>
      </c>
      <c r="C38" s="144">
        <v>0</v>
      </c>
      <c r="D38" s="144">
        <v>0</v>
      </c>
      <c r="E38" s="144">
        <v>544.5</v>
      </c>
      <c r="F38" s="144">
        <v>0</v>
      </c>
      <c r="G38" s="144">
        <v>0</v>
      </c>
      <c r="H38" s="144">
        <v>0</v>
      </c>
      <c r="I38" s="144">
        <v>544.5</v>
      </c>
      <c r="J38" s="144">
        <v>0</v>
      </c>
      <c r="K38" s="144">
        <v>544.5</v>
      </c>
      <c r="L38" s="144">
        <v>0</v>
      </c>
    </row>
    <row r="39" spans="1:12" x14ac:dyDescent="0.25">
      <c r="A39" s="221" t="s">
        <v>272</v>
      </c>
      <c r="B39" s="103" t="s">
        <v>1081</v>
      </c>
      <c r="C39" s="144">
        <v>0</v>
      </c>
      <c r="D39" s="144">
        <v>0</v>
      </c>
      <c r="E39" s="144">
        <v>58.8</v>
      </c>
      <c r="F39" s="144">
        <v>0</v>
      </c>
      <c r="G39" s="144">
        <v>0</v>
      </c>
      <c r="H39" s="144">
        <v>0</v>
      </c>
      <c r="I39" s="144">
        <v>58.8</v>
      </c>
      <c r="J39" s="144">
        <v>0</v>
      </c>
      <c r="K39" s="144">
        <v>58.8</v>
      </c>
      <c r="L39" s="144">
        <v>0</v>
      </c>
    </row>
    <row r="40" spans="1:12" x14ac:dyDescent="0.25">
      <c r="A40" s="221" t="s">
        <v>30</v>
      </c>
      <c r="B40" s="103" t="s">
        <v>353</v>
      </c>
      <c r="C40" s="135">
        <v>0</v>
      </c>
      <c r="D40" s="135">
        <v>0</v>
      </c>
      <c r="E40" s="144">
        <v>8262.82</v>
      </c>
      <c r="F40" s="135">
        <v>0</v>
      </c>
      <c r="G40" s="135">
        <v>0</v>
      </c>
      <c r="H40" s="135">
        <v>0</v>
      </c>
      <c r="I40" s="144">
        <v>8262.82</v>
      </c>
      <c r="J40" s="135">
        <v>0</v>
      </c>
      <c r="K40" s="144">
        <v>8262.82</v>
      </c>
      <c r="L40" s="144">
        <v>0</v>
      </c>
    </row>
    <row r="41" spans="1:12" x14ac:dyDescent="0.25">
      <c r="A41" s="221" t="s">
        <v>808</v>
      </c>
      <c r="B41" s="103" t="s">
        <v>911</v>
      </c>
      <c r="C41" s="144">
        <v>0</v>
      </c>
      <c r="D41" s="144">
        <v>0</v>
      </c>
      <c r="E41" s="144">
        <v>122.28</v>
      </c>
      <c r="F41" s="144">
        <v>0</v>
      </c>
      <c r="G41" s="144">
        <v>0</v>
      </c>
      <c r="H41" s="144">
        <v>0</v>
      </c>
      <c r="I41" s="144">
        <v>122.28</v>
      </c>
      <c r="J41" s="144">
        <v>0</v>
      </c>
      <c r="K41" s="144">
        <v>122.28</v>
      </c>
      <c r="L41" s="144">
        <v>0</v>
      </c>
    </row>
    <row r="42" spans="1:12" x14ac:dyDescent="0.25">
      <c r="A42" s="221" t="s">
        <v>253</v>
      </c>
      <c r="B42" s="103" t="s">
        <v>420</v>
      </c>
      <c r="C42" s="144">
        <v>0</v>
      </c>
      <c r="D42" s="144">
        <v>0</v>
      </c>
      <c r="E42" s="144">
        <v>1015.34</v>
      </c>
      <c r="F42" s="144">
        <v>0</v>
      </c>
      <c r="G42" s="144">
        <v>0</v>
      </c>
      <c r="H42" s="144">
        <v>0</v>
      </c>
      <c r="I42" s="144">
        <v>1015.34</v>
      </c>
      <c r="J42" s="144">
        <v>0</v>
      </c>
      <c r="K42" s="144">
        <v>1015.34</v>
      </c>
      <c r="L42" s="144">
        <v>0</v>
      </c>
    </row>
    <row r="43" spans="1:12" x14ac:dyDescent="0.25">
      <c r="A43" s="221" t="s">
        <v>451</v>
      </c>
      <c r="B43" s="103" t="s">
        <v>735</v>
      </c>
      <c r="C43" s="144">
        <v>0</v>
      </c>
      <c r="D43" s="144">
        <v>0</v>
      </c>
      <c r="E43" s="144">
        <v>97.94</v>
      </c>
      <c r="F43" s="144">
        <v>0</v>
      </c>
      <c r="G43" s="144">
        <v>7</v>
      </c>
      <c r="H43" s="144">
        <v>0</v>
      </c>
      <c r="I43" s="144">
        <v>104.94</v>
      </c>
      <c r="J43" s="144">
        <v>0</v>
      </c>
      <c r="K43" s="144">
        <v>104.94</v>
      </c>
      <c r="L43" s="144">
        <v>0</v>
      </c>
    </row>
    <row r="44" spans="1:12" x14ac:dyDescent="0.25">
      <c r="A44" s="221" t="s">
        <v>2</v>
      </c>
      <c r="B44" s="103" t="s">
        <v>892</v>
      </c>
      <c r="C44" s="135">
        <v>0</v>
      </c>
      <c r="D44" s="135">
        <v>0</v>
      </c>
      <c r="E44" s="135">
        <v>0</v>
      </c>
      <c r="F44" s="135">
        <v>0</v>
      </c>
      <c r="G44" s="144">
        <v>0</v>
      </c>
      <c r="H44" s="135">
        <v>0</v>
      </c>
      <c r="I44" s="144">
        <v>0</v>
      </c>
      <c r="J44" s="135">
        <v>0</v>
      </c>
      <c r="K44" s="144">
        <v>0</v>
      </c>
      <c r="L44" s="144">
        <v>0</v>
      </c>
    </row>
    <row r="45" spans="1:12" x14ac:dyDescent="0.25">
      <c r="A45" s="221" t="s">
        <v>181</v>
      </c>
      <c r="B45" s="103" t="s">
        <v>597</v>
      </c>
      <c r="C45" s="144">
        <v>0</v>
      </c>
      <c r="D45" s="144">
        <v>0</v>
      </c>
      <c r="E45" s="144">
        <v>0</v>
      </c>
      <c r="F45" s="144">
        <v>53732.09</v>
      </c>
      <c r="G45" s="144">
        <v>0</v>
      </c>
      <c r="H45" s="144">
        <v>5133.7299999999996</v>
      </c>
      <c r="I45" s="144">
        <v>0</v>
      </c>
      <c r="J45" s="144">
        <v>58865.82</v>
      </c>
      <c r="K45" s="144">
        <v>0</v>
      </c>
      <c r="L45" s="144">
        <v>58865.82</v>
      </c>
    </row>
    <row r="46" spans="1:12" x14ac:dyDescent="0.25">
      <c r="A46" s="221" t="s">
        <v>843</v>
      </c>
      <c r="B46" s="103" t="s">
        <v>902</v>
      </c>
      <c r="C46" s="144">
        <v>0</v>
      </c>
      <c r="D46" s="144">
        <v>0</v>
      </c>
      <c r="E46" s="144">
        <v>0</v>
      </c>
      <c r="F46" s="144">
        <v>175</v>
      </c>
      <c r="G46" s="144">
        <v>0</v>
      </c>
      <c r="H46" s="144">
        <v>0</v>
      </c>
      <c r="I46" s="144">
        <v>0</v>
      </c>
      <c r="J46" s="144">
        <v>175</v>
      </c>
      <c r="K46" s="144">
        <v>0</v>
      </c>
      <c r="L46" s="144">
        <v>175</v>
      </c>
    </row>
    <row r="47" spans="1:12" x14ac:dyDescent="0.25">
      <c r="A47" s="221" t="s">
        <v>331</v>
      </c>
      <c r="B47" s="103" t="s">
        <v>566</v>
      </c>
      <c r="C47" s="144">
        <v>0</v>
      </c>
      <c r="D47" s="144">
        <v>0</v>
      </c>
      <c r="E47" s="144">
        <v>0.3</v>
      </c>
      <c r="F47" s="144">
        <v>335.99</v>
      </c>
      <c r="G47" s="144">
        <v>0</v>
      </c>
      <c r="H47" s="144">
        <v>0</v>
      </c>
      <c r="I47" s="144">
        <v>0.3</v>
      </c>
      <c r="J47" s="144">
        <v>335.99</v>
      </c>
      <c r="K47" s="144">
        <v>0</v>
      </c>
      <c r="L47" s="144">
        <v>335.69</v>
      </c>
    </row>
    <row r="48" spans="1:12" x14ac:dyDescent="0.25">
      <c r="A48" s="221" t="s">
        <v>234</v>
      </c>
      <c r="B48" s="103" t="s">
        <v>668</v>
      </c>
      <c r="C48" s="144">
        <v>0</v>
      </c>
      <c r="D48" s="144">
        <v>0</v>
      </c>
      <c r="E48" s="144">
        <v>0</v>
      </c>
      <c r="F48" s="144">
        <v>0</v>
      </c>
      <c r="G48" s="144">
        <v>0</v>
      </c>
      <c r="H48" s="144">
        <v>0</v>
      </c>
      <c r="I48" s="144">
        <v>101127.85</v>
      </c>
      <c r="J48" s="144">
        <v>101127.85</v>
      </c>
      <c r="K48" s="144">
        <v>0</v>
      </c>
      <c r="L48" s="144">
        <v>0</v>
      </c>
    </row>
    <row r="49" spans="1:12" x14ac:dyDescent="0.25">
      <c r="A49" s="221" t="s">
        <v>113</v>
      </c>
      <c r="B49" s="103" t="s">
        <v>955</v>
      </c>
      <c r="C49" s="135">
        <v>0</v>
      </c>
      <c r="D49" s="135">
        <v>0</v>
      </c>
      <c r="E49" s="135">
        <v>0</v>
      </c>
      <c r="F49" s="135">
        <v>0</v>
      </c>
      <c r="G49" s="135">
        <v>0</v>
      </c>
      <c r="H49" s="135">
        <v>0</v>
      </c>
      <c r="I49" s="135">
        <v>0</v>
      </c>
      <c r="J49" s="135">
        <v>0</v>
      </c>
      <c r="K49" s="135">
        <v>0</v>
      </c>
      <c r="L49" s="135">
        <v>0</v>
      </c>
    </row>
    <row r="50" spans="1:12" x14ac:dyDescent="0.25">
      <c r="A50" s="221" t="s">
        <v>335</v>
      </c>
      <c r="B50" s="103" t="s">
        <v>224</v>
      </c>
      <c r="C50" s="135">
        <v>0</v>
      </c>
      <c r="D50" s="135">
        <v>0</v>
      </c>
      <c r="E50" s="135">
        <v>0</v>
      </c>
      <c r="F50" s="135">
        <v>0</v>
      </c>
      <c r="G50" s="135">
        <v>0</v>
      </c>
      <c r="H50" s="135">
        <v>0</v>
      </c>
      <c r="I50" s="135">
        <v>0</v>
      </c>
      <c r="J50" s="135">
        <v>0</v>
      </c>
      <c r="K50" s="135">
        <v>0</v>
      </c>
      <c r="L50" s="135">
        <v>0</v>
      </c>
    </row>
    <row r="51" spans="1:12" x14ac:dyDescent="0.25">
      <c r="A51" s="221"/>
      <c r="B51" s="103"/>
      <c r="C51" s="135"/>
      <c r="D51" s="135"/>
      <c r="E51" s="135"/>
      <c r="F51" s="135"/>
      <c r="G51" s="135"/>
      <c r="H51" s="135"/>
      <c r="I51" s="135"/>
      <c r="J51" s="135"/>
      <c r="K51" s="135"/>
      <c r="L51" s="135"/>
    </row>
    <row r="52" spans="1:12" x14ac:dyDescent="0.25">
      <c r="A52" s="221"/>
      <c r="B52" s="103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 x14ac:dyDescent="0.25">
      <c r="A53" s="221"/>
      <c r="B53" s="103"/>
      <c r="C53" s="135"/>
      <c r="D53" s="135"/>
      <c r="E53" s="135"/>
      <c r="F53" s="135"/>
      <c r="G53" s="135"/>
      <c r="H53" s="135"/>
      <c r="I53" s="135"/>
      <c r="J53" s="135"/>
      <c r="K53" s="135"/>
      <c r="L53" s="135"/>
    </row>
    <row r="54" spans="1:12" x14ac:dyDescent="0.25">
      <c r="A54" s="221"/>
      <c r="B54" s="103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  <row r="55" spans="1:12" x14ac:dyDescent="0.25">
      <c r="A55" s="221"/>
      <c r="B55" s="103"/>
      <c r="C55" s="135"/>
      <c r="D55" s="135"/>
      <c r="E55" s="135"/>
      <c r="F55" s="135"/>
      <c r="G55" s="135"/>
      <c r="H55" s="135"/>
      <c r="I55" s="135"/>
      <c r="J55" s="135"/>
      <c r="K55" s="135"/>
      <c r="L55" s="135"/>
    </row>
    <row r="56" spans="1:12" x14ac:dyDescent="0.25">
      <c r="A56" s="221"/>
      <c r="B56" s="103"/>
      <c r="C56" s="135"/>
      <c r="D56" s="135"/>
      <c r="E56" s="135"/>
      <c r="F56" s="135"/>
      <c r="G56" s="135"/>
      <c r="H56" s="135"/>
      <c r="I56" s="135"/>
      <c r="J56" s="135"/>
      <c r="K56" s="135"/>
      <c r="L56" s="135"/>
    </row>
    <row r="57" spans="1:12" x14ac:dyDescent="0.25">
      <c r="A57" s="221"/>
      <c r="B57" s="103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2" x14ac:dyDescent="0.25">
      <c r="A58" s="221"/>
      <c r="B58" s="103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2" x14ac:dyDescent="0.25">
      <c r="A59" s="221"/>
      <c r="B59" s="103"/>
      <c r="C59" s="135"/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12" x14ac:dyDescent="0.25">
      <c r="A60" s="221"/>
      <c r="B60" s="103"/>
      <c r="C60" s="135"/>
      <c r="D60" s="135"/>
      <c r="E60" s="135"/>
      <c r="F60" s="135"/>
      <c r="G60" s="135"/>
      <c r="H60" s="135"/>
      <c r="I60" s="135"/>
      <c r="J60" s="135"/>
      <c r="K60" s="135"/>
      <c r="L60" s="135"/>
    </row>
    <row r="61" spans="1:12" x14ac:dyDescent="0.25">
      <c r="A61" s="221"/>
      <c r="B61" s="103"/>
      <c r="C61" s="135"/>
      <c r="D61" s="135"/>
      <c r="E61" s="135"/>
      <c r="F61" s="135"/>
      <c r="G61" s="135"/>
      <c r="H61" s="135"/>
      <c r="I61" s="135"/>
      <c r="J61" s="135"/>
      <c r="K61" s="135"/>
      <c r="L61" s="135"/>
    </row>
    <row r="62" spans="1:12" x14ac:dyDescent="0.25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 x14ac:dyDescent="0.25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 x14ac:dyDescent="0.25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 x14ac:dyDescent="0.25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 x14ac:dyDescent="0.25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 x14ac:dyDescent="0.25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 x14ac:dyDescent="0.25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 x14ac:dyDescent="0.25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 x14ac:dyDescent="0.25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 x14ac:dyDescent="0.25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 x14ac:dyDescent="0.25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 x14ac:dyDescent="0.25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 x14ac:dyDescent="0.25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 x14ac:dyDescent="0.25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 x14ac:dyDescent="0.25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 x14ac:dyDescent="0.25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 x14ac:dyDescent="0.25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25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25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25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25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25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25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25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25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25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25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25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25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25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25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25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25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25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25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25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25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25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25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25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25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25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25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25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25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25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25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25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25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25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25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25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25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25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25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25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25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25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25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25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G62"/>
  <sheetViews>
    <sheetView zoomScaleNormal="100" zoomScaleSheetLayoutView="100" workbookViewId="0"/>
  </sheetViews>
  <sheetFormatPr defaultColWidth="9.140625" defaultRowHeight="15" x14ac:dyDescent="0.25"/>
  <cols>
    <col min="1" max="1" width="8.28515625" style="181" customWidth="1"/>
    <col min="2" max="2" width="86.140625" style="181" customWidth="1"/>
    <col min="3" max="3" width="4.42578125" style="147" customWidth="1"/>
    <col min="4" max="7" width="15.28515625" style="6" customWidth="1"/>
    <col min="8" max="16384" width="9.140625" style="112"/>
  </cols>
  <sheetData>
    <row r="1" spans="1:7" ht="33.75" x14ac:dyDescent="0.25">
      <c r="A1" s="11" t="s">
        <v>633</v>
      </c>
      <c r="B1" s="11" t="s">
        <v>682</v>
      </c>
      <c r="C1" s="51" t="s">
        <v>767</v>
      </c>
      <c r="D1" s="157" t="s">
        <v>986</v>
      </c>
      <c r="E1" s="157" t="s">
        <v>1077</v>
      </c>
      <c r="F1" s="157" t="s">
        <v>303</v>
      </c>
      <c r="G1" s="157" t="s">
        <v>455</v>
      </c>
    </row>
    <row r="2" spans="1:7" x14ac:dyDescent="0.25">
      <c r="A2" s="103" t="s">
        <v>1123</v>
      </c>
      <c r="B2" s="103" t="s">
        <v>527</v>
      </c>
      <c r="C2" s="221" t="s">
        <v>515</v>
      </c>
      <c r="D2" s="135">
        <v>0</v>
      </c>
      <c r="E2" s="144">
        <v>0</v>
      </c>
      <c r="F2" s="135">
        <v>0</v>
      </c>
      <c r="G2" s="144">
        <v>0</v>
      </c>
    </row>
    <row r="3" spans="1:7" x14ac:dyDescent="0.25">
      <c r="A3" s="103" t="s">
        <v>853</v>
      </c>
      <c r="B3" s="103" t="s">
        <v>93</v>
      </c>
      <c r="C3" s="221" t="s">
        <v>1024</v>
      </c>
      <c r="D3" s="144">
        <v>46510.22</v>
      </c>
      <c r="E3" s="144">
        <v>59376.51</v>
      </c>
      <c r="F3" s="144">
        <v>46510.22</v>
      </c>
      <c r="G3" s="144">
        <v>59377</v>
      </c>
    </row>
    <row r="4" spans="1:7" x14ac:dyDescent="0.25">
      <c r="A4" s="103" t="s">
        <v>415</v>
      </c>
      <c r="B4" s="103" t="s">
        <v>103</v>
      </c>
      <c r="C4" s="221" t="s">
        <v>495</v>
      </c>
      <c r="D4" s="135">
        <v>0</v>
      </c>
      <c r="E4" s="144">
        <v>175</v>
      </c>
      <c r="F4" s="135">
        <v>0</v>
      </c>
      <c r="G4" s="144">
        <v>175</v>
      </c>
    </row>
    <row r="5" spans="1:7" x14ac:dyDescent="0.25">
      <c r="A5" s="103" t="s">
        <v>516</v>
      </c>
      <c r="B5" s="103" t="s">
        <v>769</v>
      </c>
      <c r="C5" s="221" t="s">
        <v>59</v>
      </c>
      <c r="D5" s="135">
        <v>0</v>
      </c>
      <c r="E5" s="144">
        <v>0</v>
      </c>
      <c r="F5" s="135">
        <v>0</v>
      </c>
      <c r="G5" s="144">
        <v>0</v>
      </c>
    </row>
    <row r="6" spans="1:7" x14ac:dyDescent="0.25">
      <c r="A6" s="103" t="s">
        <v>421</v>
      </c>
      <c r="B6" s="103" t="s">
        <v>1098</v>
      </c>
      <c r="C6" s="221" t="s">
        <v>108</v>
      </c>
      <c r="D6" s="144">
        <v>32532.65</v>
      </c>
      <c r="E6" s="144">
        <v>58865.82</v>
      </c>
      <c r="F6" s="144">
        <v>32532.65</v>
      </c>
      <c r="G6" s="144">
        <v>58866</v>
      </c>
    </row>
    <row r="7" spans="1:7" x14ac:dyDescent="0.25">
      <c r="A7" s="103" t="s">
        <v>264</v>
      </c>
      <c r="B7" s="103" t="s">
        <v>357</v>
      </c>
      <c r="C7" s="221" t="s">
        <v>417</v>
      </c>
      <c r="D7" s="135">
        <v>0</v>
      </c>
      <c r="E7" s="144">
        <v>0</v>
      </c>
      <c r="F7" s="135">
        <v>0</v>
      </c>
      <c r="G7" s="144">
        <v>0</v>
      </c>
    </row>
    <row r="8" spans="1:7" x14ac:dyDescent="0.25">
      <c r="A8" s="103" t="s">
        <v>305</v>
      </c>
      <c r="B8" s="103" t="s">
        <v>699</v>
      </c>
      <c r="C8" s="221" t="s">
        <v>392</v>
      </c>
      <c r="D8" s="135">
        <v>0</v>
      </c>
      <c r="E8" s="144">
        <v>0</v>
      </c>
      <c r="F8" s="135">
        <v>0</v>
      </c>
      <c r="G8" s="144">
        <v>0</v>
      </c>
    </row>
    <row r="9" spans="1:7" x14ac:dyDescent="0.25">
      <c r="A9" s="103" t="s">
        <v>1119</v>
      </c>
      <c r="B9" s="103" t="s">
        <v>396</v>
      </c>
      <c r="C9" s="221" t="s">
        <v>484</v>
      </c>
      <c r="D9" s="135">
        <v>0</v>
      </c>
      <c r="E9" s="144">
        <v>0</v>
      </c>
      <c r="F9" s="135">
        <v>0</v>
      </c>
      <c r="G9" s="144">
        <v>0</v>
      </c>
    </row>
    <row r="10" spans="1:7" x14ac:dyDescent="0.25">
      <c r="A10" s="103" t="s">
        <v>460</v>
      </c>
      <c r="B10" s="103" t="s">
        <v>639</v>
      </c>
      <c r="C10" s="221" t="s">
        <v>508</v>
      </c>
      <c r="D10" s="144">
        <v>13977.57</v>
      </c>
      <c r="E10" s="144">
        <v>335.69</v>
      </c>
      <c r="F10" s="144">
        <v>13977.57</v>
      </c>
      <c r="G10" s="144">
        <v>336</v>
      </c>
    </row>
    <row r="11" spans="1:7" x14ac:dyDescent="0.25">
      <c r="A11" s="103" t="s">
        <v>853</v>
      </c>
      <c r="B11" s="103" t="s">
        <v>1116</v>
      </c>
      <c r="C11" s="221" t="s">
        <v>339</v>
      </c>
      <c r="D11" s="144">
        <v>72426</v>
      </c>
      <c r="E11" s="144">
        <v>63841.13</v>
      </c>
      <c r="F11" s="144">
        <v>72426</v>
      </c>
      <c r="G11" s="144">
        <v>63842</v>
      </c>
    </row>
    <row r="12" spans="1:7" x14ac:dyDescent="0.25">
      <c r="A12" s="103" t="s">
        <v>805</v>
      </c>
      <c r="B12" s="103" t="s">
        <v>604</v>
      </c>
      <c r="C12" s="221" t="s">
        <v>822</v>
      </c>
      <c r="D12" s="135">
        <v>0</v>
      </c>
      <c r="E12" s="144">
        <v>0</v>
      </c>
      <c r="F12" s="135">
        <v>0</v>
      </c>
      <c r="G12" s="144">
        <v>0</v>
      </c>
    </row>
    <row r="13" spans="1:7" x14ac:dyDescent="0.25">
      <c r="A13" s="103" t="s">
        <v>321</v>
      </c>
      <c r="B13" s="103" t="s">
        <v>620</v>
      </c>
      <c r="C13" s="221" t="s">
        <v>1111</v>
      </c>
      <c r="D13" s="144">
        <v>225.26</v>
      </c>
      <c r="E13" s="144">
        <v>1545.12</v>
      </c>
      <c r="F13" s="144">
        <v>225.26</v>
      </c>
      <c r="G13" s="144">
        <v>1545</v>
      </c>
    </row>
    <row r="14" spans="1:7" x14ac:dyDescent="0.25">
      <c r="A14" s="103" t="s">
        <v>306</v>
      </c>
      <c r="B14" s="103" t="s">
        <v>603</v>
      </c>
      <c r="C14" s="221" t="s">
        <v>386</v>
      </c>
      <c r="D14" s="135">
        <v>0</v>
      </c>
      <c r="E14" s="144">
        <v>0</v>
      </c>
      <c r="F14" s="135">
        <v>0</v>
      </c>
      <c r="G14" s="144">
        <v>0</v>
      </c>
    </row>
    <row r="15" spans="1:7" x14ac:dyDescent="0.25">
      <c r="A15" s="103" t="s">
        <v>161</v>
      </c>
      <c r="B15" s="103" t="s">
        <v>428</v>
      </c>
      <c r="C15" s="221" t="s">
        <v>1109</v>
      </c>
      <c r="D15" s="144">
        <v>6056.9</v>
      </c>
      <c r="E15" s="144">
        <v>20838.62</v>
      </c>
      <c r="F15" s="144">
        <v>6056.9</v>
      </c>
      <c r="G15" s="144">
        <v>20840</v>
      </c>
    </row>
    <row r="16" spans="1:7" x14ac:dyDescent="0.25">
      <c r="A16" s="103" t="s">
        <v>798</v>
      </c>
      <c r="B16" s="103" t="s">
        <v>675</v>
      </c>
      <c r="C16" s="221" t="s">
        <v>1082</v>
      </c>
      <c r="D16" s="144">
        <v>43208.59</v>
      </c>
      <c r="E16" s="144">
        <v>31389.65</v>
      </c>
      <c r="F16" s="144">
        <v>43208.59</v>
      </c>
      <c r="G16" s="144">
        <v>31389</v>
      </c>
    </row>
    <row r="17" spans="1:7" x14ac:dyDescent="0.25">
      <c r="A17" s="103" t="s">
        <v>816</v>
      </c>
      <c r="B17" s="103" t="s">
        <v>403</v>
      </c>
      <c r="C17" s="221" t="s">
        <v>373</v>
      </c>
      <c r="D17" s="144">
        <v>31895.82</v>
      </c>
      <c r="E17" s="144">
        <v>23115.45</v>
      </c>
      <c r="F17" s="144">
        <v>31895.82</v>
      </c>
      <c r="G17" s="144">
        <v>23115</v>
      </c>
    </row>
    <row r="18" spans="1:7" x14ac:dyDescent="0.25">
      <c r="A18" s="103" t="s">
        <v>878</v>
      </c>
      <c r="B18" s="103" t="s">
        <v>993</v>
      </c>
      <c r="C18" s="221" t="s">
        <v>761</v>
      </c>
      <c r="D18" s="135">
        <v>0</v>
      </c>
      <c r="E18" s="144">
        <v>0</v>
      </c>
      <c r="F18" s="135">
        <v>0</v>
      </c>
      <c r="G18" s="144">
        <v>0</v>
      </c>
    </row>
    <row r="19" spans="1:7" x14ac:dyDescent="0.25">
      <c r="A19" s="103" t="s">
        <v>204</v>
      </c>
      <c r="B19" s="103" t="s">
        <v>369</v>
      </c>
      <c r="C19" s="221" t="s">
        <v>1120</v>
      </c>
      <c r="D19" s="144">
        <v>11131.68</v>
      </c>
      <c r="E19" s="144">
        <v>8136.46</v>
      </c>
      <c r="F19" s="144">
        <v>11131.68</v>
      </c>
      <c r="G19" s="144">
        <v>8136</v>
      </c>
    </row>
    <row r="20" spans="1:7" x14ac:dyDescent="0.25">
      <c r="A20" s="103" t="s">
        <v>380</v>
      </c>
      <c r="B20" s="103" t="s">
        <v>275</v>
      </c>
      <c r="C20" s="221" t="s">
        <v>327</v>
      </c>
      <c r="D20" s="144">
        <v>181.09</v>
      </c>
      <c r="E20" s="144">
        <v>137.74</v>
      </c>
      <c r="F20" s="144">
        <v>181.09</v>
      </c>
      <c r="G20" s="144">
        <v>138</v>
      </c>
    </row>
    <row r="21" spans="1:7" x14ac:dyDescent="0.25">
      <c r="A21" s="103" t="s">
        <v>755</v>
      </c>
      <c r="B21" s="103" t="s">
        <v>74</v>
      </c>
      <c r="C21" s="221" t="s">
        <v>1022</v>
      </c>
      <c r="D21" s="144">
        <v>64</v>
      </c>
      <c r="E21" s="144">
        <v>608.5</v>
      </c>
      <c r="F21" s="144">
        <v>64</v>
      </c>
      <c r="G21" s="144">
        <v>609</v>
      </c>
    </row>
    <row r="22" spans="1:7" x14ac:dyDescent="0.25">
      <c r="A22" s="103" t="s">
        <v>788</v>
      </c>
      <c r="B22" s="103" t="s">
        <v>218</v>
      </c>
      <c r="C22" s="221" t="s">
        <v>486</v>
      </c>
      <c r="D22" s="135">
        <v>0</v>
      </c>
      <c r="E22" s="144">
        <v>1015.34</v>
      </c>
      <c r="F22" s="135">
        <v>0</v>
      </c>
      <c r="G22" s="144">
        <v>1015</v>
      </c>
    </row>
    <row r="23" spans="1:7" x14ac:dyDescent="0.25">
      <c r="A23" s="103" t="s">
        <v>989</v>
      </c>
      <c r="B23" s="103" t="s">
        <v>837</v>
      </c>
      <c r="C23" s="221" t="s">
        <v>1108</v>
      </c>
      <c r="D23" s="135">
        <v>0</v>
      </c>
      <c r="E23" s="144">
        <v>1015.34</v>
      </c>
      <c r="F23" s="135">
        <v>0</v>
      </c>
      <c r="G23" s="144">
        <v>1015</v>
      </c>
    </row>
    <row r="24" spans="1:7" x14ac:dyDescent="0.25">
      <c r="A24" s="103" t="s">
        <v>878</v>
      </c>
      <c r="B24" s="103" t="s">
        <v>370</v>
      </c>
      <c r="C24" s="221" t="s">
        <v>520</v>
      </c>
      <c r="D24" s="135">
        <v>0</v>
      </c>
      <c r="E24" s="144">
        <v>0</v>
      </c>
      <c r="F24" s="135">
        <v>0</v>
      </c>
      <c r="G24" s="144">
        <v>0</v>
      </c>
    </row>
    <row r="25" spans="1:7" x14ac:dyDescent="0.25">
      <c r="A25" s="103" t="s">
        <v>747</v>
      </c>
      <c r="B25" s="103" t="s">
        <v>175</v>
      </c>
      <c r="C25" s="221" t="s">
        <v>72</v>
      </c>
      <c r="D25" s="135">
        <v>0</v>
      </c>
      <c r="E25" s="144">
        <v>0</v>
      </c>
      <c r="F25" s="135">
        <v>0</v>
      </c>
      <c r="G25" s="144">
        <v>0</v>
      </c>
    </row>
    <row r="26" spans="1:7" x14ac:dyDescent="0.25">
      <c r="A26" s="103" t="s">
        <v>415</v>
      </c>
      <c r="B26" s="103" t="s">
        <v>967</v>
      </c>
      <c r="C26" s="221" t="s">
        <v>453</v>
      </c>
      <c r="D26" s="144">
        <v>0</v>
      </c>
      <c r="E26" s="144">
        <v>0</v>
      </c>
      <c r="F26" s="144">
        <v>0</v>
      </c>
      <c r="G26" s="144">
        <v>0</v>
      </c>
    </row>
    <row r="27" spans="1:7" x14ac:dyDescent="0.25">
      <c r="A27" s="103" t="s">
        <v>374</v>
      </c>
      <c r="B27" s="103" t="s">
        <v>547</v>
      </c>
      <c r="C27" s="221" t="s">
        <v>145</v>
      </c>
      <c r="D27" s="144">
        <v>22871.25</v>
      </c>
      <c r="E27" s="144">
        <v>8443.9</v>
      </c>
      <c r="F27" s="144">
        <v>22871.25</v>
      </c>
      <c r="G27" s="144">
        <v>8444</v>
      </c>
    </row>
    <row r="28" spans="1:7" x14ac:dyDescent="0.25">
      <c r="A28" s="103" t="s">
        <v>872</v>
      </c>
      <c r="B28" s="103" t="s">
        <v>132</v>
      </c>
      <c r="C28" s="221" t="s">
        <v>506</v>
      </c>
      <c r="D28" s="144">
        <v>-25915.78</v>
      </c>
      <c r="E28" s="144">
        <v>-4464.62</v>
      </c>
      <c r="F28" s="144">
        <v>-25915.78</v>
      </c>
      <c r="G28" s="144">
        <v>-4465</v>
      </c>
    </row>
    <row r="29" spans="1:7" x14ac:dyDescent="0.25">
      <c r="A29" s="103" t="s">
        <v>1123</v>
      </c>
      <c r="B29" s="103" t="s">
        <v>57</v>
      </c>
      <c r="C29" s="221" t="s">
        <v>404</v>
      </c>
      <c r="D29" s="144">
        <v>26250.49</v>
      </c>
      <c r="E29" s="144">
        <v>36657.08</v>
      </c>
      <c r="F29" s="144">
        <v>26250.49</v>
      </c>
      <c r="G29" s="144">
        <v>36656</v>
      </c>
    </row>
    <row r="30" spans="1:7" x14ac:dyDescent="0.25">
      <c r="A30" s="103" t="s">
        <v>853</v>
      </c>
      <c r="B30" s="103" t="s">
        <v>1040</v>
      </c>
      <c r="C30" s="221" t="s">
        <v>429</v>
      </c>
      <c r="D30" s="135">
        <v>0</v>
      </c>
      <c r="E30" s="144">
        <v>0</v>
      </c>
      <c r="F30" s="135">
        <v>0</v>
      </c>
      <c r="G30" s="144">
        <v>0</v>
      </c>
    </row>
    <row r="31" spans="1:7" x14ac:dyDescent="0.25">
      <c r="A31" s="103" t="s">
        <v>1117</v>
      </c>
      <c r="B31" s="103" t="s">
        <v>1104</v>
      </c>
      <c r="C31" s="221" t="s">
        <v>759</v>
      </c>
      <c r="D31" s="135">
        <v>0</v>
      </c>
      <c r="E31" s="144">
        <v>0</v>
      </c>
      <c r="F31" s="135">
        <v>0</v>
      </c>
      <c r="G31" s="144">
        <v>0</v>
      </c>
    </row>
    <row r="32" spans="1:7" x14ac:dyDescent="0.25">
      <c r="A32" s="103" t="s">
        <v>139</v>
      </c>
      <c r="B32" s="103" t="s">
        <v>382</v>
      </c>
      <c r="C32" s="221" t="s">
        <v>260</v>
      </c>
      <c r="D32" s="135">
        <v>0</v>
      </c>
      <c r="E32" s="144">
        <v>0</v>
      </c>
      <c r="F32" s="135">
        <v>0</v>
      </c>
      <c r="G32" s="144">
        <v>0</v>
      </c>
    </row>
    <row r="33" spans="1:7" x14ac:dyDescent="0.25">
      <c r="A33" s="103" t="s">
        <v>907</v>
      </c>
      <c r="B33" s="103" t="s">
        <v>1118</v>
      </c>
      <c r="C33" s="221" t="s">
        <v>514</v>
      </c>
      <c r="D33" s="135">
        <v>0</v>
      </c>
      <c r="E33" s="144">
        <v>0</v>
      </c>
      <c r="F33" s="135">
        <v>0</v>
      </c>
      <c r="G33" s="144">
        <v>0</v>
      </c>
    </row>
    <row r="34" spans="1:7" x14ac:dyDescent="0.25">
      <c r="A34" s="103" t="s">
        <v>878</v>
      </c>
      <c r="B34" s="103" t="s">
        <v>974</v>
      </c>
      <c r="C34" s="221" t="s">
        <v>302</v>
      </c>
      <c r="D34" s="135">
        <v>0</v>
      </c>
      <c r="E34" s="144">
        <v>0</v>
      </c>
      <c r="F34" s="135">
        <v>0</v>
      </c>
      <c r="G34" s="144">
        <v>0</v>
      </c>
    </row>
    <row r="35" spans="1:7" x14ac:dyDescent="0.25">
      <c r="A35" s="103" t="s">
        <v>204</v>
      </c>
      <c r="B35" s="103" t="s">
        <v>568</v>
      </c>
      <c r="C35" s="221" t="s">
        <v>650</v>
      </c>
      <c r="D35" s="135">
        <v>0</v>
      </c>
      <c r="E35" s="144">
        <v>0</v>
      </c>
      <c r="F35" s="135">
        <v>0</v>
      </c>
      <c r="G35" s="144">
        <v>0</v>
      </c>
    </row>
    <row r="36" spans="1:7" x14ac:dyDescent="0.25">
      <c r="A36" s="103" t="s">
        <v>153</v>
      </c>
      <c r="B36" s="103" t="s">
        <v>183</v>
      </c>
      <c r="C36" s="221" t="s">
        <v>927</v>
      </c>
      <c r="D36" s="135">
        <v>0</v>
      </c>
      <c r="E36" s="144">
        <v>0</v>
      </c>
      <c r="F36" s="135">
        <v>0</v>
      </c>
      <c r="G36" s="144">
        <v>0</v>
      </c>
    </row>
    <row r="37" spans="1:7" x14ac:dyDescent="0.25">
      <c r="A37" s="103" t="s">
        <v>694</v>
      </c>
      <c r="B37" s="103" t="s">
        <v>481</v>
      </c>
      <c r="C37" s="221" t="s">
        <v>198</v>
      </c>
      <c r="D37" s="135">
        <v>0</v>
      </c>
      <c r="E37" s="144">
        <v>0</v>
      </c>
      <c r="F37" s="135">
        <v>0</v>
      </c>
      <c r="G37" s="144">
        <v>0</v>
      </c>
    </row>
    <row r="38" spans="1:7" x14ac:dyDescent="0.25">
      <c r="A38" s="103" t="s">
        <v>878</v>
      </c>
      <c r="B38" s="103" t="s">
        <v>956</v>
      </c>
      <c r="C38" s="221" t="s">
        <v>101</v>
      </c>
      <c r="D38" s="135">
        <v>0</v>
      </c>
      <c r="E38" s="144">
        <v>0</v>
      </c>
      <c r="F38" s="135">
        <v>0</v>
      </c>
      <c r="G38" s="144">
        <v>0</v>
      </c>
    </row>
    <row r="39" spans="1:7" x14ac:dyDescent="0.25">
      <c r="A39" s="103" t="s">
        <v>204</v>
      </c>
      <c r="B39" s="103" t="s">
        <v>372</v>
      </c>
      <c r="C39" s="221" t="s">
        <v>261</v>
      </c>
      <c r="D39" s="135">
        <v>0</v>
      </c>
      <c r="E39" s="144">
        <v>0</v>
      </c>
      <c r="F39" s="135">
        <v>0</v>
      </c>
      <c r="G39" s="144">
        <v>0</v>
      </c>
    </row>
    <row r="40" spans="1:7" x14ac:dyDescent="0.25">
      <c r="A40" s="103" t="s">
        <v>590</v>
      </c>
      <c r="B40" s="103" t="s">
        <v>418</v>
      </c>
      <c r="C40" s="221" t="s">
        <v>856</v>
      </c>
      <c r="D40" s="135">
        <v>0</v>
      </c>
      <c r="E40" s="144">
        <v>0</v>
      </c>
      <c r="F40" s="135">
        <v>0</v>
      </c>
      <c r="G40" s="144">
        <v>0</v>
      </c>
    </row>
    <row r="41" spans="1:7" x14ac:dyDescent="0.25">
      <c r="A41" s="103" t="s">
        <v>472</v>
      </c>
      <c r="B41" s="103" t="s">
        <v>1011</v>
      </c>
      <c r="C41" s="221" t="s">
        <v>529</v>
      </c>
      <c r="D41" s="135">
        <v>0</v>
      </c>
      <c r="E41" s="144">
        <v>0</v>
      </c>
      <c r="F41" s="135">
        <v>0</v>
      </c>
      <c r="G41" s="144">
        <v>0</v>
      </c>
    </row>
    <row r="42" spans="1:7" x14ac:dyDescent="0.25">
      <c r="A42" s="103" t="s">
        <v>878</v>
      </c>
      <c r="B42" s="103" t="s">
        <v>774</v>
      </c>
      <c r="C42" s="221" t="s">
        <v>1065</v>
      </c>
      <c r="D42" s="135">
        <v>0</v>
      </c>
      <c r="E42" s="144">
        <v>0</v>
      </c>
      <c r="F42" s="135">
        <v>0</v>
      </c>
      <c r="G42" s="144">
        <v>0</v>
      </c>
    </row>
    <row r="43" spans="1:7" x14ac:dyDescent="0.25">
      <c r="A43" s="103" t="s">
        <v>629</v>
      </c>
      <c r="B43" s="103" t="s">
        <v>435</v>
      </c>
      <c r="C43" s="221" t="s">
        <v>940</v>
      </c>
      <c r="D43" s="135">
        <v>0</v>
      </c>
      <c r="E43" s="144">
        <v>0</v>
      </c>
      <c r="F43" s="135">
        <v>0</v>
      </c>
      <c r="G43" s="144">
        <v>0</v>
      </c>
    </row>
    <row r="44" spans="1:7" x14ac:dyDescent="0.25">
      <c r="A44" s="103" t="s">
        <v>987</v>
      </c>
      <c r="B44" s="103" t="s">
        <v>925</v>
      </c>
      <c r="C44" s="221" t="s">
        <v>343</v>
      </c>
      <c r="D44" s="135">
        <v>0</v>
      </c>
      <c r="E44" s="144">
        <v>0</v>
      </c>
      <c r="F44" s="135">
        <v>0</v>
      </c>
      <c r="G44" s="144">
        <v>0</v>
      </c>
    </row>
    <row r="45" spans="1:7" x14ac:dyDescent="0.25">
      <c r="A45" s="103" t="s">
        <v>180</v>
      </c>
      <c r="B45" s="103" t="s">
        <v>250</v>
      </c>
      <c r="C45" s="221" t="s">
        <v>909</v>
      </c>
      <c r="D45" s="135">
        <v>0</v>
      </c>
      <c r="E45" s="144">
        <v>0</v>
      </c>
      <c r="F45" s="135">
        <v>0</v>
      </c>
      <c r="G45" s="144">
        <v>0</v>
      </c>
    </row>
    <row r="46" spans="1:7" x14ac:dyDescent="0.25">
      <c r="A46" s="103" t="s">
        <v>853</v>
      </c>
      <c r="B46" s="103" t="s">
        <v>845</v>
      </c>
      <c r="C46" s="221" t="s">
        <v>553</v>
      </c>
      <c r="D46" s="144">
        <v>2789.2</v>
      </c>
      <c r="E46" s="144">
        <v>104.94</v>
      </c>
      <c r="F46" s="144">
        <v>2789.2</v>
      </c>
      <c r="G46" s="144">
        <v>105</v>
      </c>
    </row>
    <row r="47" spans="1:7" x14ac:dyDescent="0.25">
      <c r="A47" s="103" t="s">
        <v>307</v>
      </c>
      <c r="B47" s="103" t="s">
        <v>850</v>
      </c>
      <c r="C47" s="221" t="s">
        <v>43</v>
      </c>
      <c r="D47" s="135">
        <v>0</v>
      </c>
      <c r="E47" s="144">
        <v>0</v>
      </c>
      <c r="F47" s="135">
        <v>0</v>
      </c>
      <c r="G47" s="144">
        <v>0</v>
      </c>
    </row>
    <row r="48" spans="1:7" x14ac:dyDescent="0.25">
      <c r="A48" s="103" t="s">
        <v>500</v>
      </c>
      <c r="B48" s="103" t="s">
        <v>457</v>
      </c>
      <c r="C48" s="221" t="s">
        <v>565</v>
      </c>
      <c r="D48" s="135">
        <v>0</v>
      </c>
      <c r="E48" s="144">
        <v>0</v>
      </c>
      <c r="F48" s="135">
        <v>0</v>
      </c>
      <c r="G48" s="144">
        <v>0</v>
      </c>
    </row>
    <row r="49" spans="1:7" x14ac:dyDescent="0.25">
      <c r="A49" s="103" t="s">
        <v>663</v>
      </c>
      <c r="B49" s="103" t="s">
        <v>294</v>
      </c>
      <c r="C49" s="221" t="s">
        <v>1043</v>
      </c>
      <c r="D49" s="135">
        <v>0</v>
      </c>
      <c r="E49" s="144">
        <v>0</v>
      </c>
      <c r="F49" s="135">
        <v>0</v>
      </c>
      <c r="G49" s="144">
        <v>0</v>
      </c>
    </row>
    <row r="50" spans="1:7" x14ac:dyDescent="0.25">
      <c r="A50" s="103" t="s">
        <v>425</v>
      </c>
      <c r="B50" s="103" t="s">
        <v>984</v>
      </c>
      <c r="C50" s="221" t="s">
        <v>187</v>
      </c>
      <c r="D50" s="144">
        <v>2700</v>
      </c>
      <c r="E50" s="144">
        <v>0</v>
      </c>
      <c r="F50" s="144">
        <v>2700</v>
      </c>
      <c r="G50" s="144">
        <v>0</v>
      </c>
    </row>
    <row r="51" spans="1:7" x14ac:dyDescent="0.25">
      <c r="A51" s="103" t="s">
        <v>69</v>
      </c>
      <c r="B51" s="103" t="s">
        <v>904</v>
      </c>
      <c r="C51" s="221" t="s">
        <v>879</v>
      </c>
      <c r="D51" s="135">
        <v>0</v>
      </c>
      <c r="E51" s="144">
        <v>0</v>
      </c>
      <c r="F51" s="135">
        <v>0</v>
      </c>
      <c r="G51" s="144">
        <v>0</v>
      </c>
    </row>
    <row r="52" spans="1:7" x14ac:dyDescent="0.25">
      <c r="A52" s="103" t="s">
        <v>878</v>
      </c>
      <c r="B52" s="103" t="s">
        <v>488</v>
      </c>
      <c r="C52" s="221" t="s">
        <v>37</v>
      </c>
      <c r="D52" s="144">
        <v>2700</v>
      </c>
      <c r="E52" s="144">
        <v>0</v>
      </c>
      <c r="F52" s="144">
        <v>2700</v>
      </c>
      <c r="G52" s="144">
        <v>0</v>
      </c>
    </row>
    <row r="53" spans="1:7" x14ac:dyDescent="0.25">
      <c r="A53" s="103" t="s">
        <v>1112</v>
      </c>
      <c r="B53" s="103" t="s">
        <v>120</v>
      </c>
      <c r="C53" s="221" t="s">
        <v>560</v>
      </c>
      <c r="D53" s="135">
        <v>0</v>
      </c>
      <c r="E53" s="144">
        <v>0</v>
      </c>
      <c r="F53" s="135">
        <v>0</v>
      </c>
      <c r="G53" s="144">
        <v>0</v>
      </c>
    </row>
    <row r="54" spans="1:7" x14ac:dyDescent="0.25">
      <c r="A54" s="103" t="s">
        <v>433</v>
      </c>
      <c r="B54" s="103" t="s">
        <v>463</v>
      </c>
      <c r="C54" s="221" t="s">
        <v>498</v>
      </c>
      <c r="D54" s="135">
        <v>0</v>
      </c>
      <c r="E54" s="144">
        <v>0</v>
      </c>
      <c r="F54" s="135">
        <v>0</v>
      </c>
      <c r="G54" s="144">
        <v>0</v>
      </c>
    </row>
    <row r="55" spans="1:7" x14ac:dyDescent="0.25">
      <c r="A55" s="103" t="s">
        <v>762</v>
      </c>
      <c r="B55" s="103" t="s">
        <v>411</v>
      </c>
      <c r="C55" s="221" t="s">
        <v>712</v>
      </c>
      <c r="D55" s="144">
        <v>89.2</v>
      </c>
      <c r="E55" s="144">
        <v>104.94</v>
      </c>
      <c r="F55" s="144">
        <v>89.2</v>
      </c>
      <c r="G55" s="144">
        <v>105</v>
      </c>
    </row>
    <row r="56" spans="1:7" x14ac:dyDescent="0.25">
      <c r="A56" s="103" t="s">
        <v>872</v>
      </c>
      <c r="B56" s="103" t="s">
        <v>296</v>
      </c>
      <c r="C56" s="221" t="s">
        <v>1074</v>
      </c>
      <c r="D56" s="144">
        <v>-2789.2</v>
      </c>
      <c r="E56" s="144">
        <v>-104.94</v>
      </c>
      <c r="F56" s="144">
        <v>-2789.2</v>
      </c>
      <c r="G56" s="144">
        <v>-105</v>
      </c>
    </row>
    <row r="57" spans="1:7" x14ac:dyDescent="0.25">
      <c r="A57" s="103" t="s">
        <v>710</v>
      </c>
      <c r="B57" s="103" t="s">
        <v>1093</v>
      </c>
      <c r="C57" s="221" t="s">
        <v>193</v>
      </c>
      <c r="D57" s="144">
        <v>-28704.98</v>
      </c>
      <c r="E57" s="144">
        <v>-4569.5600000000004</v>
      </c>
      <c r="F57" s="144">
        <v>-28704.98</v>
      </c>
      <c r="G57" s="144">
        <v>-4570</v>
      </c>
    </row>
    <row r="58" spans="1:7" x14ac:dyDescent="0.25">
      <c r="A58" s="103" t="s">
        <v>791</v>
      </c>
      <c r="B58" s="103" t="s">
        <v>608</v>
      </c>
      <c r="C58" s="221" t="s">
        <v>297</v>
      </c>
      <c r="D58" s="135">
        <v>0</v>
      </c>
      <c r="E58" s="144">
        <v>0</v>
      </c>
      <c r="F58" s="135">
        <v>0</v>
      </c>
      <c r="G58" s="144">
        <v>0</v>
      </c>
    </row>
    <row r="59" spans="1:7" x14ac:dyDescent="0.25">
      <c r="A59" s="103" t="s">
        <v>480</v>
      </c>
      <c r="B59" s="103" t="s">
        <v>766</v>
      </c>
      <c r="C59" s="221" t="s">
        <v>550</v>
      </c>
      <c r="D59" s="135">
        <v>0</v>
      </c>
      <c r="E59" s="144">
        <v>0</v>
      </c>
      <c r="F59" s="135">
        <v>0</v>
      </c>
      <c r="G59" s="144">
        <v>0</v>
      </c>
    </row>
    <row r="60" spans="1:7" x14ac:dyDescent="0.25">
      <c r="A60" s="103" t="s">
        <v>878</v>
      </c>
      <c r="B60" s="103" t="s">
        <v>209</v>
      </c>
      <c r="C60" s="221" t="s">
        <v>561</v>
      </c>
      <c r="D60" s="135">
        <v>0</v>
      </c>
      <c r="E60" s="144">
        <v>0</v>
      </c>
      <c r="F60" s="135">
        <v>0</v>
      </c>
      <c r="G60" s="144">
        <v>0</v>
      </c>
    </row>
    <row r="61" spans="1:7" x14ac:dyDescent="0.25">
      <c r="A61" s="103" t="s">
        <v>1105</v>
      </c>
      <c r="B61" s="103" t="s">
        <v>443</v>
      </c>
      <c r="C61" s="221" t="s">
        <v>569</v>
      </c>
      <c r="D61" s="135">
        <v>0</v>
      </c>
      <c r="E61" s="144">
        <v>0</v>
      </c>
      <c r="F61" s="135">
        <v>0</v>
      </c>
      <c r="G61" s="144">
        <v>0</v>
      </c>
    </row>
    <row r="62" spans="1:7" x14ac:dyDescent="0.25">
      <c r="A62" s="103" t="s">
        <v>710</v>
      </c>
      <c r="B62" s="103" t="s">
        <v>936</v>
      </c>
      <c r="C62" s="221" t="s">
        <v>820</v>
      </c>
      <c r="D62" s="144">
        <v>-28704.98</v>
      </c>
      <c r="E62" s="144">
        <v>-4569.5600000000004</v>
      </c>
      <c r="F62" s="144">
        <v>-28704.98</v>
      </c>
      <c r="G62" s="144">
        <v>-4570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topLeftCell="A45"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86.1406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33.75" x14ac:dyDescent="0.25">
      <c r="A1" s="11" t="s">
        <v>633</v>
      </c>
      <c r="B1" s="11" t="s">
        <v>682</v>
      </c>
      <c r="C1" s="51" t="s">
        <v>767</v>
      </c>
      <c r="D1" s="157" t="s">
        <v>986</v>
      </c>
      <c r="E1" s="157" t="s">
        <v>1077</v>
      </c>
      <c r="F1" s="157" t="s">
        <v>303</v>
      </c>
      <c r="G1" s="157" t="s">
        <v>455</v>
      </c>
    </row>
    <row r="2" spans="1:7" x14ac:dyDescent="0.25">
      <c r="A2" s="70" t="s">
        <v>1123</v>
      </c>
      <c r="B2" s="70" t="s">
        <v>527</v>
      </c>
      <c r="C2" s="246" t="s">
        <v>515</v>
      </c>
      <c r="D2" s="162">
        <v>0</v>
      </c>
      <c r="E2" s="176">
        <v>0</v>
      </c>
      <c r="F2" s="162">
        <v>0</v>
      </c>
      <c r="G2" s="176">
        <v>0</v>
      </c>
    </row>
    <row r="3" spans="1:7" x14ac:dyDescent="0.25">
      <c r="A3" s="70" t="s">
        <v>853</v>
      </c>
      <c r="B3" s="70" t="s">
        <v>93</v>
      </c>
      <c r="C3" s="246" t="s">
        <v>1024</v>
      </c>
      <c r="D3" s="144">
        <v>59376.51</v>
      </c>
      <c r="E3" s="144">
        <v>40080.019999999997</v>
      </c>
      <c r="F3" s="144">
        <v>59376.51</v>
      </c>
      <c r="G3" s="144">
        <v>40080</v>
      </c>
    </row>
    <row r="4" spans="1:7" x14ac:dyDescent="0.25">
      <c r="A4" s="70" t="s">
        <v>415</v>
      </c>
      <c r="B4" s="70" t="s">
        <v>103</v>
      </c>
      <c r="C4" s="246" t="s">
        <v>495</v>
      </c>
      <c r="D4" s="176">
        <v>175</v>
      </c>
      <c r="E4" s="176">
        <v>0</v>
      </c>
      <c r="F4" s="176">
        <v>175</v>
      </c>
      <c r="G4" s="176">
        <v>0</v>
      </c>
    </row>
    <row r="5" spans="1:7" x14ac:dyDescent="0.25">
      <c r="A5" s="70" t="s">
        <v>516</v>
      </c>
      <c r="B5" s="70" t="s">
        <v>769</v>
      </c>
      <c r="C5" s="246" t="s">
        <v>59</v>
      </c>
      <c r="D5" s="162">
        <v>0</v>
      </c>
      <c r="E5" s="176">
        <v>0</v>
      </c>
      <c r="F5" s="162">
        <v>0</v>
      </c>
      <c r="G5" s="176">
        <v>0</v>
      </c>
    </row>
    <row r="6" spans="1:7" x14ac:dyDescent="0.25">
      <c r="A6" s="70" t="s">
        <v>421</v>
      </c>
      <c r="B6" s="70" t="s">
        <v>1098</v>
      </c>
      <c r="C6" s="246" t="s">
        <v>108</v>
      </c>
      <c r="D6" s="176">
        <v>58865.82</v>
      </c>
      <c r="E6" s="176">
        <v>39243.300000000003</v>
      </c>
      <c r="F6" s="176">
        <v>58865.82</v>
      </c>
      <c r="G6" s="176">
        <v>39243</v>
      </c>
    </row>
    <row r="7" spans="1:7" x14ac:dyDescent="0.25">
      <c r="A7" s="70" t="s">
        <v>264</v>
      </c>
      <c r="B7" s="70" t="s">
        <v>357</v>
      </c>
      <c r="C7" s="246" t="s">
        <v>417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305</v>
      </c>
      <c r="B8" s="70" t="s">
        <v>699</v>
      </c>
      <c r="C8" s="246" t="s">
        <v>392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25">
      <c r="A9" s="70" t="s">
        <v>1119</v>
      </c>
      <c r="B9" s="70" t="s">
        <v>396</v>
      </c>
      <c r="C9" s="246" t="s">
        <v>484</v>
      </c>
      <c r="D9" s="162">
        <v>0</v>
      </c>
      <c r="E9" s="176">
        <v>0</v>
      </c>
      <c r="F9" s="162">
        <v>0</v>
      </c>
      <c r="G9" s="176">
        <v>0</v>
      </c>
    </row>
    <row r="10" spans="1:7" x14ac:dyDescent="0.25">
      <c r="A10" s="70" t="s">
        <v>460</v>
      </c>
      <c r="B10" s="70" t="s">
        <v>639</v>
      </c>
      <c r="C10" s="246" t="s">
        <v>508</v>
      </c>
      <c r="D10" s="176">
        <v>335.69</v>
      </c>
      <c r="E10" s="176">
        <v>836.72</v>
      </c>
      <c r="F10" s="176">
        <v>335.69</v>
      </c>
      <c r="G10" s="176">
        <v>837</v>
      </c>
    </row>
    <row r="11" spans="1:7" x14ac:dyDescent="0.25">
      <c r="A11" s="70" t="s">
        <v>853</v>
      </c>
      <c r="B11" s="70" t="s">
        <v>1116</v>
      </c>
      <c r="C11" s="246" t="s">
        <v>339</v>
      </c>
      <c r="D11" s="176">
        <v>63841.13</v>
      </c>
      <c r="E11" s="176">
        <v>49069.32</v>
      </c>
      <c r="F11" s="176">
        <v>63841.13</v>
      </c>
      <c r="G11" s="176">
        <v>49069</v>
      </c>
    </row>
    <row r="12" spans="1:7" x14ac:dyDescent="0.25">
      <c r="A12" s="70" t="s">
        <v>805</v>
      </c>
      <c r="B12" s="70" t="s">
        <v>604</v>
      </c>
      <c r="C12" s="246" t="s">
        <v>822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321</v>
      </c>
      <c r="B13" s="70" t="s">
        <v>620</v>
      </c>
      <c r="C13" s="246" t="s">
        <v>1111</v>
      </c>
      <c r="D13" s="176">
        <v>1545.12</v>
      </c>
      <c r="E13" s="176">
        <v>0</v>
      </c>
      <c r="F13" s="176">
        <v>1545.12</v>
      </c>
      <c r="G13" s="176">
        <v>0</v>
      </c>
    </row>
    <row r="14" spans="1:7" x14ac:dyDescent="0.25">
      <c r="A14" s="70" t="s">
        <v>306</v>
      </c>
      <c r="B14" s="70" t="s">
        <v>603</v>
      </c>
      <c r="C14" s="246" t="s">
        <v>386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161</v>
      </c>
      <c r="B15" s="70" t="s">
        <v>428</v>
      </c>
      <c r="C15" s="246" t="s">
        <v>1109</v>
      </c>
      <c r="D15" s="176">
        <v>20838.62</v>
      </c>
      <c r="E15" s="176">
        <v>25639</v>
      </c>
      <c r="F15" s="176">
        <v>20838.62</v>
      </c>
      <c r="G15" s="176">
        <v>25638</v>
      </c>
    </row>
    <row r="16" spans="1:7" x14ac:dyDescent="0.25">
      <c r="A16" s="70" t="s">
        <v>798</v>
      </c>
      <c r="B16" s="70" t="s">
        <v>675</v>
      </c>
      <c r="C16" s="246" t="s">
        <v>1082</v>
      </c>
      <c r="D16" s="176">
        <v>31389.65</v>
      </c>
      <c r="E16" s="176">
        <v>14658.1</v>
      </c>
      <c r="F16" s="176">
        <v>31389.65</v>
      </c>
      <c r="G16" s="176">
        <v>14658</v>
      </c>
    </row>
    <row r="17" spans="1:7" x14ac:dyDescent="0.25">
      <c r="A17" s="70" t="s">
        <v>816</v>
      </c>
      <c r="B17" s="70" t="s">
        <v>403</v>
      </c>
      <c r="C17" s="246" t="s">
        <v>373</v>
      </c>
      <c r="D17" s="176">
        <v>23115.45</v>
      </c>
      <c r="E17" s="176">
        <v>10607.33</v>
      </c>
      <c r="F17" s="176">
        <v>23115.45</v>
      </c>
      <c r="G17" s="176">
        <v>10607</v>
      </c>
    </row>
    <row r="18" spans="1:7" x14ac:dyDescent="0.25">
      <c r="A18" s="70" t="s">
        <v>878</v>
      </c>
      <c r="B18" s="70" t="s">
        <v>993</v>
      </c>
      <c r="C18" s="246" t="s">
        <v>761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25">
      <c r="A19" s="70" t="s">
        <v>204</v>
      </c>
      <c r="B19" s="70" t="s">
        <v>369</v>
      </c>
      <c r="C19" s="246" t="s">
        <v>1120</v>
      </c>
      <c r="D19" s="176">
        <v>8136.46</v>
      </c>
      <c r="E19" s="176">
        <v>3733.62</v>
      </c>
      <c r="F19" s="176">
        <v>8136.46</v>
      </c>
      <c r="G19" s="176">
        <v>3734</v>
      </c>
    </row>
    <row r="20" spans="1:7" x14ac:dyDescent="0.25">
      <c r="A20" s="70" t="s">
        <v>380</v>
      </c>
      <c r="B20" s="70" t="s">
        <v>275</v>
      </c>
      <c r="C20" s="246" t="s">
        <v>327</v>
      </c>
      <c r="D20" s="176">
        <v>137.74</v>
      </c>
      <c r="E20" s="176">
        <v>317.14999999999998</v>
      </c>
      <c r="F20" s="176">
        <v>137.74</v>
      </c>
      <c r="G20" s="176">
        <v>317</v>
      </c>
    </row>
    <row r="21" spans="1:7" x14ac:dyDescent="0.25">
      <c r="A21" s="70" t="s">
        <v>755</v>
      </c>
      <c r="B21" s="70" t="s">
        <v>74</v>
      </c>
      <c r="C21" s="246" t="s">
        <v>1022</v>
      </c>
      <c r="D21" s="176">
        <v>608.5</v>
      </c>
      <c r="E21" s="176">
        <v>61.66</v>
      </c>
      <c r="F21" s="176">
        <v>608.5</v>
      </c>
      <c r="G21" s="176">
        <v>62</v>
      </c>
    </row>
    <row r="22" spans="1:7" x14ac:dyDescent="0.25">
      <c r="A22" s="70" t="s">
        <v>788</v>
      </c>
      <c r="B22" s="70" t="s">
        <v>218</v>
      </c>
      <c r="C22" s="246" t="s">
        <v>486</v>
      </c>
      <c r="D22" s="176">
        <v>1015.34</v>
      </c>
      <c r="E22" s="176">
        <v>1776</v>
      </c>
      <c r="F22" s="176">
        <v>1015.34</v>
      </c>
      <c r="G22" s="176">
        <v>1776</v>
      </c>
    </row>
    <row r="23" spans="1:7" x14ac:dyDescent="0.25">
      <c r="A23" s="70" t="s">
        <v>989</v>
      </c>
      <c r="B23" s="70" t="s">
        <v>837</v>
      </c>
      <c r="C23" s="246" t="s">
        <v>1108</v>
      </c>
      <c r="D23" s="176">
        <v>1015.34</v>
      </c>
      <c r="E23" s="176">
        <v>1776</v>
      </c>
      <c r="F23" s="176">
        <v>1015.34</v>
      </c>
      <c r="G23" s="176">
        <v>1776</v>
      </c>
    </row>
    <row r="24" spans="1:7" x14ac:dyDescent="0.25">
      <c r="A24" s="70" t="s">
        <v>878</v>
      </c>
      <c r="B24" s="70" t="s">
        <v>370</v>
      </c>
      <c r="C24" s="246" t="s">
        <v>520</v>
      </c>
      <c r="D24" s="162">
        <v>0</v>
      </c>
      <c r="E24" s="176">
        <v>0</v>
      </c>
      <c r="F24" s="162">
        <v>0</v>
      </c>
      <c r="G24" s="176">
        <v>0</v>
      </c>
    </row>
    <row r="25" spans="1:7" x14ac:dyDescent="0.25">
      <c r="A25" s="70" t="s">
        <v>747</v>
      </c>
      <c r="B25" s="70" t="s">
        <v>175</v>
      </c>
      <c r="C25" s="246" t="s">
        <v>72</v>
      </c>
      <c r="D25" s="162">
        <v>0</v>
      </c>
      <c r="E25" s="176">
        <v>0</v>
      </c>
      <c r="F25" s="162">
        <v>0</v>
      </c>
      <c r="G25" s="176">
        <v>0</v>
      </c>
    </row>
    <row r="26" spans="1:7" x14ac:dyDescent="0.25">
      <c r="A26" s="70" t="s">
        <v>415</v>
      </c>
      <c r="B26" s="70" t="s">
        <v>967</v>
      </c>
      <c r="C26" s="246" t="s">
        <v>453</v>
      </c>
      <c r="D26" s="162">
        <v>0</v>
      </c>
      <c r="E26" s="176">
        <v>6479.78</v>
      </c>
      <c r="F26" s="162">
        <v>0</v>
      </c>
      <c r="G26" s="176">
        <v>6480</v>
      </c>
    </row>
    <row r="27" spans="1:7" x14ac:dyDescent="0.25">
      <c r="A27" s="70" t="s">
        <v>374</v>
      </c>
      <c r="B27" s="70" t="s">
        <v>547</v>
      </c>
      <c r="C27" s="246" t="s">
        <v>145</v>
      </c>
      <c r="D27" s="176">
        <v>8443.9</v>
      </c>
      <c r="E27" s="176">
        <v>454.78</v>
      </c>
      <c r="F27" s="176">
        <v>8443.9</v>
      </c>
      <c r="G27" s="176">
        <v>455</v>
      </c>
    </row>
    <row r="28" spans="1:7" x14ac:dyDescent="0.25">
      <c r="A28" s="70" t="s">
        <v>872</v>
      </c>
      <c r="B28" s="70" t="s">
        <v>132</v>
      </c>
      <c r="C28" s="246" t="s">
        <v>506</v>
      </c>
      <c r="D28" s="176">
        <v>-4464.62</v>
      </c>
      <c r="E28" s="176">
        <v>-8989.2999999999993</v>
      </c>
      <c r="F28" s="176">
        <v>-4464.62</v>
      </c>
      <c r="G28" s="176">
        <v>-8989</v>
      </c>
    </row>
    <row r="29" spans="1:7" x14ac:dyDescent="0.25">
      <c r="A29" s="70" t="s">
        <v>1123</v>
      </c>
      <c r="B29" s="70" t="s">
        <v>57</v>
      </c>
      <c r="C29" s="246" t="s">
        <v>404</v>
      </c>
      <c r="D29" s="176">
        <v>36657.08</v>
      </c>
      <c r="E29" s="176">
        <v>13604.3</v>
      </c>
      <c r="F29" s="176">
        <v>36657.08</v>
      </c>
      <c r="G29" s="176">
        <v>13605</v>
      </c>
    </row>
    <row r="30" spans="1:7" x14ac:dyDescent="0.25">
      <c r="A30" s="70" t="s">
        <v>853</v>
      </c>
      <c r="B30" s="70" t="s">
        <v>1040</v>
      </c>
      <c r="C30" s="246" t="s">
        <v>429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25">
      <c r="A31" s="70" t="s">
        <v>1117</v>
      </c>
      <c r="B31" s="70" t="s">
        <v>1104</v>
      </c>
      <c r="C31" s="246" t="s">
        <v>759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139</v>
      </c>
      <c r="B32" s="70" t="s">
        <v>382</v>
      </c>
      <c r="C32" s="246" t="s">
        <v>260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907</v>
      </c>
      <c r="B33" s="70" t="s">
        <v>1118</v>
      </c>
      <c r="C33" s="246" t="s">
        <v>514</v>
      </c>
      <c r="D33" s="162">
        <v>0</v>
      </c>
      <c r="E33" s="176">
        <v>0</v>
      </c>
      <c r="F33" s="162">
        <v>0</v>
      </c>
      <c r="G33" s="176">
        <v>0</v>
      </c>
    </row>
    <row r="34" spans="1:7" x14ac:dyDescent="0.25">
      <c r="A34" s="70" t="s">
        <v>878</v>
      </c>
      <c r="B34" s="70" t="s">
        <v>974</v>
      </c>
      <c r="C34" s="246" t="s">
        <v>302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204</v>
      </c>
      <c r="B35" s="70" t="s">
        <v>568</v>
      </c>
      <c r="C35" s="246" t="s">
        <v>650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153</v>
      </c>
      <c r="B36" s="70" t="s">
        <v>183</v>
      </c>
      <c r="C36" s="246" t="s">
        <v>927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694</v>
      </c>
      <c r="B37" s="70" t="s">
        <v>481</v>
      </c>
      <c r="C37" s="246" t="s">
        <v>198</v>
      </c>
      <c r="D37" s="162">
        <v>0</v>
      </c>
      <c r="E37" s="176">
        <v>0</v>
      </c>
      <c r="F37" s="162">
        <v>0</v>
      </c>
      <c r="G37" s="176">
        <v>0</v>
      </c>
    </row>
    <row r="38" spans="1:7" x14ac:dyDescent="0.25">
      <c r="A38" s="70" t="s">
        <v>878</v>
      </c>
      <c r="B38" s="70" t="s">
        <v>956</v>
      </c>
      <c r="C38" s="246" t="s">
        <v>101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25">
      <c r="A39" s="70" t="s">
        <v>204</v>
      </c>
      <c r="B39" s="70" t="s">
        <v>372</v>
      </c>
      <c r="C39" s="246" t="s">
        <v>261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590</v>
      </c>
      <c r="B40" s="70" t="s">
        <v>418</v>
      </c>
      <c r="C40" s="246" t="s">
        <v>856</v>
      </c>
      <c r="D40" s="162">
        <v>0</v>
      </c>
      <c r="E40" s="176">
        <v>0</v>
      </c>
      <c r="F40" s="162">
        <v>0</v>
      </c>
      <c r="G40" s="176">
        <v>0</v>
      </c>
    </row>
    <row r="41" spans="1:7" x14ac:dyDescent="0.25">
      <c r="A41" s="70" t="s">
        <v>472</v>
      </c>
      <c r="B41" s="70" t="s">
        <v>1011</v>
      </c>
      <c r="C41" s="246" t="s">
        <v>529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878</v>
      </c>
      <c r="B42" s="70" t="s">
        <v>774</v>
      </c>
      <c r="C42" s="246" t="s">
        <v>1065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25">
      <c r="A43" s="70" t="s">
        <v>629</v>
      </c>
      <c r="B43" s="70" t="s">
        <v>435</v>
      </c>
      <c r="C43" s="246" t="s">
        <v>940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987</v>
      </c>
      <c r="B44" s="70" t="s">
        <v>925</v>
      </c>
      <c r="C44" s="246" t="s">
        <v>343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180</v>
      </c>
      <c r="B45" s="70" t="s">
        <v>250</v>
      </c>
      <c r="C45" s="246" t="s">
        <v>909</v>
      </c>
      <c r="D45" s="162">
        <v>0</v>
      </c>
      <c r="E45" s="176">
        <v>0</v>
      </c>
      <c r="F45" s="162">
        <v>0</v>
      </c>
      <c r="G45" s="176">
        <v>0</v>
      </c>
    </row>
    <row r="46" spans="1:7" x14ac:dyDescent="0.25">
      <c r="A46" s="70" t="s">
        <v>853</v>
      </c>
      <c r="B46" s="70" t="s">
        <v>845</v>
      </c>
      <c r="C46" s="246" t="s">
        <v>553</v>
      </c>
      <c r="D46" s="176">
        <v>104.94</v>
      </c>
      <c r="E46" s="176">
        <v>88.86</v>
      </c>
      <c r="F46" s="176">
        <v>104.94</v>
      </c>
      <c r="G46" s="176">
        <v>89</v>
      </c>
    </row>
    <row r="47" spans="1:7" x14ac:dyDescent="0.25">
      <c r="A47" s="70" t="s">
        <v>307</v>
      </c>
      <c r="B47" s="70" t="s">
        <v>850</v>
      </c>
      <c r="C47" s="246" t="s">
        <v>43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500</v>
      </c>
      <c r="B48" s="70" t="s">
        <v>457</v>
      </c>
      <c r="C48" s="246" t="s">
        <v>565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663</v>
      </c>
      <c r="B49" s="70" t="s">
        <v>294</v>
      </c>
      <c r="C49" s="246" t="s">
        <v>1043</v>
      </c>
      <c r="D49" s="162">
        <v>0</v>
      </c>
      <c r="E49" s="176">
        <v>0</v>
      </c>
      <c r="F49" s="162">
        <v>0</v>
      </c>
      <c r="G49" s="176">
        <v>0</v>
      </c>
    </row>
    <row r="50" spans="1:7" x14ac:dyDescent="0.25">
      <c r="A50" s="70" t="s">
        <v>425</v>
      </c>
      <c r="B50" s="70" t="s">
        <v>984</v>
      </c>
      <c r="C50" s="246" t="s">
        <v>187</v>
      </c>
      <c r="D50" s="162">
        <v>0</v>
      </c>
      <c r="E50" s="176">
        <v>0</v>
      </c>
      <c r="F50" s="162">
        <v>0</v>
      </c>
      <c r="G50" s="176">
        <v>0</v>
      </c>
    </row>
    <row r="51" spans="1:7" x14ac:dyDescent="0.25">
      <c r="A51" s="70" t="s">
        <v>69</v>
      </c>
      <c r="B51" s="70" t="s">
        <v>904</v>
      </c>
      <c r="C51" s="246" t="s">
        <v>879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878</v>
      </c>
      <c r="B52" s="70" t="s">
        <v>488</v>
      </c>
      <c r="C52" s="246" t="s">
        <v>37</v>
      </c>
      <c r="D52" s="162">
        <v>0</v>
      </c>
      <c r="E52" s="176">
        <v>0</v>
      </c>
      <c r="F52" s="162">
        <v>0</v>
      </c>
      <c r="G52" s="176">
        <v>0</v>
      </c>
    </row>
    <row r="53" spans="1:7" x14ac:dyDescent="0.25">
      <c r="A53" s="70" t="s">
        <v>1112</v>
      </c>
      <c r="B53" s="70" t="s">
        <v>120</v>
      </c>
      <c r="C53" s="246" t="s">
        <v>560</v>
      </c>
      <c r="D53" s="162">
        <v>0</v>
      </c>
      <c r="E53" s="176">
        <v>0</v>
      </c>
      <c r="F53" s="162">
        <v>0</v>
      </c>
      <c r="G53" s="176">
        <v>0</v>
      </c>
    </row>
    <row r="54" spans="1:7" x14ac:dyDescent="0.25">
      <c r="A54" s="70" t="s">
        <v>433</v>
      </c>
      <c r="B54" s="70" t="s">
        <v>463</v>
      </c>
      <c r="C54" s="246" t="s">
        <v>498</v>
      </c>
      <c r="D54" s="162">
        <v>0</v>
      </c>
      <c r="E54" s="176">
        <v>0</v>
      </c>
      <c r="F54" s="162">
        <v>0</v>
      </c>
      <c r="G54" s="176">
        <v>0</v>
      </c>
    </row>
    <row r="55" spans="1:7" x14ac:dyDescent="0.25">
      <c r="A55" s="70" t="s">
        <v>762</v>
      </c>
      <c r="B55" s="70" t="s">
        <v>411</v>
      </c>
      <c r="C55" s="246" t="s">
        <v>712</v>
      </c>
      <c r="D55" s="176">
        <v>104.94</v>
      </c>
      <c r="E55" s="176">
        <v>88.86</v>
      </c>
      <c r="F55" s="176">
        <v>104.94</v>
      </c>
      <c r="G55" s="176">
        <v>89</v>
      </c>
    </row>
    <row r="56" spans="1:7" x14ac:dyDescent="0.25">
      <c r="A56" s="70" t="s">
        <v>872</v>
      </c>
      <c r="B56" s="70" t="s">
        <v>296</v>
      </c>
      <c r="C56" s="246" t="s">
        <v>1074</v>
      </c>
      <c r="D56" s="176">
        <v>-104.94</v>
      </c>
      <c r="E56" s="176">
        <v>-88.86</v>
      </c>
      <c r="F56" s="176">
        <v>-104.94</v>
      </c>
      <c r="G56" s="176">
        <v>-89</v>
      </c>
    </row>
    <row r="57" spans="1:7" x14ac:dyDescent="0.25">
      <c r="A57" s="70" t="s">
        <v>710</v>
      </c>
      <c r="B57" s="70" t="s">
        <v>1093</v>
      </c>
      <c r="C57" s="246" t="s">
        <v>193</v>
      </c>
      <c r="D57" s="176">
        <v>-4569.5600000000004</v>
      </c>
      <c r="E57" s="176">
        <v>-9078.16</v>
      </c>
      <c r="F57" s="176">
        <v>-4569.5600000000004</v>
      </c>
      <c r="G57" s="176">
        <v>-9078</v>
      </c>
    </row>
    <row r="58" spans="1:7" x14ac:dyDescent="0.25">
      <c r="A58" s="70" t="s">
        <v>791</v>
      </c>
      <c r="B58" s="70" t="s">
        <v>608</v>
      </c>
      <c r="C58" s="246" t="s">
        <v>297</v>
      </c>
      <c r="D58" s="176">
        <v>0</v>
      </c>
      <c r="E58" s="176">
        <v>0</v>
      </c>
      <c r="F58" s="176">
        <v>0</v>
      </c>
      <c r="G58" s="176">
        <v>0</v>
      </c>
    </row>
    <row r="59" spans="1:7" x14ac:dyDescent="0.25">
      <c r="A59" s="70" t="s">
        <v>480</v>
      </c>
      <c r="B59" s="70" t="s">
        <v>766</v>
      </c>
      <c r="C59" s="246" t="s">
        <v>550</v>
      </c>
      <c r="D59" s="176">
        <v>0</v>
      </c>
      <c r="E59" s="176">
        <v>0</v>
      </c>
      <c r="F59" s="176">
        <v>0</v>
      </c>
      <c r="G59" s="176">
        <v>0</v>
      </c>
    </row>
    <row r="60" spans="1:7" x14ac:dyDescent="0.25">
      <c r="A60" s="70" t="s">
        <v>878</v>
      </c>
      <c r="B60" s="70" t="s">
        <v>209</v>
      </c>
      <c r="C60" s="246" t="s">
        <v>561</v>
      </c>
      <c r="D60" s="162">
        <v>0</v>
      </c>
      <c r="E60" s="176">
        <v>0</v>
      </c>
      <c r="F60" s="162">
        <v>0</v>
      </c>
      <c r="G60" s="176">
        <v>0</v>
      </c>
    </row>
    <row r="61" spans="1:7" x14ac:dyDescent="0.25">
      <c r="A61" s="70" t="s">
        <v>1105</v>
      </c>
      <c r="B61" s="70" t="s">
        <v>443</v>
      </c>
      <c r="C61" s="246" t="s">
        <v>569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710</v>
      </c>
      <c r="B62" s="70" t="s">
        <v>936</v>
      </c>
      <c r="C62" s="246" t="s">
        <v>820</v>
      </c>
      <c r="D62" s="176">
        <v>-4569.5600000000004</v>
      </c>
      <c r="E62" s="176">
        <v>-9078.16</v>
      </c>
      <c r="F62" s="176">
        <v>-4569.5600000000004</v>
      </c>
      <c r="G62" s="176">
        <v>-9078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181" customWidth="1"/>
    <col min="2" max="2" width="63.5703125" style="181" customWidth="1"/>
    <col min="3" max="3" width="4.42578125" style="147" customWidth="1"/>
    <col min="4" max="11" width="15.28515625" style="6" customWidth="1"/>
    <col min="12" max="16384" width="9.140625" style="112"/>
  </cols>
  <sheetData>
    <row r="1" spans="1:11" ht="22.5" x14ac:dyDescent="0.25">
      <c r="A1" s="11" t="s">
        <v>633</v>
      </c>
      <c r="B1" s="11" t="s">
        <v>473</v>
      </c>
      <c r="C1" s="51" t="s">
        <v>767</v>
      </c>
      <c r="D1" s="157" t="s">
        <v>1064</v>
      </c>
      <c r="E1" s="157" t="s">
        <v>1057</v>
      </c>
      <c r="F1" s="157" t="s">
        <v>281</v>
      </c>
      <c r="G1" s="157" t="s">
        <v>621</v>
      </c>
      <c r="H1" s="157" t="s">
        <v>299</v>
      </c>
      <c r="I1" s="157" t="s">
        <v>478</v>
      </c>
      <c r="J1" s="157" t="s">
        <v>634</v>
      </c>
      <c r="K1" s="157" t="s">
        <v>455</v>
      </c>
    </row>
    <row r="2" spans="1:11" x14ac:dyDescent="0.25">
      <c r="A2" s="103" t="s">
        <v>931</v>
      </c>
      <c r="B2" s="103" t="s">
        <v>1052</v>
      </c>
      <c r="C2" s="221" t="s">
        <v>905</v>
      </c>
      <c r="D2" s="144">
        <v>30137.25</v>
      </c>
      <c r="E2" s="144">
        <v>13563.12</v>
      </c>
      <c r="F2" s="144">
        <v>16574.13</v>
      </c>
      <c r="G2" s="144">
        <v>36878.589999999997</v>
      </c>
      <c r="H2" s="144">
        <v>30137.25</v>
      </c>
      <c r="I2" s="144">
        <v>13563.12</v>
      </c>
      <c r="J2" s="144">
        <v>16574.13</v>
      </c>
      <c r="K2" s="144">
        <v>36879</v>
      </c>
    </row>
    <row r="3" spans="1:11" x14ac:dyDescent="0.25">
      <c r="A3" s="103" t="s">
        <v>805</v>
      </c>
      <c r="B3" s="103" t="s">
        <v>1025</v>
      </c>
      <c r="C3" s="221" t="s">
        <v>400</v>
      </c>
      <c r="D3" s="144">
        <v>7083.34</v>
      </c>
      <c r="E3" s="144">
        <v>7083.34</v>
      </c>
      <c r="F3" s="144">
        <v>0</v>
      </c>
      <c r="G3" s="144">
        <v>0</v>
      </c>
      <c r="H3" s="144">
        <v>7083.34</v>
      </c>
      <c r="I3" s="144">
        <v>7083.34</v>
      </c>
      <c r="J3" s="144">
        <v>0</v>
      </c>
      <c r="K3" s="144">
        <v>0</v>
      </c>
    </row>
    <row r="4" spans="1:11" x14ac:dyDescent="0.25">
      <c r="A4" s="103" t="s">
        <v>985</v>
      </c>
      <c r="B4" s="103" t="s">
        <v>586</v>
      </c>
      <c r="C4" s="221" t="s">
        <v>75</v>
      </c>
      <c r="D4" s="135">
        <v>0</v>
      </c>
      <c r="E4" s="135">
        <v>0</v>
      </c>
      <c r="F4" s="135">
        <v>0</v>
      </c>
      <c r="G4" s="144">
        <v>0</v>
      </c>
      <c r="H4" s="135">
        <v>0</v>
      </c>
      <c r="I4" s="135">
        <v>0</v>
      </c>
      <c r="J4" s="135">
        <v>0</v>
      </c>
      <c r="K4" s="144">
        <v>0</v>
      </c>
    </row>
    <row r="5" spans="1:11" x14ac:dyDescent="0.25">
      <c r="A5" s="103" t="s">
        <v>642</v>
      </c>
      <c r="B5" s="103" t="s">
        <v>714</v>
      </c>
      <c r="C5" s="221" t="s">
        <v>131</v>
      </c>
      <c r="D5" s="135">
        <v>0</v>
      </c>
      <c r="E5" s="135">
        <v>0</v>
      </c>
      <c r="F5" s="135">
        <v>0</v>
      </c>
      <c r="G5" s="144">
        <v>0</v>
      </c>
      <c r="H5" s="135">
        <v>0</v>
      </c>
      <c r="I5" s="135">
        <v>0</v>
      </c>
      <c r="J5" s="135">
        <v>0</v>
      </c>
      <c r="K5" s="144">
        <v>0</v>
      </c>
    </row>
    <row r="6" spans="1:11" x14ac:dyDescent="0.25">
      <c r="A6" s="103" t="s">
        <v>878</v>
      </c>
      <c r="B6" s="103" t="s">
        <v>674</v>
      </c>
      <c r="C6" s="221" t="s">
        <v>464</v>
      </c>
      <c r="D6" s="135">
        <v>0</v>
      </c>
      <c r="E6" s="135">
        <v>0</v>
      </c>
      <c r="F6" s="135">
        <v>0</v>
      </c>
      <c r="G6" s="144">
        <v>0</v>
      </c>
      <c r="H6" s="135">
        <v>0</v>
      </c>
      <c r="I6" s="135">
        <v>0</v>
      </c>
      <c r="J6" s="135">
        <v>0</v>
      </c>
      <c r="K6" s="144">
        <v>0</v>
      </c>
    </row>
    <row r="7" spans="1:11" x14ac:dyDescent="0.25">
      <c r="A7" s="103" t="s">
        <v>204</v>
      </c>
      <c r="B7" s="103" t="s">
        <v>658</v>
      </c>
      <c r="C7" s="221" t="s">
        <v>647</v>
      </c>
      <c r="D7" s="135">
        <v>0</v>
      </c>
      <c r="E7" s="135">
        <v>0</v>
      </c>
      <c r="F7" s="135">
        <v>0</v>
      </c>
      <c r="G7" s="144">
        <v>0</v>
      </c>
      <c r="H7" s="135">
        <v>0</v>
      </c>
      <c r="I7" s="135">
        <v>0</v>
      </c>
      <c r="J7" s="135">
        <v>0</v>
      </c>
      <c r="K7" s="144">
        <v>0</v>
      </c>
    </row>
    <row r="8" spans="1:11" x14ac:dyDescent="0.25">
      <c r="A8" s="103" t="s">
        <v>380</v>
      </c>
      <c r="B8" s="103" t="s">
        <v>725</v>
      </c>
      <c r="C8" s="221" t="s">
        <v>722</v>
      </c>
      <c r="D8" s="135">
        <v>0</v>
      </c>
      <c r="E8" s="135">
        <v>0</v>
      </c>
      <c r="F8" s="135">
        <v>0</v>
      </c>
      <c r="G8" s="144">
        <v>0</v>
      </c>
      <c r="H8" s="135">
        <v>0</v>
      </c>
      <c r="I8" s="135">
        <v>0</v>
      </c>
      <c r="J8" s="135">
        <v>0</v>
      </c>
      <c r="K8" s="144">
        <v>0</v>
      </c>
    </row>
    <row r="9" spans="1:11" x14ac:dyDescent="0.25">
      <c r="A9" s="103" t="s">
        <v>461</v>
      </c>
      <c r="B9" s="103" t="s">
        <v>493</v>
      </c>
      <c r="C9" s="221" t="s">
        <v>869</v>
      </c>
      <c r="D9" s="135">
        <v>0</v>
      </c>
      <c r="E9" s="135">
        <v>0</v>
      </c>
      <c r="F9" s="135">
        <v>0</v>
      </c>
      <c r="G9" s="144">
        <v>0</v>
      </c>
      <c r="H9" s="135">
        <v>0</v>
      </c>
      <c r="I9" s="135">
        <v>0</v>
      </c>
      <c r="J9" s="135">
        <v>0</v>
      </c>
      <c r="K9" s="144">
        <v>0</v>
      </c>
    </row>
    <row r="10" spans="1:11" x14ac:dyDescent="0.25">
      <c r="A10" s="103" t="s">
        <v>881</v>
      </c>
      <c r="B10" s="103" t="s">
        <v>426</v>
      </c>
      <c r="C10" s="221" t="s">
        <v>545</v>
      </c>
      <c r="D10" s="135">
        <v>0</v>
      </c>
      <c r="E10" s="135">
        <v>0</v>
      </c>
      <c r="F10" s="135">
        <v>0</v>
      </c>
      <c r="G10" s="144">
        <v>0</v>
      </c>
      <c r="H10" s="135">
        <v>0</v>
      </c>
      <c r="I10" s="135">
        <v>0</v>
      </c>
      <c r="J10" s="135">
        <v>0</v>
      </c>
      <c r="K10" s="144">
        <v>0</v>
      </c>
    </row>
    <row r="11" spans="1:11" x14ac:dyDescent="0.25">
      <c r="A11" s="103" t="s">
        <v>922</v>
      </c>
      <c r="B11" s="103" t="s">
        <v>511</v>
      </c>
      <c r="C11" s="221" t="s">
        <v>890</v>
      </c>
      <c r="D11" s="135">
        <v>0</v>
      </c>
      <c r="E11" s="135">
        <v>0</v>
      </c>
      <c r="F11" s="135">
        <v>0</v>
      </c>
      <c r="G11" s="144">
        <v>0</v>
      </c>
      <c r="H11" s="135">
        <v>0</v>
      </c>
      <c r="I11" s="135">
        <v>0</v>
      </c>
      <c r="J11" s="135">
        <v>0</v>
      </c>
      <c r="K11" s="144">
        <v>0</v>
      </c>
    </row>
    <row r="12" spans="1:11" x14ac:dyDescent="0.25">
      <c r="A12" s="103" t="s">
        <v>82</v>
      </c>
      <c r="B12" s="103" t="s">
        <v>871</v>
      </c>
      <c r="C12" s="221" t="s">
        <v>876</v>
      </c>
      <c r="D12" s="144">
        <v>7083.34</v>
      </c>
      <c r="E12" s="144">
        <v>7083.34</v>
      </c>
      <c r="F12" s="144">
        <v>0</v>
      </c>
      <c r="G12" s="144">
        <v>0</v>
      </c>
      <c r="H12" s="144">
        <v>7083.34</v>
      </c>
      <c r="I12" s="144">
        <v>7083.34</v>
      </c>
      <c r="J12" s="144">
        <v>0</v>
      </c>
      <c r="K12" s="144">
        <v>0</v>
      </c>
    </row>
    <row r="13" spans="1:11" x14ac:dyDescent="0.25">
      <c r="A13" s="103" t="s">
        <v>477</v>
      </c>
      <c r="B13" s="103" t="s">
        <v>24</v>
      </c>
      <c r="C13" s="221" t="s">
        <v>349</v>
      </c>
      <c r="D13" s="135">
        <v>0</v>
      </c>
      <c r="E13" s="135">
        <v>0</v>
      </c>
      <c r="F13" s="135">
        <v>0</v>
      </c>
      <c r="G13" s="144">
        <v>0</v>
      </c>
      <c r="H13" s="135">
        <v>0</v>
      </c>
      <c r="I13" s="135">
        <v>0</v>
      </c>
      <c r="J13" s="135">
        <v>0</v>
      </c>
      <c r="K13" s="144">
        <v>0</v>
      </c>
    </row>
    <row r="14" spans="1:11" x14ac:dyDescent="0.25">
      <c r="A14" s="103" t="s">
        <v>878</v>
      </c>
      <c r="B14" s="103" t="s">
        <v>483</v>
      </c>
      <c r="C14" s="221" t="s">
        <v>135</v>
      </c>
      <c r="D14" s="135">
        <v>0</v>
      </c>
      <c r="E14" s="135">
        <v>0</v>
      </c>
      <c r="F14" s="135">
        <v>0</v>
      </c>
      <c r="G14" s="144">
        <v>0</v>
      </c>
      <c r="H14" s="135">
        <v>0</v>
      </c>
      <c r="I14" s="135">
        <v>0</v>
      </c>
      <c r="J14" s="135">
        <v>0</v>
      </c>
      <c r="K14" s="144">
        <v>0</v>
      </c>
    </row>
    <row r="15" spans="1:11" x14ac:dyDescent="0.25">
      <c r="A15" s="103" t="s">
        <v>204</v>
      </c>
      <c r="B15" s="103" t="s">
        <v>696</v>
      </c>
      <c r="C15" s="221" t="s">
        <v>117</v>
      </c>
      <c r="D15" s="144">
        <v>7083.34</v>
      </c>
      <c r="E15" s="144">
        <v>7083.34</v>
      </c>
      <c r="F15" s="144">
        <v>0</v>
      </c>
      <c r="G15" s="144">
        <v>0</v>
      </c>
      <c r="H15" s="144">
        <v>7083.34</v>
      </c>
      <c r="I15" s="144">
        <v>7083.34</v>
      </c>
      <c r="J15" s="144">
        <v>0</v>
      </c>
      <c r="K15" s="144">
        <v>0</v>
      </c>
    </row>
    <row r="16" spans="1:11" x14ac:dyDescent="0.25">
      <c r="A16" s="103" t="s">
        <v>380</v>
      </c>
      <c r="B16" s="103" t="s">
        <v>1046</v>
      </c>
      <c r="C16" s="221" t="s">
        <v>517</v>
      </c>
      <c r="D16" s="135">
        <v>0</v>
      </c>
      <c r="E16" s="135">
        <v>0</v>
      </c>
      <c r="F16" s="135">
        <v>0</v>
      </c>
      <c r="G16" s="144">
        <v>0</v>
      </c>
      <c r="H16" s="135">
        <v>0</v>
      </c>
      <c r="I16" s="135">
        <v>0</v>
      </c>
      <c r="J16" s="135">
        <v>0</v>
      </c>
      <c r="K16" s="144">
        <v>0</v>
      </c>
    </row>
    <row r="17" spans="1:11" x14ac:dyDescent="0.25">
      <c r="A17" s="103" t="s">
        <v>461</v>
      </c>
      <c r="B17" s="103" t="s">
        <v>913</v>
      </c>
      <c r="C17" s="221" t="s">
        <v>549</v>
      </c>
      <c r="D17" s="135">
        <v>0</v>
      </c>
      <c r="E17" s="135">
        <v>0</v>
      </c>
      <c r="F17" s="135">
        <v>0</v>
      </c>
      <c r="G17" s="144">
        <v>0</v>
      </c>
      <c r="H17" s="135">
        <v>0</v>
      </c>
      <c r="I17" s="135">
        <v>0</v>
      </c>
      <c r="J17" s="135">
        <v>0</v>
      </c>
      <c r="K17" s="144">
        <v>0</v>
      </c>
    </row>
    <row r="18" spans="1:11" x14ac:dyDescent="0.25">
      <c r="A18" s="103" t="s">
        <v>881</v>
      </c>
      <c r="B18" s="103" t="s">
        <v>254</v>
      </c>
      <c r="C18" s="221" t="s">
        <v>431</v>
      </c>
      <c r="D18" s="135">
        <v>0</v>
      </c>
      <c r="E18" s="135">
        <v>0</v>
      </c>
      <c r="F18" s="135">
        <v>0</v>
      </c>
      <c r="G18" s="144">
        <v>0</v>
      </c>
      <c r="H18" s="135">
        <v>0</v>
      </c>
      <c r="I18" s="135">
        <v>0</v>
      </c>
      <c r="J18" s="135">
        <v>0</v>
      </c>
      <c r="K18" s="144">
        <v>0</v>
      </c>
    </row>
    <row r="19" spans="1:11" x14ac:dyDescent="0.25">
      <c r="A19" s="103" t="s">
        <v>922</v>
      </c>
      <c r="B19" s="103" t="s">
        <v>1124</v>
      </c>
      <c r="C19" s="221" t="s">
        <v>20</v>
      </c>
      <c r="D19" s="135">
        <v>0</v>
      </c>
      <c r="E19" s="135">
        <v>0</v>
      </c>
      <c r="F19" s="135">
        <v>0</v>
      </c>
      <c r="G19" s="144">
        <v>0</v>
      </c>
      <c r="H19" s="135">
        <v>0</v>
      </c>
      <c r="I19" s="135">
        <v>0</v>
      </c>
      <c r="J19" s="135">
        <v>0</v>
      </c>
      <c r="K19" s="144">
        <v>0</v>
      </c>
    </row>
    <row r="20" spans="1:11" x14ac:dyDescent="0.25">
      <c r="A20" s="103" t="s">
        <v>846</v>
      </c>
      <c r="B20" s="103" t="s">
        <v>225</v>
      </c>
      <c r="C20" s="221" t="s">
        <v>1018</v>
      </c>
      <c r="D20" s="135">
        <v>0</v>
      </c>
      <c r="E20" s="135">
        <v>0</v>
      </c>
      <c r="F20" s="135">
        <v>0</v>
      </c>
      <c r="G20" s="144">
        <v>0</v>
      </c>
      <c r="H20" s="135">
        <v>0</v>
      </c>
      <c r="I20" s="135">
        <v>0</v>
      </c>
      <c r="J20" s="135">
        <v>0</v>
      </c>
      <c r="K20" s="144">
        <v>0</v>
      </c>
    </row>
    <row r="21" spans="1:11" x14ac:dyDescent="0.25">
      <c r="A21" s="103" t="s">
        <v>34</v>
      </c>
      <c r="B21" s="103" t="s">
        <v>981</v>
      </c>
      <c r="C21" s="221" t="s">
        <v>279</v>
      </c>
      <c r="D21" s="135">
        <v>0</v>
      </c>
      <c r="E21" s="135">
        <v>0</v>
      </c>
      <c r="F21" s="135">
        <v>0</v>
      </c>
      <c r="G21" s="144">
        <v>0</v>
      </c>
      <c r="H21" s="135">
        <v>0</v>
      </c>
      <c r="I21" s="135">
        <v>0</v>
      </c>
      <c r="J21" s="135">
        <v>0</v>
      </c>
      <c r="K21" s="144">
        <v>0</v>
      </c>
    </row>
    <row r="22" spans="1:11" x14ac:dyDescent="0.25">
      <c r="A22" s="103" t="s">
        <v>1055</v>
      </c>
      <c r="B22" s="103" t="s">
        <v>287</v>
      </c>
      <c r="C22" s="221" t="s">
        <v>8</v>
      </c>
      <c r="D22" s="135">
        <v>0</v>
      </c>
      <c r="E22" s="135">
        <v>0</v>
      </c>
      <c r="F22" s="135">
        <v>0</v>
      </c>
      <c r="G22" s="144">
        <v>0</v>
      </c>
      <c r="H22" s="135">
        <v>0</v>
      </c>
      <c r="I22" s="135">
        <v>0</v>
      </c>
      <c r="J22" s="135">
        <v>0</v>
      </c>
      <c r="K22" s="144">
        <v>0</v>
      </c>
    </row>
    <row r="23" spans="1:11" x14ac:dyDescent="0.25">
      <c r="A23" s="103" t="s">
        <v>531</v>
      </c>
      <c r="B23" s="103" t="s">
        <v>886</v>
      </c>
      <c r="C23" s="221" t="s">
        <v>831</v>
      </c>
      <c r="D23" s="135">
        <v>0</v>
      </c>
      <c r="E23" s="135">
        <v>0</v>
      </c>
      <c r="F23" s="135">
        <v>0</v>
      </c>
      <c r="G23" s="144">
        <v>0</v>
      </c>
      <c r="H23" s="135">
        <v>0</v>
      </c>
      <c r="I23" s="135">
        <v>0</v>
      </c>
      <c r="J23" s="135">
        <v>0</v>
      </c>
      <c r="K23" s="144">
        <v>0</v>
      </c>
    </row>
    <row r="24" spans="1:11" x14ac:dyDescent="0.25">
      <c r="A24" s="103" t="s">
        <v>878</v>
      </c>
      <c r="B24" s="103" t="s">
        <v>310</v>
      </c>
      <c r="C24" s="221" t="s">
        <v>992</v>
      </c>
      <c r="D24" s="135">
        <v>0</v>
      </c>
      <c r="E24" s="135">
        <v>0</v>
      </c>
      <c r="F24" s="135">
        <v>0</v>
      </c>
      <c r="G24" s="144">
        <v>0</v>
      </c>
      <c r="H24" s="135">
        <v>0</v>
      </c>
      <c r="I24" s="135">
        <v>0</v>
      </c>
      <c r="J24" s="135">
        <v>0</v>
      </c>
      <c r="K24" s="144">
        <v>0</v>
      </c>
    </row>
    <row r="25" spans="1:11" x14ac:dyDescent="0.25">
      <c r="A25" s="103" t="s">
        <v>204</v>
      </c>
      <c r="B25" s="103" t="s">
        <v>41</v>
      </c>
      <c r="C25" s="221" t="s">
        <v>536</v>
      </c>
      <c r="D25" s="135">
        <v>0</v>
      </c>
      <c r="E25" s="135">
        <v>0</v>
      </c>
      <c r="F25" s="135">
        <v>0</v>
      </c>
      <c r="G25" s="144">
        <v>0</v>
      </c>
      <c r="H25" s="135">
        <v>0</v>
      </c>
      <c r="I25" s="135">
        <v>0</v>
      </c>
      <c r="J25" s="135">
        <v>0</v>
      </c>
      <c r="K25" s="144">
        <v>0</v>
      </c>
    </row>
    <row r="26" spans="1:11" x14ac:dyDescent="0.25">
      <c r="A26" s="103" t="s">
        <v>380</v>
      </c>
      <c r="B26" s="103" t="s">
        <v>118</v>
      </c>
      <c r="C26" s="221" t="s">
        <v>552</v>
      </c>
      <c r="D26" s="135">
        <v>0</v>
      </c>
      <c r="E26" s="135">
        <v>0</v>
      </c>
      <c r="F26" s="135">
        <v>0</v>
      </c>
      <c r="G26" s="144">
        <v>0</v>
      </c>
      <c r="H26" s="135">
        <v>0</v>
      </c>
      <c r="I26" s="135">
        <v>0</v>
      </c>
      <c r="J26" s="135">
        <v>0</v>
      </c>
      <c r="K26" s="144">
        <v>0</v>
      </c>
    </row>
    <row r="27" spans="1:11" x14ac:dyDescent="0.25">
      <c r="A27" s="103" t="s">
        <v>461</v>
      </c>
      <c r="B27" s="103" t="s">
        <v>764</v>
      </c>
      <c r="C27" s="221" t="s">
        <v>58</v>
      </c>
      <c r="D27" s="135">
        <v>0</v>
      </c>
      <c r="E27" s="135">
        <v>0</v>
      </c>
      <c r="F27" s="135">
        <v>0</v>
      </c>
      <c r="G27" s="144">
        <v>0</v>
      </c>
      <c r="H27" s="135">
        <v>0</v>
      </c>
      <c r="I27" s="135">
        <v>0</v>
      </c>
      <c r="J27" s="135">
        <v>0</v>
      </c>
      <c r="K27" s="144">
        <v>0</v>
      </c>
    </row>
    <row r="28" spans="1:11" x14ac:dyDescent="0.25">
      <c r="A28" s="103" t="s">
        <v>881</v>
      </c>
      <c r="B28" s="103" t="s">
        <v>782</v>
      </c>
      <c r="C28" s="221" t="s">
        <v>743</v>
      </c>
      <c r="D28" s="135">
        <v>0</v>
      </c>
      <c r="E28" s="135">
        <v>0</v>
      </c>
      <c r="F28" s="135">
        <v>0</v>
      </c>
      <c r="G28" s="144">
        <v>0</v>
      </c>
      <c r="H28" s="135">
        <v>0</v>
      </c>
      <c r="I28" s="135">
        <v>0</v>
      </c>
      <c r="J28" s="135">
        <v>0</v>
      </c>
      <c r="K28" s="144">
        <v>0</v>
      </c>
    </row>
    <row r="29" spans="1:11" x14ac:dyDescent="0.25">
      <c r="A29" s="103" t="s">
        <v>922</v>
      </c>
      <c r="B29" s="103" t="s">
        <v>657</v>
      </c>
      <c r="C29" s="221" t="s">
        <v>1069</v>
      </c>
      <c r="D29" s="135">
        <v>0</v>
      </c>
      <c r="E29" s="135">
        <v>0</v>
      </c>
      <c r="F29" s="135">
        <v>0</v>
      </c>
      <c r="G29" s="144">
        <v>0</v>
      </c>
      <c r="H29" s="135">
        <v>0</v>
      </c>
      <c r="I29" s="135">
        <v>0</v>
      </c>
      <c r="J29" s="135">
        <v>0</v>
      </c>
      <c r="K29" s="144">
        <v>0</v>
      </c>
    </row>
    <row r="30" spans="1:11" x14ac:dyDescent="0.25">
      <c r="A30" s="103" t="s">
        <v>846</v>
      </c>
      <c r="B30" s="103" t="s">
        <v>1106</v>
      </c>
      <c r="C30" s="221" t="s">
        <v>1115</v>
      </c>
      <c r="D30" s="135">
        <v>0</v>
      </c>
      <c r="E30" s="135">
        <v>0</v>
      </c>
      <c r="F30" s="135">
        <v>0</v>
      </c>
      <c r="G30" s="144">
        <v>0</v>
      </c>
      <c r="H30" s="135">
        <v>0</v>
      </c>
      <c r="I30" s="135">
        <v>0</v>
      </c>
      <c r="J30" s="135">
        <v>0</v>
      </c>
      <c r="K30" s="144">
        <v>0</v>
      </c>
    </row>
    <row r="31" spans="1:11" x14ac:dyDescent="0.25">
      <c r="A31" s="103" t="s">
        <v>34</v>
      </c>
      <c r="B31" s="103" t="s">
        <v>756</v>
      </c>
      <c r="C31" s="221" t="s">
        <v>283</v>
      </c>
      <c r="D31" s="135">
        <v>0</v>
      </c>
      <c r="E31" s="135">
        <v>0</v>
      </c>
      <c r="F31" s="135">
        <v>0</v>
      </c>
      <c r="G31" s="144">
        <v>0</v>
      </c>
      <c r="H31" s="135">
        <v>0</v>
      </c>
      <c r="I31" s="135">
        <v>0</v>
      </c>
      <c r="J31" s="135">
        <v>0</v>
      </c>
      <c r="K31" s="144">
        <v>0</v>
      </c>
    </row>
    <row r="32" spans="1:11" x14ac:dyDescent="0.25">
      <c r="A32" s="103" t="s">
        <v>669</v>
      </c>
      <c r="B32" s="103" t="s">
        <v>111</v>
      </c>
      <c r="C32" s="221" t="s">
        <v>991</v>
      </c>
      <c r="D32" s="135">
        <v>0</v>
      </c>
      <c r="E32" s="135">
        <v>0</v>
      </c>
      <c r="F32" s="135">
        <v>0</v>
      </c>
      <c r="G32" s="144">
        <v>0</v>
      </c>
      <c r="H32" s="135">
        <v>0</v>
      </c>
      <c r="I32" s="135">
        <v>0</v>
      </c>
      <c r="J32" s="135">
        <v>0</v>
      </c>
      <c r="K32" s="144">
        <v>0</v>
      </c>
    </row>
    <row r="33" spans="1:11" x14ac:dyDescent="0.25">
      <c r="A33" s="103" t="s">
        <v>796</v>
      </c>
      <c r="B33" s="103" t="s">
        <v>1066</v>
      </c>
      <c r="C33" s="221" t="s">
        <v>332</v>
      </c>
      <c r="D33" s="135">
        <v>0</v>
      </c>
      <c r="E33" s="135">
        <v>0</v>
      </c>
      <c r="F33" s="135">
        <v>0</v>
      </c>
      <c r="G33" s="144">
        <v>0</v>
      </c>
      <c r="H33" s="135">
        <v>0</v>
      </c>
      <c r="I33" s="135">
        <v>0</v>
      </c>
      <c r="J33" s="135">
        <v>0</v>
      </c>
      <c r="K33" s="144">
        <v>0</v>
      </c>
    </row>
    <row r="34" spans="1:11" x14ac:dyDescent="0.25">
      <c r="A34" s="103" t="s">
        <v>321</v>
      </c>
      <c r="B34" s="103" t="s">
        <v>314</v>
      </c>
      <c r="C34" s="221" t="s">
        <v>627</v>
      </c>
      <c r="D34" s="144">
        <v>23053.91</v>
      </c>
      <c r="E34" s="144">
        <v>6479.78</v>
      </c>
      <c r="F34" s="144">
        <v>16574.13</v>
      </c>
      <c r="G34" s="144">
        <v>36475.69</v>
      </c>
      <c r="H34" s="144">
        <v>23053.91</v>
      </c>
      <c r="I34" s="144">
        <v>6479.78</v>
      </c>
      <c r="J34" s="144">
        <v>16574.13</v>
      </c>
      <c r="K34" s="144">
        <v>36476</v>
      </c>
    </row>
    <row r="35" spans="1:11" x14ac:dyDescent="0.25">
      <c r="A35" s="103" t="s">
        <v>1010</v>
      </c>
      <c r="B35" s="103" t="s">
        <v>524</v>
      </c>
      <c r="C35" s="221" t="s">
        <v>501</v>
      </c>
      <c r="D35" s="135">
        <v>0</v>
      </c>
      <c r="E35" s="135">
        <v>0</v>
      </c>
      <c r="F35" s="135">
        <v>0</v>
      </c>
      <c r="G35" s="144">
        <v>0</v>
      </c>
      <c r="H35" s="135">
        <v>0</v>
      </c>
      <c r="I35" s="135">
        <v>0</v>
      </c>
      <c r="J35" s="135">
        <v>0</v>
      </c>
      <c r="K35" s="144">
        <v>0</v>
      </c>
    </row>
    <row r="36" spans="1:11" x14ac:dyDescent="0.25">
      <c r="A36" s="103" t="s">
        <v>251</v>
      </c>
      <c r="B36" s="103" t="s">
        <v>835</v>
      </c>
      <c r="C36" s="221" t="s">
        <v>469</v>
      </c>
      <c r="D36" s="135">
        <v>0</v>
      </c>
      <c r="E36" s="135">
        <v>0</v>
      </c>
      <c r="F36" s="135">
        <v>0</v>
      </c>
      <c r="G36" s="144">
        <v>0</v>
      </c>
      <c r="H36" s="135">
        <v>0</v>
      </c>
      <c r="I36" s="135">
        <v>0</v>
      </c>
      <c r="J36" s="135">
        <v>0</v>
      </c>
      <c r="K36" s="144">
        <v>0</v>
      </c>
    </row>
    <row r="37" spans="1:11" x14ac:dyDescent="0.25">
      <c r="A37" s="103" t="s">
        <v>878</v>
      </c>
      <c r="B37" s="103" t="s">
        <v>698</v>
      </c>
      <c r="C37" s="221" t="s">
        <v>479</v>
      </c>
      <c r="D37" s="135">
        <v>0</v>
      </c>
      <c r="E37" s="135">
        <v>0</v>
      </c>
      <c r="F37" s="135">
        <v>0</v>
      </c>
      <c r="G37" s="144">
        <v>0</v>
      </c>
      <c r="H37" s="135">
        <v>0</v>
      </c>
      <c r="I37" s="135">
        <v>0</v>
      </c>
      <c r="J37" s="135">
        <v>0</v>
      </c>
      <c r="K37" s="144">
        <v>0</v>
      </c>
    </row>
    <row r="38" spans="1:11" x14ac:dyDescent="0.25">
      <c r="A38" s="103" t="s">
        <v>204</v>
      </c>
      <c r="B38" s="103" t="s">
        <v>581</v>
      </c>
      <c r="C38" s="221" t="s">
        <v>593</v>
      </c>
      <c r="D38" s="135">
        <v>0</v>
      </c>
      <c r="E38" s="135">
        <v>0</v>
      </c>
      <c r="F38" s="135">
        <v>0</v>
      </c>
      <c r="G38" s="144">
        <v>0</v>
      </c>
      <c r="H38" s="135">
        <v>0</v>
      </c>
      <c r="I38" s="135">
        <v>0</v>
      </c>
      <c r="J38" s="135">
        <v>0</v>
      </c>
      <c r="K38" s="144">
        <v>0</v>
      </c>
    </row>
    <row r="39" spans="1:11" x14ac:dyDescent="0.25">
      <c r="A39" s="103" t="s">
        <v>380</v>
      </c>
      <c r="B39" s="103" t="s">
        <v>676</v>
      </c>
      <c r="C39" s="221" t="s">
        <v>178</v>
      </c>
      <c r="D39" s="135">
        <v>0</v>
      </c>
      <c r="E39" s="135">
        <v>0</v>
      </c>
      <c r="F39" s="135">
        <v>0</v>
      </c>
      <c r="G39" s="144">
        <v>0</v>
      </c>
      <c r="H39" s="135">
        <v>0</v>
      </c>
      <c r="I39" s="135">
        <v>0</v>
      </c>
      <c r="J39" s="135">
        <v>0</v>
      </c>
      <c r="K39" s="144">
        <v>0</v>
      </c>
    </row>
    <row r="40" spans="1:11" x14ac:dyDescent="0.25">
      <c r="A40" s="103" t="s">
        <v>461</v>
      </c>
      <c r="B40" s="103" t="s">
        <v>416</v>
      </c>
      <c r="C40" s="221" t="s">
        <v>15</v>
      </c>
      <c r="D40" s="135">
        <v>0</v>
      </c>
      <c r="E40" s="135">
        <v>0</v>
      </c>
      <c r="F40" s="135">
        <v>0</v>
      </c>
      <c r="G40" s="144">
        <v>0</v>
      </c>
      <c r="H40" s="135">
        <v>0</v>
      </c>
      <c r="I40" s="135">
        <v>0</v>
      </c>
      <c r="J40" s="135">
        <v>0</v>
      </c>
      <c r="K40" s="144">
        <v>0</v>
      </c>
    </row>
    <row r="41" spans="1:11" x14ac:dyDescent="0.25">
      <c r="A41" s="103" t="s">
        <v>881</v>
      </c>
      <c r="B41" s="103" t="s">
        <v>587</v>
      </c>
      <c r="C41" s="221" t="s">
        <v>779</v>
      </c>
      <c r="D41" s="135">
        <v>0</v>
      </c>
      <c r="E41" s="135">
        <v>0</v>
      </c>
      <c r="F41" s="135">
        <v>0</v>
      </c>
      <c r="G41" s="144">
        <v>0</v>
      </c>
      <c r="H41" s="135">
        <v>0</v>
      </c>
      <c r="I41" s="135">
        <v>0</v>
      </c>
      <c r="J41" s="135">
        <v>0</v>
      </c>
      <c r="K41" s="144">
        <v>0</v>
      </c>
    </row>
    <row r="42" spans="1:11" x14ac:dyDescent="0.25">
      <c r="A42" s="103" t="s">
        <v>354</v>
      </c>
      <c r="B42" s="103" t="s">
        <v>575</v>
      </c>
      <c r="C42" s="221" t="s">
        <v>207</v>
      </c>
      <c r="D42" s="135">
        <v>0</v>
      </c>
      <c r="E42" s="135">
        <v>0</v>
      </c>
      <c r="F42" s="135">
        <v>0</v>
      </c>
      <c r="G42" s="144">
        <v>0</v>
      </c>
      <c r="H42" s="135">
        <v>0</v>
      </c>
      <c r="I42" s="135">
        <v>0</v>
      </c>
      <c r="J42" s="135">
        <v>0</v>
      </c>
      <c r="K42" s="144">
        <v>0</v>
      </c>
    </row>
    <row r="43" spans="1:11" x14ac:dyDescent="0.25">
      <c r="A43" s="103" t="s">
        <v>325</v>
      </c>
      <c r="B43" s="103" t="s">
        <v>312</v>
      </c>
      <c r="C43" s="221" t="s">
        <v>556</v>
      </c>
      <c r="D43" s="135">
        <v>0</v>
      </c>
      <c r="E43" s="135">
        <v>0</v>
      </c>
      <c r="F43" s="135">
        <v>0</v>
      </c>
      <c r="G43" s="144">
        <v>0</v>
      </c>
      <c r="H43" s="135">
        <v>0</v>
      </c>
      <c r="I43" s="135">
        <v>0</v>
      </c>
      <c r="J43" s="135">
        <v>0</v>
      </c>
      <c r="K43" s="144">
        <v>0</v>
      </c>
    </row>
    <row r="44" spans="1:11" x14ac:dyDescent="0.25">
      <c r="A44" s="103" t="s">
        <v>713</v>
      </c>
      <c r="B44" s="103" t="s">
        <v>407</v>
      </c>
      <c r="C44" s="221" t="s">
        <v>1101</v>
      </c>
      <c r="D44" s="135">
        <v>0</v>
      </c>
      <c r="E44" s="135">
        <v>0</v>
      </c>
      <c r="F44" s="135">
        <v>0</v>
      </c>
      <c r="G44" s="144">
        <v>0</v>
      </c>
      <c r="H44" s="135">
        <v>0</v>
      </c>
      <c r="I44" s="135">
        <v>0</v>
      </c>
      <c r="J44" s="135">
        <v>0</v>
      </c>
      <c r="K44" s="144">
        <v>0</v>
      </c>
    </row>
    <row r="45" spans="1:11" x14ac:dyDescent="0.25">
      <c r="A45" s="103" t="s">
        <v>395</v>
      </c>
      <c r="B45" s="103" t="s">
        <v>990</v>
      </c>
      <c r="C45" s="221" t="s">
        <v>487</v>
      </c>
      <c r="D45" s="135">
        <v>0</v>
      </c>
      <c r="E45" s="135">
        <v>0</v>
      </c>
      <c r="F45" s="135">
        <v>0</v>
      </c>
      <c r="G45" s="144">
        <v>0</v>
      </c>
      <c r="H45" s="135">
        <v>0</v>
      </c>
      <c r="I45" s="135">
        <v>0</v>
      </c>
      <c r="J45" s="135">
        <v>0</v>
      </c>
      <c r="K45" s="144">
        <v>0</v>
      </c>
    </row>
    <row r="46" spans="1:11" x14ac:dyDescent="0.25">
      <c r="A46" s="103" t="s">
        <v>456</v>
      </c>
      <c r="B46" s="103" t="s">
        <v>166</v>
      </c>
      <c r="C46" s="221" t="s">
        <v>799</v>
      </c>
      <c r="D46" s="135">
        <v>0</v>
      </c>
      <c r="E46" s="135">
        <v>0</v>
      </c>
      <c r="F46" s="135">
        <v>0</v>
      </c>
      <c r="G46" s="144">
        <v>0</v>
      </c>
      <c r="H46" s="135">
        <v>0</v>
      </c>
      <c r="I46" s="135">
        <v>0</v>
      </c>
      <c r="J46" s="135">
        <v>0</v>
      </c>
      <c r="K46" s="144">
        <v>0</v>
      </c>
    </row>
    <row r="47" spans="1:11" x14ac:dyDescent="0.25">
      <c r="A47" s="103" t="s">
        <v>878</v>
      </c>
      <c r="B47" s="103" t="s">
        <v>730</v>
      </c>
      <c r="C47" s="221" t="s">
        <v>932</v>
      </c>
      <c r="D47" s="135">
        <v>0</v>
      </c>
      <c r="E47" s="135">
        <v>0</v>
      </c>
      <c r="F47" s="135">
        <v>0</v>
      </c>
      <c r="G47" s="144">
        <v>0</v>
      </c>
      <c r="H47" s="135">
        <v>0</v>
      </c>
      <c r="I47" s="135">
        <v>0</v>
      </c>
      <c r="J47" s="135">
        <v>0</v>
      </c>
      <c r="K47" s="144">
        <v>0</v>
      </c>
    </row>
    <row r="48" spans="1:11" x14ac:dyDescent="0.25">
      <c r="A48" s="103" t="s">
        <v>204</v>
      </c>
      <c r="B48" s="103" t="s">
        <v>971</v>
      </c>
      <c r="C48" s="221" t="s">
        <v>946</v>
      </c>
      <c r="D48" s="135">
        <v>0</v>
      </c>
      <c r="E48" s="135">
        <v>0</v>
      </c>
      <c r="F48" s="135">
        <v>0</v>
      </c>
      <c r="G48" s="144">
        <v>0</v>
      </c>
      <c r="H48" s="135">
        <v>0</v>
      </c>
      <c r="I48" s="135">
        <v>0</v>
      </c>
      <c r="J48" s="135">
        <v>0</v>
      </c>
      <c r="K48" s="144">
        <v>0</v>
      </c>
    </row>
    <row r="49" spans="1:11" x14ac:dyDescent="0.25">
      <c r="A49" s="103" t="s">
        <v>380</v>
      </c>
      <c r="B49" s="103" t="s">
        <v>548</v>
      </c>
      <c r="C49" s="221" t="s">
        <v>829</v>
      </c>
      <c r="D49" s="135">
        <v>0</v>
      </c>
      <c r="E49" s="135">
        <v>0</v>
      </c>
      <c r="F49" s="135">
        <v>0</v>
      </c>
      <c r="G49" s="144">
        <v>0</v>
      </c>
      <c r="H49" s="135">
        <v>0</v>
      </c>
      <c r="I49" s="135">
        <v>0</v>
      </c>
      <c r="J49" s="135">
        <v>0</v>
      </c>
      <c r="K49" s="144">
        <v>0</v>
      </c>
    </row>
    <row r="50" spans="1:11" x14ac:dyDescent="0.25">
      <c r="A50" s="103" t="s">
        <v>461</v>
      </c>
      <c r="B50" s="103" t="s">
        <v>146</v>
      </c>
      <c r="C50" s="221" t="s">
        <v>313</v>
      </c>
      <c r="D50" s="135">
        <v>0</v>
      </c>
      <c r="E50" s="135">
        <v>0</v>
      </c>
      <c r="F50" s="135">
        <v>0</v>
      </c>
      <c r="G50" s="144">
        <v>0</v>
      </c>
      <c r="H50" s="135">
        <v>0</v>
      </c>
      <c r="I50" s="135">
        <v>0</v>
      </c>
      <c r="J50" s="135">
        <v>0</v>
      </c>
      <c r="K50" s="144">
        <v>0</v>
      </c>
    </row>
    <row r="51" spans="1:11" x14ac:dyDescent="0.25">
      <c r="A51" s="103" t="s">
        <v>881</v>
      </c>
      <c r="B51" s="103" t="s">
        <v>344</v>
      </c>
      <c r="C51" s="221" t="s">
        <v>771</v>
      </c>
      <c r="D51" s="135">
        <v>0</v>
      </c>
      <c r="E51" s="135">
        <v>0</v>
      </c>
      <c r="F51" s="135">
        <v>0</v>
      </c>
      <c r="G51" s="144">
        <v>0</v>
      </c>
      <c r="H51" s="135">
        <v>0</v>
      </c>
      <c r="I51" s="135">
        <v>0</v>
      </c>
      <c r="J51" s="135">
        <v>0</v>
      </c>
      <c r="K51" s="144">
        <v>0</v>
      </c>
    </row>
    <row r="52" spans="1:11" x14ac:dyDescent="0.25">
      <c r="A52" s="103" t="s">
        <v>922</v>
      </c>
      <c r="B52" s="103" t="s">
        <v>972</v>
      </c>
      <c r="C52" s="221" t="s">
        <v>273</v>
      </c>
      <c r="D52" s="135">
        <v>0</v>
      </c>
      <c r="E52" s="135">
        <v>0</v>
      </c>
      <c r="F52" s="135">
        <v>0</v>
      </c>
      <c r="G52" s="144">
        <v>0</v>
      </c>
      <c r="H52" s="135">
        <v>0</v>
      </c>
      <c r="I52" s="135">
        <v>0</v>
      </c>
      <c r="J52" s="135">
        <v>0</v>
      </c>
      <c r="K52" s="144">
        <v>0</v>
      </c>
    </row>
    <row r="53" spans="1:11" x14ac:dyDescent="0.25">
      <c r="A53" s="103" t="s">
        <v>846</v>
      </c>
      <c r="B53" s="103" t="s">
        <v>29</v>
      </c>
      <c r="C53" s="221" t="s">
        <v>602</v>
      </c>
      <c r="D53" s="135">
        <v>0</v>
      </c>
      <c r="E53" s="135">
        <v>0</v>
      </c>
      <c r="F53" s="135">
        <v>0</v>
      </c>
      <c r="G53" s="144">
        <v>0</v>
      </c>
      <c r="H53" s="135">
        <v>0</v>
      </c>
      <c r="I53" s="135">
        <v>0</v>
      </c>
      <c r="J53" s="135">
        <v>0</v>
      </c>
      <c r="K53" s="144">
        <v>0</v>
      </c>
    </row>
    <row r="54" spans="1:11" x14ac:dyDescent="0.25">
      <c r="A54" s="103" t="s">
        <v>719</v>
      </c>
      <c r="B54" s="103" t="s">
        <v>237</v>
      </c>
      <c r="C54" s="221" t="s">
        <v>546</v>
      </c>
      <c r="D54" s="144">
        <v>22180.44</v>
      </c>
      <c r="E54" s="144">
        <v>6479.78</v>
      </c>
      <c r="F54" s="144">
        <v>15700.66</v>
      </c>
      <c r="G54" s="144">
        <v>24431.96</v>
      </c>
      <c r="H54" s="144">
        <v>22180.44</v>
      </c>
      <c r="I54" s="144">
        <v>6479.78</v>
      </c>
      <c r="J54" s="144">
        <v>15700.66</v>
      </c>
      <c r="K54" s="144">
        <v>24432</v>
      </c>
    </row>
    <row r="55" spans="1:11" x14ac:dyDescent="0.25">
      <c r="A55" s="103" t="s">
        <v>1113</v>
      </c>
      <c r="B55" s="103" t="s">
        <v>618</v>
      </c>
      <c r="C55" s="221" t="s">
        <v>334</v>
      </c>
      <c r="D55" s="144">
        <v>11080.44</v>
      </c>
      <c r="E55" s="144">
        <v>6479.78</v>
      </c>
      <c r="F55" s="144">
        <v>4600.66</v>
      </c>
      <c r="G55" s="144">
        <v>13331.96</v>
      </c>
      <c r="H55" s="144">
        <v>11080.44</v>
      </c>
      <c r="I55" s="144">
        <v>6479.78</v>
      </c>
      <c r="J55" s="144">
        <v>4600.66</v>
      </c>
      <c r="K55" s="144">
        <v>13332</v>
      </c>
    </row>
    <row r="56" spans="1:11" x14ac:dyDescent="0.25">
      <c r="A56" s="103" t="s">
        <v>713</v>
      </c>
      <c r="B56" s="103" t="s">
        <v>407</v>
      </c>
      <c r="C56" s="221" t="s">
        <v>944</v>
      </c>
      <c r="D56" s="135">
        <v>0</v>
      </c>
      <c r="E56" s="135">
        <v>0</v>
      </c>
      <c r="F56" s="135">
        <v>0</v>
      </c>
      <c r="G56" s="144">
        <v>0</v>
      </c>
      <c r="H56" s="135">
        <v>0</v>
      </c>
      <c r="I56" s="135">
        <v>0</v>
      </c>
      <c r="J56" s="135">
        <v>0</v>
      </c>
      <c r="K56" s="144">
        <v>0</v>
      </c>
    </row>
    <row r="57" spans="1:11" x14ac:dyDescent="0.25">
      <c r="A57" s="103" t="s">
        <v>395</v>
      </c>
      <c r="B57" s="103" t="s">
        <v>990</v>
      </c>
      <c r="C57" s="221" t="s">
        <v>308</v>
      </c>
      <c r="D57" s="135">
        <v>0</v>
      </c>
      <c r="E57" s="135">
        <v>0</v>
      </c>
      <c r="F57" s="135">
        <v>0</v>
      </c>
      <c r="G57" s="144">
        <v>0</v>
      </c>
      <c r="H57" s="135">
        <v>0</v>
      </c>
      <c r="I57" s="135">
        <v>0</v>
      </c>
      <c r="J57" s="135">
        <v>0</v>
      </c>
      <c r="K57" s="144">
        <v>0</v>
      </c>
    </row>
    <row r="58" spans="1:11" x14ac:dyDescent="0.25">
      <c r="A58" s="103" t="s">
        <v>456</v>
      </c>
      <c r="B58" s="103" t="s">
        <v>166</v>
      </c>
      <c r="C58" s="221" t="s">
        <v>1091</v>
      </c>
      <c r="D58" s="144">
        <v>11080.44</v>
      </c>
      <c r="E58" s="144">
        <v>6479.78</v>
      </c>
      <c r="F58" s="144">
        <v>4600.66</v>
      </c>
      <c r="G58" s="144">
        <v>13331.96</v>
      </c>
      <c r="H58" s="144">
        <v>11080.44</v>
      </c>
      <c r="I58" s="144">
        <v>6479.78</v>
      </c>
      <c r="J58" s="144">
        <v>4600.66</v>
      </c>
      <c r="K58" s="144">
        <v>13332</v>
      </c>
    </row>
    <row r="59" spans="1:11" x14ac:dyDescent="0.25">
      <c r="A59" s="103" t="s">
        <v>878</v>
      </c>
      <c r="B59" s="103" t="s">
        <v>730</v>
      </c>
      <c r="C59" s="221" t="s">
        <v>576</v>
      </c>
      <c r="D59" s="135">
        <v>0</v>
      </c>
      <c r="E59" s="135">
        <v>0</v>
      </c>
      <c r="F59" s="135">
        <v>0</v>
      </c>
      <c r="G59" s="144">
        <v>0</v>
      </c>
      <c r="H59" s="135">
        <v>0</v>
      </c>
      <c r="I59" s="135">
        <v>0</v>
      </c>
      <c r="J59" s="135">
        <v>0</v>
      </c>
      <c r="K59" s="144">
        <v>0</v>
      </c>
    </row>
    <row r="60" spans="1:11" x14ac:dyDescent="0.25">
      <c r="A60" s="103" t="s">
        <v>204</v>
      </c>
      <c r="B60" s="103" t="s">
        <v>971</v>
      </c>
      <c r="C60" s="221" t="s">
        <v>371</v>
      </c>
      <c r="D60" s="135">
        <v>0</v>
      </c>
      <c r="E60" s="135">
        <v>0</v>
      </c>
      <c r="F60" s="135">
        <v>0</v>
      </c>
      <c r="G60" s="144">
        <v>0</v>
      </c>
      <c r="H60" s="135">
        <v>0</v>
      </c>
      <c r="I60" s="135">
        <v>0</v>
      </c>
      <c r="J60" s="135">
        <v>0</v>
      </c>
      <c r="K60" s="144">
        <v>0</v>
      </c>
    </row>
    <row r="61" spans="1:11" x14ac:dyDescent="0.25">
      <c r="A61" s="103" t="s">
        <v>380</v>
      </c>
      <c r="B61" s="103" t="s">
        <v>548</v>
      </c>
      <c r="C61" s="221" t="s">
        <v>1016</v>
      </c>
      <c r="D61" s="135">
        <v>0</v>
      </c>
      <c r="E61" s="135">
        <v>0</v>
      </c>
      <c r="F61" s="135">
        <v>0</v>
      </c>
      <c r="G61" s="144">
        <v>0</v>
      </c>
      <c r="H61" s="135">
        <v>0</v>
      </c>
      <c r="I61" s="135">
        <v>0</v>
      </c>
      <c r="J61" s="135">
        <v>0</v>
      </c>
      <c r="K61" s="144">
        <v>0</v>
      </c>
    </row>
    <row r="62" spans="1:11" x14ac:dyDescent="0.25">
      <c r="A62" s="103" t="s">
        <v>461</v>
      </c>
      <c r="B62" s="103" t="s">
        <v>906</v>
      </c>
      <c r="C62" s="221" t="s">
        <v>899</v>
      </c>
      <c r="D62" s="135">
        <v>0</v>
      </c>
      <c r="E62" s="135">
        <v>0</v>
      </c>
      <c r="F62" s="135">
        <v>0</v>
      </c>
      <c r="G62" s="144">
        <v>0</v>
      </c>
      <c r="H62" s="135">
        <v>0</v>
      </c>
      <c r="I62" s="135">
        <v>0</v>
      </c>
      <c r="J62" s="135">
        <v>0</v>
      </c>
      <c r="K62" s="144">
        <v>0</v>
      </c>
    </row>
    <row r="63" spans="1:11" x14ac:dyDescent="0.25">
      <c r="A63" s="103" t="s">
        <v>881</v>
      </c>
      <c r="B63" s="103" t="s">
        <v>651</v>
      </c>
      <c r="C63" s="221" t="s">
        <v>191</v>
      </c>
      <c r="D63" s="144">
        <v>0</v>
      </c>
      <c r="E63" s="135">
        <v>0</v>
      </c>
      <c r="F63" s="144">
        <v>0</v>
      </c>
      <c r="G63" s="144">
        <v>0</v>
      </c>
      <c r="H63" s="144">
        <v>0</v>
      </c>
      <c r="I63" s="135">
        <v>0</v>
      </c>
      <c r="J63" s="144">
        <v>0</v>
      </c>
      <c r="K63" s="144">
        <v>0</v>
      </c>
    </row>
    <row r="64" spans="1:11" x14ac:dyDescent="0.25">
      <c r="A64" s="103" t="s">
        <v>922</v>
      </c>
      <c r="B64" s="103" t="s">
        <v>1001</v>
      </c>
      <c r="C64" s="221" t="s">
        <v>687</v>
      </c>
      <c r="D64" s="144">
        <v>0</v>
      </c>
      <c r="E64" s="135">
        <v>0</v>
      </c>
      <c r="F64" s="144">
        <v>0</v>
      </c>
      <c r="G64" s="144">
        <v>0</v>
      </c>
      <c r="H64" s="144">
        <v>0</v>
      </c>
      <c r="I64" s="135">
        <v>0</v>
      </c>
      <c r="J64" s="144">
        <v>0</v>
      </c>
      <c r="K64" s="144">
        <v>0</v>
      </c>
    </row>
    <row r="65" spans="1:11" x14ac:dyDescent="0.25">
      <c r="A65" s="103" t="s">
        <v>846</v>
      </c>
      <c r="B65" s="103" t="s">
        <v>344</v>
      </c>
      <c r="C65" s="221" t="s">
        <v>1039</v>
      </c>
      <c r="D65" s="135">
        <v>0</v>
      </c>
      <c r="E65" s="135">
        <v>0</v>
      </c>
      <c r="F65" s="135">
        <v>0</v>
      </c>
      <c r="G65" s="144">
        <v>0</v>
      </c>
      <c r="H65" s="135">
        <v>0</v>
      </c>
      <c r="I65" s="135">
        <v>0</v>
      </c>
      <c r="J65" s="135">
        <v>0</v>
      </c>
      <c r="K65" s="144">
        <v>0</v>
      </c>
    </row>
    <row r="66" spans="1:11" x14ac:dyDescent="0.25">
      <c r="A66" s="103" t="s">
        <v>34</v>
      </c>
      <c r="B66" s="103" t="s">
        <v>535</v>
      </c>
      <c r="C66" s="221" t="s">
        <v>14</v>
      </c>
      <c r="D66" s="144">
        <v>11100</v>
      </c>
      <c r="E66" s="135">
        <v>0</v>
      </c>
      <c r="F66" s="144">
        <v>11100</v>
      </c>
      <c r="G66" s="144">
        <v>11100</v>
      </c>
      <c r="H66" s="144">
        <v>11100</v>
      </c>
      <c r="I66" s="135">
        <v>0</v>
      </c>
      <c r="J66" s="144">
        <v>11100</v>
      </c>
      <c r="K66" s="144">
        <v>11100</v>
      </c>
    </row>
    <row r="67" spans="1:11" x14ac:dyDescent="0.25">
      <c r="A67" s="103" t="s">
        <v>102</v>
      </c>
      <c r="B67" s="103" t="s">
        <v>923</v>
      </c>
      <c r="C67" s="221" t="s">
        <v>995</v>
      </c>
      <c r="D67" s="135">
        <v>0</v>
      </c>
      <c r="E67" s="144">
        <v>0</v>
      </c>
      <c r="F67" s="144">
        <v>0</v>
      </c>
      <c r="G67" s="144">
        <v>0</v>
      </c>
      <c r="H67" s="135">
        <v>0</v>
      </c>
      <c r="I67" s="144">
        <v>0</v>
      </c>
      <c r="J67" s="144">
        <v>0</v>
      </c>
      <c r="K67" s="144">
        <v>0</v>
      </c>
    </row>
    <row r="68" spans="1:11" x14ac:dyDescent="0.25">
      <c r="A68" s="103" t="s">
        <v>817</v>
      </c>
      <c r="B68" s="103" t="s">
        <v>25</v>
      </c>
      <c r="C68" s="221" t="s">
        <v>997</v>
      </c>
      <c r="D68" s="135">
        <v>0</v>
      </c>
      <c r="E68" s="135">
        <v>0</v>
      </c>
      <c r="F68" s="135">
        <v>0</v>
      </c>
      <c r="G68" s="144">
        <v>0</v>
      </c>
      <c r="H68" s="135">
        <v>0</v>
      </c>
      <c r="I68" s="135">
        <v>0</v>
      </c>
      <c r="J68" s="135">
        <v>0</v>
      </c>
      <c r="K68" s="144">
        <v>0</v>
      </c>
    </row>
    <row r="69" spans="1:11" x14ac:dyDescent="0.25">
      <c r="A69" s="248" t="s">
        <v>878</v>
      </c>
      <c r="B69" s="248" t="s">
        <v>809</v>
      </c>
      <c r="C69" s="84" t="s">
        <v>444</v>
      </c>
      <c r="D69" s="202">
        <v>0</v>
      </c>
      <c r="E69" s="210">
        <v>0</v>
      </c>
      <c r="F69" s="210">
        <v>0</v>
      </c>
      <c r="G69" s="210">
        <v>0</v>
      </c>
      <c r="H69" s="202">
        <v>0</v>
      </c>
      <c r="I69" s="210">
        <v>0</v>
      </c>
      <c r="J69" s="210">
        <v>0</v>
      </c>
      <c r="K69" s="210">
        <v>0</v>
      </c>
    </row>
    <row r="70" spans="1:11" x14ac:dyDescent="0.25">
      <c r="A70" s="248" t="s">
        <v>204</v>
      </c>
      <c r="B70" s="248" t="s">
        <v>937</v>
      </c>
      <c r="C70" s="84" t="s">
        <v>765</v>
      </c>
      <c r="D70" s="202">
        <v>0</v>
      </c>
      <c r="E70" s="202">
        <v>0</v>
      </c>
      <c r="F70" s="202">
        <v>0</v>
      </c>
      <c r="G70" s="210">
        <v>0</v>
      </c>
      <c r="H70" s="202">
        <v>0</v>
      </c>
      <c r="I70" s="202">
        <v>0</v>
      </c>
      <c r="J70" s="202">
        <v>0</v>
      </c>
      <c r="K70" s="210">
        <v>0</v>
      </c>
    </row>
    <row r="71" spans="1:11" x14ac:dyDescent="0.25">
      <c r="A71" s="248" t="s">
        <v>380</v>
      </c>
      <c r="B71" s="248" t="s">
        <v>228</v>
      </c>
      <c r="C71" s="84" t="s">
        <v>328</v>
      </c>
      <c r="D71" s="202">
        <v>0</v>
      </c>
      <c r="E71" s="202">
        <v>0</v>
      </c>
      <c r="F71" s="202">
        <v>0</v>
      </c>
      <c r="G71" s="210">
        <v>0</v>
      </c>
      <c r="H71" s="202">
        <v>0</v>
      </c>
      <c r="I71" s="202">
        <v>0</v>
      </c>
      <c r="J71" s="202">
        <v>0</v>
      </c>
      <c r="K71" s="210">
        <v>0</v>
      </c>
    </row>
    <row r="72" spans="1:11" x14ac:dyDescent="0.25">
      <c r="A72" s="248" t="s">
        <v>12</v>
      </c>
      <c r="B72" s="248" t="s">
        <v>201</v>
      </c>
      <c r="C72" s="84" t="s">
        <v>1083</v>
      </c>
      <c r="D72" s="210">
        <v>873.47</v>
      </c>
      <c r="E72" s="202">
        <v>0</v>
      </c>
      <c r="F72" s="210">
        <v>873.47</v>
      </c>
      <c r="G72" s="210">
        <v>12043.73</v>
      </c>
      <c r="H72" s="210">
        <v>873.47</v>
      </c>
      <c r="I72" s="202">
        <v>0</v>
      </c>
      <c r="J72" s="210">
        <v>873.47</v>
      </c>
      <c r="K72" s="210">
        <v>12044</v>
      </c>
    </row>
    <row r="73" spans="1:11" x14ac:dyDescent="0.25">
      <c r="A73" s="248" t="s">
        <v>877</v>
      </c>
      <c r="B73" s="248" t="s">
        <v>773</v>
      </c>
      <c r="C73" s="84" t="s">
        <v>804</v>
      </c>
      <c r="D73" s="210">
        <v>400.89</v>
      </c>
      <c r="E73" s="202">
        <v>0</v>
      </c>
      <c r="F73" s="210">
        <v>400.89</v>
      </c>
      <c r="G73" s="210">
        <v>4.9000000000000004</v>
      </c>
      <c r="H73" s="210">
        <v>400.89</v>
      </c>
      <c r="I73" s="202">
        <v>0</v>
      </c>
      <c r="J73" s="210">
        <v>400.89</v>
      </c>
      <c r="K73" s="210">
        <v>5</v>
      </c>
    </row>
    <row r="74" spans="1:11" x14ac:dyDescent="0.25">
      <c r="A74" s="248" t="s">
        <v>878</v>
      </c>
      <c r="B74" s="248" t="s">
        <v>317</v>
      </c>
      <c r="C74" s="84" t="s">
        <v>580</v>
      </c>
      <c r="D74" s="210">
        <v>472.58</v>
      </c>
      <c r="E74" s="202">
        <v>0</v>
      </c>
      <c r="F74" s="210">
        <v>472.58</v>
      </c>
      <c r="G74" s="210">
        <v>12038.83</v>
      </c>
      <c r="H74" s="210">
        <v>472.58</v>
      </c>
      <c r="I74" s="202">
        <v>0</v>
      </c>
      <c r="J74" s="210">
        <v>472.58</v>
      </c>
      <c r="K74" s="210">
        <v>12039</v>
      </c>
    </row>
    <row r="75" spans="1:11" x14ac:dyDescent="0.25">
      <c r="A75" s="248" t="s">
        <v>306</v>
      </c>
      <c r="B75" s="248" t="s">
        <v>551</v>
      </c>
      <c r="C75" s="84" t="s">
        <v>226</v>
      </c>
      <c r="D75" s="210">
        <v>0</v>
      </c>
      <c r="E75" s="202">
        <v>0</v>
      </c>
      <c r="F75" s="210">
        <v>0</v>
      </c>
      <c r="G75" s="210">
        <v>402.9</v>
      </c>
      <c r="H75" s="210">
        <v>0</v>
      </c>
      <c r="I75" s="202">
        <v>0</v>
      </c>
      <c r="J75" s="210">
        <v>0</v>
      </c>
      <c r="K75" s="210">
        <v>403</v>
      </c>
    </row>
    <row r="76" spans="1:11" x14ac:dyDescent="0.25">
      <c r="A76" s="248" t="s">
        <v>729</v>
      </c>
      <c r="B76" s="248" t="s">
        <v>232</v>
      </c>
      <c r="C76" s="84" t="s">
        <v>859</v>
      </c>
      <c r="D76" s="202">
        <v>0</v>
      </c>
      <c r="E76" s="202">
        <v>0</v>
      </c>
      <c r="F76" s="202">
        <v>0</v>
      </c>
      <c r="G76" s="210">
        <v>0</v>
      </c>
      <c r="H76" s="202">
        <v>0</v>
      </c>
      <c r="I76" s="202">
        <v>0</v>
      </c>
      <c r="J76" s="202">
        <v>0</v>
      </c>
      <c r="K76" s="210">
        <v>0</v>
      </c>
    </row>
    <row r="77" spans="1:11" x14ac:dyDescent="0.25">
      <c r="A77" s="248" t="s">
        <v>878</v>
      </c>
      <c r="B77" s="248" t="s">
        <v>681</v>
      </c>
      <c r="C77" s="84" t="s">
        <v>613</v>
      </c>
      <c r="D77" s="210">
        <v>0</v>
      </c>
      <c r="E77" s="202">
        <v>0</v>
      </c>
      <c r="F77" s="210">
        <v>0</v>
      </c>
      <c r="G77" s="210">
        <v>402.9</v>
      </c>
      <c r="H77" s="210">
        <v>0</v>
      </c>
      <c r="I77" s="202">
        <v>0</v>
      </c>
      <c r="J77" s="210">
        <v>0</v>
      </c>
      <c r="K77" s="210">
        <v>403</v>
      </c>
    </row>
    <row r="78" spans="1:11" x14ac:dyDescent="0.25">
      <c r="A78" s="248" t="s">
        <v>204</v>
      </c>
      <c r="B78" s="248" t="s">
        <v>1110</v>
      </c>
      <c r="C78" s="84" t="s">
        <v>700</v>
      </c>
      <c r="D78" s="202">
        <v>0</v>
      </c>
      <c r="E78" s="202">
        <v>0</v>
      </c>
      <c r="F78" s="202">
        <v>0</v>
      </c>
      <c r="G78" s="210">
        <v>0</v>
      </c>
      <c r="H78" s="202">
        <v>0</v>
      </c>
      <c r="I78" s="202">
        <v>0</v>
      </c>
      <c r="J78" s="202">
        <v>0</v>
      </c>
      <c r="K78" s="210">
        <v>0</v>
      </c>
    </row>
    <row r="79" spans="1:11" x14ac:dyDescent="0.25">
      <c r="A79" s="248" t="s">
        <v>380</v>
      </c>
      <c r="B79" s="248" t="s">
        <v>301</v>
      </c>
      <c r="C79" s="84" t="s">
        <v>858</v>
      </c>
      <c r="D79" s="202">
        <v>0</v>
      </c>
      <c r="E79" s="202">
        <v>0</v>
      </c>
      <c r="F79" s="202">
        <v>0</v>
      </c>
      <c r="G79" s="210">
        <v>0</v>
      </c>
      <c r="H79" s="202">
        <v>0</v>
      </c>
      <c r="I79" s="202">
        <v>0</v>
      </c>
      <c r="J79" s="202">
        <v>0</v>
      </c>
      <c r="K79" s="2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3"/>
  <sheetViews>
    <sheetView showGridLines="0" zoomScaleNormal="100" zoomScaleSheetLayoutView="100" workbookViewId="0"/>
  </sheetViews>
  <sheetFormatPr defaultColWidth="9.140625" defaultRowHeight="15" x14ac:dyDescent="0.25"/>
  <cols>
    <col min="1" max="1" width="29.28515625" style="78" customWidth="1"/>
    <col min="2" max="4" width="11.28515625" style="78" customWidth="1"/>
    <col min="5" max="5" width="12.5703125" style="78" customWidth="1"/>
    <col min="6" max="10" width="11.28515625" style="78" customWidth="1"/>
    <col min="11" max="16384" width="9.140625" style="78"/>
  </cols>
  <sheetData>
    <row r="1" spans="1:33" ht="16.5" x14ac:dyDescent="0.3">
      <c r="A1" s="101" t="s">
        <v>542</v>
      </c>
    </row>
    <row r="2" spans="1:33" ht="17.25" thickBot="1" x14ac:dyDescent="0.35">
      <c r="A2" s="136" t="s">
        <v>222</v>
      </c>
    </row>
    <row r="3" spans="1:33" ht="16.5" customHeight="1" thickTop="1" thickBot="1" x14ac:dyDescent="0.3">
      <c r="A3" s="260" t="s">
        <v>507</v>
      </c>
      <c r="B3" s="254" t="s">
        <v>121</v>
      </c>
      <c r="C3" s="255"/>
      <c r="D3" s="255"/>
      <c r="E3" s="255"/>
      <c r="F3" s="255"/>
      <c r="G3" s="255"/>
      <c r="H3" s="255"/>
      <c r="I3" s="255"/>
      <c r="J3" s="256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 ht="62.25" customHeight="1" thickTop="1" thickBot="1" x14ac:dyDescent="0.3">
      <c r="A4" s="261"/>
      <c r="B4" s="247" t="s">
        <v>900</v>
      </c>
      <c r="C4" s="247" t="s">
        <v>441</v>
      </c>
      <c r="D4" s="247" t="s">
        <v>749</v>
      </c>
      <c r="E4" s="247" t="s">
        <v>107</v>
      </c>
      <c r="F4" s="247" t="s">
        <v>255</v>
      </c>
      <c r="G4" s="247" t="s">
        <v>1076</v>
      </c>
      <c r="H4" s="247" t="s">
        <v>36</v>
      </c>
      <c r="I4" s="247" t="s">
        <v>982</v>
      </c>
      <c r="J4" s="247" t="s">
        <v>868</v>
      </c>
    </row>
    <row r="5" spans="1:33" ht="15" customHeight="1" thickTop="1" thickBot="1" x14ac:dyDescent="0.3">
      <c r="A5" s="214" t="s">
        <v>1088</v>
      </c>
      <c r="B5" s="111"/>
      <c r="C5" s="111"/>
      <c r="D5" s="111"/>
      <c r="E5" s="111"/>
      <c r="F5" s="111"/>
      <c r="G5" s="111"/>
      <c r="H5" s="111"/>
      <c r="I5" s="111"/>
      <c r="J5" s="118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</row>
    <row r="6" spans="1:33" ht="24" thickTop="1" thickBot="1" x14ac:dyDescent="0.3">
      <c r="A6" s="216" t="s">
        <v>928</v>
      </c>
      <c r="B6" s="139">
        <f>SUMIF(HK!A:A,"031*",HK!C:C)-SUMIF(HK!A:A,"031*",HK!D:D)</f>
        <v>0</v>
      </c>
      <c r="C6" s="139">
        <f>SUMIF(HK!A:A,"021*",HK!C:C)-SUMIF(HK!A:A,"021*",HK!D:D)</f>
        <v>0</v>
      </c>
      <c r="D6" s="139">
        <f>SUMIF(HK!A:A,"022*",HK!C:C)-SUMIF(HK!A:A,"022*",HK!D:D)</f>
        <v>7083.34</v>
      </c>
      <c r="E6" s="139">
        <f>SUMIF(HK!A:A,"025*",HK!C:C)-SUMIF(HK!A:A,"025*",HK!D:D)</f>
        <v>0</v>
      </c>
      <c r="F6" s="139">
        <f>SUMIF(HK!A:A,"026*",HK!C:C)-SUMIF(HK!A:A,"026*",HK!D:D)</f>
        <v>0</v>
      </c>
      <c r="G6" s="139">
        <f>SUMIF(HK!A:A,"029*",HK!C:C)-SUMIF(HK!A:A,"029*",HK!D:D)</f>
        <v>0</v>
      </c>
      <c r="H6" s="139">
        <f>SUMIF(HK!A:A,"042*",HK!C:C)-SUMIF(HK!A:A,"042*",HK!D:D)</f>
        <v>0</v>
      </c>
      <c r="I6" s="139">
        <f>SUMIF(HK!A:A,"052*",HK!C:C)-SUMIF(HK!A:A,"052*",HK!D:D)</f>
        <v>0</v>
      </c>
      <c r="J6" s="73">
        <f>SUM(B6:I6)</f>
        <v>7083.34</v>
      </c>
      <c r="L6" s="38"/>
    </row>
    <row r="7" spans="1:33" ht="15" customHeight="1" thickBot="1" x14ac:dyDescent="0.3">
      <c r="A7" s="116" t="s">
        <v>1060</v>
      </c>
      <c r="B7" s="241"/>
      <c r="C7" s="241"/>
      <c r="D7" s="241"/>
      <c r="E7" s="241"/>
      <c r="F7" s="29"/>
      <c r="G7" s="241"/>
      <c r="H7" s="241"/>
      <c r="I7" s="241"/>
      <c r="J7" s="73">
        <f>SUM(B7:I7)</f>
        <v>0</v>
      </c>
    </row>
    <row r="8" spans="1:33" ht="15" customHeight="1" thickBot="1" x14ac:dyDescent="0.3">
      <c r="A8" s="116" t="s">
        <v>16</v>
      </c>
      <c r="B8" s="241"/>
      <c r="C8" s="241"/>
      <c r="D8" s="241"/>
      <c r="E8" s="241"/>
      <c r="F8" s="29"/>
      <c r="G8" s="241"/>
      <c r="H8" s="241"/>
      <c r="I8" s="241"/>
      <c r="J8" s="73">
        <f>SUM(B8:I8)</f>
        <v>0</v>
      </c>
    </row>
    <row r="9" spans="1:33" ht="15" customHeight="1" thickBot="1" x14ac:dyDescent="0.3">
      <c r="A9" s="116" t="s">
        <v>446</v>
      </c>
      <c r="B9" s="241"/>
      <c r="C9" s="241"/>
      <c r="D9" s="241"/>
      <c r="E9" s="241"/>
      <c r="F9" s="29"/>
      <c r="G9" s="241"/>
      <c r="H9" s="241"/>
      <c r="I9" s="241"/>
      <c r="J9" s="73">
        <f>SUM(B9:I9)</f>
        <v>0</v>
      </c>
    </row>
    <row r="10" spans="1:33" ht="15.75" thickBot="1" x14ac:dyDescent="0.3">
      <c r="A10" s="90" t="s">
        <v>89</v>
      </c>
      <c r="B10" s="139">
        <f>SUMIF(HK!A:A,"031*",HK!K:K)-SUMIF(HK!A:A,"031*",HK!L:L)</f>
        <v>0</v>
      </c>
      <c r="C10" s="139">
        <f>SUMIF(HK!A:A,"021*",HK!K:K)-SUMIF(HK!A:A,"021*",HK!L:L)</f>
        <v>0</v>
      </c>
      <c r="D10" s="139">
        <f>SUMIF(HK!A:A,"022*",HK!K:K)-SUMIF(HK!A:A,"022*",HK!L:L)</f>
        <v>7083.34</v>
      </c>
      <c r="E10" s="139">
        <f>SUMIF(HK!A:A,"025*",HK!K:K)-SUMIF(HK!A:A,"025*",HK!L:L)</f>
        <v>0</v>
      </c>
      <c r="F10" s="139">
        <f>SUMIF(HK!A:A,"026*",HK!K:K)-SUMIF(HK!A:A,"026*",HK!L:L)</f>
        <v>0</v>
      </c>
      <c r="G10" s="139">
        <f>SUMIF(HK!A:A,"029*",HK!K:K)-SUMIF(HK!A:A,"029*",HK!L:L)</f>
        <v>0</v>
      </c>
      <c r="H10" s="139">
        <f>SUMIF(HK!A:A,"042*",HK!K:K)-SUMIF(HK!A:A,"042*",HK!L:L)</f>
        <v>0</v>
      </c>
      <c r="I10" s="139">
        <f>SUMIF(HK!A:A,"052*",HK!K:K)-SUMIF(HK!A:A,"052*",HK!L:L)</f>
        <v>0</v>
      </c>
      <c r="J10" s="152">
        <f>J6+J7-J8+J9</f>
        <v>7083.34</v>
      </c>
      <c r="L10" s="38"/>
    </row>
    <row r="11" spans="1:33" ht="15" customHeight="1" thickTop="1" thickBot="1" x14ac:dyDescent="0.3">
      <c r="A11" s="5" t="s">
        <v>266</v>
      </c>
      <c r="B11" s="145"/>
      <c r="C11" s="145"/>
      <c r="D11" s="145"/>
      <c r="E11" s="145"/>
      <c r="F11" s="145"/>
      <c r="G11" s="145"/>
      <c r="H11" s="145"/>
      <c r="I11" s="145"/>
      <c r="J11" s="118"/>
    </row>
    <row r="12" spans="1:33" ht="23.25" thickBot="1" x14ac:dyDescent="0.3">
      <c r="A12" s="216" t="s">
        <v>61</v>
      </c>
      <c r="B12" s="241"/>
      <c r="C12" s="139">
        <f>SUMIF(HK!A:A,"081*",HK!D:D)-SUMIF(HK!A:A,"081*",HK!C:C)</f>
        <v>0</v>
      </c>
      <c r="D12" s="139">
        <f>SUMIF(HK!A:A,"082*",HK!D:D)-SUMIF(HK!A:A,"082*",HK!C:C)</f>
        <v>7083.34</v>
      </c>
      <c r="E12" s="139">
        <f>SUMIF(HK!A:A,"085*",HK!D:D)-SUMIF(HK!A:A,"085*",HK!C:C)</f>
        <v>0</v>
      </c>
      <c r="F12" s="139">
        <f>SUMIF(HK!A:A,"086*",HK!D:D)-SUMIF(HK!A:A,"086*",HK!C:C)</f>
        <v>0</v>
      </c>
      <c r="G12" s="139">
        <f>SUMIF(HK!A:A,"089*",HK!D:D)-SUMIF(HK!A:A,"089*",HK!C:C)</f>
        <v>0</v>
      </c>
      <c r="H12" s="241"/>
      <c r="I12" s="241"/>
      <c r="J12" s="73">
        <f>SUM(B12:I12)</f>
        <v>7083.34</v>
      </c>
      <c r="L12" s="38"/>
    </row>
    <row r="13" spans="1:33" ht="15" customHeight="1" thickBot="1" x14ac:dyDescent="0.3">
      <c r="A13" s="116" t="s">
        <v>1060</v>
      </c>
      <c r="B13" s="241"/>
      <c r="C13" s="241"/>
      <c r="D13" s="241"/>
      <c r="E13" s="241"/>
      <c r="F13" s="241"/>
      <c r="G13" s="241"/>
      <c r="H13" s="241"/>
      <c r="I13" s="241"/>
      <c r="J13" s="73">
        <f>SUM(B13:I13)</f>
        <v>0</v>
      </c>
    </row>
    <row r="14" spans="1:33" ht="15" customHeight="1" thickBot="1" x14ac:dyDescent="0.3">
      <c r="A14" s="116" t="s">
        <v>16</v>
      </c>
      <c r="B14" s="241"/>
      <c r="C14" s="241"/>
      <c r="D14" s="241"/>
      <c r="E14" s="241"/>
      <c r="F14" s="241"/>
      <c r="G14" s="241"/>
      <c r="H14" s="241"/>
      <c r="I14" s="241"/>
      <c r="J14" s="73">
        <f>SUM(B14:I14)</f>
        <v>0</v>
      </c>
    </row>
    <row r="15" spans="1:33" ht="15" customHeight="1" thickBot="1" x14ac:dyDescent="0.3">
      <c r="A15" s="5" t="s">
        <v>446</v>
      </c>
      <c r="B15" s="172"/>
      <c r="C15" s="241"/>
      <c r="D15" s="241"/>
      <c r="E15" s="241"/>
      <c r="F15" s="241"/>
      <c r="G15" s="241"/>
      <c r="H15" s="172"/>
      <c r="I15" s="29"/>
      <c r="J15" s="29"/>
    </row>
    <row r="16" spans="1:33" ht="15.75" thickBot="1" x14ac:dyDescent="0.3">
      <c r="A16" s="74" t="s">
        <v>89</v>
      </c>
      <c r="B16" s="49"/>
      <c r="C16" s="139">
        <f>SUMIF(HK!A:A,"081*",HK!L:L)-SUMIF(HK!A:A,"081*",HK!K:K)</f>
        <v>0</v>
      </c>
      <c r="D16" s="139">
        <f>SUMIF(HK!A:A,"082*",HK!L:L)-SUMIF(HK!A:A,"082*",HK!K:K)</f>
        <v>7083.34</v>
      </c>
      <c r="E16" s="139">
        <f>SUMIF(HK!A:A,"085*",HK!L:L)-SUMIF(HK!A:A,"085*",HK!K:K)</f>
        <v>0</v>
      </c>
      <c r="F16" s="139">
        <f>SUMIF(HK!A:A,"086*",HK!L:L)-SUMIF(HK!A:A,"086*",HK!K:K)</f>
        <v>0</v>
      </c>
      <c r="G16" s="139">
        <f>SUMIF(HK!A:A,"089*",HK!L:L)-SUMIF(HK!A:A,"089*",HK!K:K)</f>
        <v>0</v>
      </c>
      <c r="H16" s="49"/>
      <c r="I16" s="49"/>
      <c r="J16" s="152">
        <f>J12+J13-J14</f>
        <v>7083.34</v>
      </c>
      <c r="L16" s="38"/>
    </row>
    <row r="17" spans="1:33" ht="15" customHeight="1" thickTop="1" thickBot="1" x14ac:dyDescent="0.3">
      <c r="A17" s="214" t="s">
        <v>1075</v>
      </c>
      <c r="B17" s="145"/>
      <c r="C17" s="145"/>
      <c r="D17" s="145"/>
      <c r="E17" s="145"/>
      <c r="F17" s="145"/>
      <c r="G17" s="145"/>
      <c r="H17" s="145"/>
      <c r="I17" s="145"/>
      <c r="J17" s="118"/>
    </row>
    <row r="18" spans="1:33" ht="24" thickTop="1" thickBot="1" x14ac:dyDescent="0.3">
      <c r="A18" s="216" t="s">
        <v>61</v>
      </c>
      <c r="B18" s="241"/>
      <c r="C18" s="139"/>
      <c r="D18" s="139"/>
      <c r="E18" s="139"/>
      <c r="F18" s="139"/>
      <c r="G18" s="139"/>
      <c r="H18" s="139">
        <f>SUMIF(HK!A:A,"094*",HK!D:D)-SUMIF(HK!A:A,"094*",HK!C:C)</f>
        <v>0</v>
      </c>
      <c r="I18" s="139">
        <f>SUMIF(SUAM!C:C,"019",SUAM!E:E)</f>
        <v>0</v>
      </c>
      <c r="J18" s="73">
        <f>SUM(B18:I18)</f>
        <v>0</v>
      </c>
      <c r="L18" s="38"/>
      <c r="M18" s="38"/>
      <c r="N18" s="124"/>
    </row>
    <row r="19" spans="1:33" ht="15" customHeight="1" thickBot="1" x14ac:dyDescent="0.3">
      <c r="A19" s="116" t="s">
        <v>1060</v>
      </c>
      <c r="B19" s="241"/>
      <c r="C19" s="241"/>
      <c r="D19" s="241"/>
      <c r="E19" s="241"/>
      <c r="F19" s="241"/>
      <c r="G19" s="241"/>
      <c r="H19" s="241"/>
      <c r="I19" s="241"/>
      <c r="J19" s="73">
        <f>SUM(B19:I19)</f>
        <v>0</v>
      </c>
      <c r="N19" s="124"/>
    </row>
    <row r="20" spans="1:33" ht="15" customHeight="1" thickBot="1" x14ac:dyDescent="0.3">
      <c r="A20" s="116" t="s">
        <v>16</v>
      </c>
      <c r="B20" s="241"/>
      <c r="C20" s="241"/>
      <c r="D20" s="241"/>
      <c r="E20" s="241"/>
      <c r="F20" s="241"/>
      <c r="G20" s="241"/>
      <c r="H20" s="241"/>
      <c r="I20" s="241"/>
      <c r="J20" s="73">
        <f>SUM(B20:I20)</f>
        <v>0</v>
      </c>
      <c r="N20" s="124"/>
    </row>
    <row r="21" spans="1:33" ht="15" customHeight="1" thickBot="1" x14ac:dyDescent="0.3">
      <c r="A21" s="46" t="s">
        <v>446</v>
      </c>
      <c r="B21" s="29"/>
      <c r="C21" s="241"/>
      <c r="D21" s="241"/>
      <c r="E21" s="241"/>
      <c r="F21" s="241"/>
      <c r="G21" s="241"/>
      <c r="H21" s="241"/>
      <c r="I21" s="241"/>
      <c r="J21" s="172"/>
      <c r="N21" s="124"/>
    </row>
    <row r="22" spans="1:33" ht="15.75" thickBot="1" x14ac:dyDescent="0.3">
      <c r="A22" s="74" t="s">
        <v>89</v>
      </c>
      <c r="B22" s="49"/>
      <c r="C22" s="139"/>
      <c r="D22" s="139"/>
      <c r="E22" s="139"/>
      <c r="F22" s="139"/>
      <c r="G22" s="139"/>
      <c r="H22" s="139">
        <f>SUMIF(HK!A:A,"094*",HK!L:L)-SUMIF(HK!A:A,"094*",HK!K:K)</f>
        <v>0</v>
      </c>
      <c r="I22" s="139">
        <f>SUMIF(SUA!C:C,"019",SUA!E:E)</f>
        <v>0</v>
      </c>
      <c r="J22" s="152">
        <f>J18+J19-J20</f>
        <v>0</v>
      </c>
      <c r="L22" s="38"/>
      <c r="M22" s="38"/>
      <c r="N22" s="124"/>
    </row>
    <row r="23" spans="1:33" ht="15" customHeight="1" thickTop="1" thickBot="1" x14ac:dyDescent="0.3">
      <c r="A23" s="214" t="s">
        <v>600</v>
      </c>
      <c r="B23" s="145"/>
      <c r="C23" s="145"/>
      <c r="D23" s="145"/>
      <c r="E23" s="145"/>
      <c r="F23" s="145"/>
      <c r="G23" s="145"/>
      <c r="H23" s="145"/>
      <c r="I23" s="145"/>
      <c r="J23" s="118"/>
    </row>
    <row r="24" spans="1:33" ht="15" customHeight="1" thickTop="1" thickBot="1" x14ac:dyDescent="0.3">
      <c r="A24" s="216" t="s">
        <v>61</v>
      </c>
      <c r="B24" s="241"/>
      <c r="C24" s="241"/>
      <c r="D24" s="241"/>
      <c r="E24" s="241"/>
      <c r="F24" s="241"/>
      <c r="G24" s="241"/>
      <c r="H24" s="241"/>
      <c r="I24" s="241"/>
      <c r="J24" s="73">
        <f>J6-J12-J18</f>
        <v>0</v>
      </c>
    </row>
    <row r="25" spans="1:33" ht="15" customHeight="1" thickBot="1" x14ac:dyDescent="0.3">
      <c r="A25" s="74" t="s">
        <v>89</v>
      </c>
      <c r="B25" s="49"/>
      <c r="C25" s="49"/>
      <c r="D25" s="49"/>
      <c r="E25" s="49"/>
      <c r="F25" s="49"/>
      <c r="G25" s="49"/>
      <c r="H25" s="49"/>
      <c r="I25" s="49"/>
      <c r="J25" s="152">
        <f>J10-J16-J22</f>
        <v>0</v>
      </c>
    </row>
    <row r="26" spans="1:33" ht="15.75" thickTop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.75" thickBot="1" x14ac:dyDescent="0.3">
      <c r="A28" s="7" t="s">
        <v>5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 x14ac:dyDescent="0.3">
      <c r="A29" s="260" t="s">
        <v>507</v>
      </c>
      <c r="B29" s="263" t="s">
        <v>732</v>
      </c>
      <c r="C29" s="264"/>
      <c r="D29" s="264"/>
      <c r="E29" s="264"/>
      <c r="F29" s="264"/>
      <c r="G29" s="264"/>
      <c r="H29" s="264"/>
      <c r="I29" s="264"/>
      <c r="J29" s="265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62.25" customHeight="1" thickTop="1" thickBot="1" x14ac:dyDescent="0.3">
      <c r="A30" s="262"/>
      <c r="B30" s="247" t="s">
        <v>900</v>
      </c>
      <c r="C30" s="247" t="s">
        <v>441</v>
      </c>
      <c r="D30" s="247" t="s">
        <v>749</v>
      </c>
      <c r="E30" s="247" t="s">
        <v>107</v>
      </c>
      <c r="F30" s="247" t="s">
        <v>255</v>
      </c>
      <c r="G30" s="247" t="s">
        <v>1076</v>
      </c>
      <c r="H30" s="247" t="s">
        <v>36</v>
      </c>
      <c r="I30" s="247" t="s">
        <v>982</v>
      </c>
      <c r="J30" s="247" t="s">
        <v>868</v>
      </c>
    </row>
    <row r="31" spans="1:33" ht="15" customHeight="1" thickTop="1" thickBot="1" x14ac:dyDescent="0.3">
      <c r="A31" s="214" t="s">
        <v>1088</v>
      </c>
      <c r="B31" s="111"/>
      <c r="C31" s="111"/>
      <c r="D31" s="111"/>
      <c r="E31" s="111"/>
      <c r="F31" s="111"/>
      <c r="G31" s="111"/>
      <c r="H31" s="111"/>
      <c r="I31" s="111"/>
      <c r="J31" s="118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</row>
    <row r="32" spans="1:33" ht="24" thickTop="1" thickBot="1" x14ac:dyDescent="0.3">
      <c r="A32" s="216" t="s">
        <v>928</v>
      </c>
      <c r="B32" s="139">
        <f>SUMIF(HKM!A:A,"031*",HKM!C:C)-SUMIF(HKM!A:A,"031*",HKM!D:D)</f>
        <v>0</v>
      </c>
      <c r="C32" s="139">
        <f>SUMIF(HKM!A:A,"021*",HKM!C:C)-SUMIF(HKM!A:A,"021*",HKM!D:D)</f>
        <v>0</v>
      </c>
      <c r="D32" s="139">
        <f>SUMIF(HKM!A:A,"022*",HKM!C:C)-SUMIF(HKM!A:A,"022*",HKM!D:D)</f>
        <v>7083.34</v>
      </c>
      <c r="E32" s="139">
        <f>SUMIF(HKM!A:A,"025*",HKM!C:C)-SUMIF(HKM!A:A,"025*",HKM!D:D)</f>
        <v>0</v>
      </c>
      <c r="F32" s="139">
        <f>SUMIF(HKM!A:A,"026*",HKM!C:C)-SUMIF(HKM!A:A,"026*",HKM!D:D)</f>
        <v>0</v>
      </c>
      <c r="G32" s="139">
        <f>SUMIF(HKM!A:A,"029*",HKM!C:C)-SUMIF(HKM!A:A,"029*",HKM!D:D)</f>
        <v>0</v>
      </c>
      <c r="H32" s="139">
        <f>SUMIF(HKM!A:A,"042*",HKM!C:C)-SUMIF(HKM!A:A,"042*",HKM!D:D)</f>
        <v>0</v>
      </c>
      <c r="I32" s="139">
        <f>SUMIF(HKM!A:A,"052*",HKM!C:C)-SUMIF(HKM!A:A,"052*",HKM!D:D)</f>
        <v>0</v>
      </c>
      <c r="J32" s="73">
        <f>SUM(B32:I32)</f>
        <v>7083.34</v>
      </c>
      <c r="L32" s="38"/>
    </row>
    <row r="33" spans="1:14" ht="15" customHeight="1" thickBot="1" x14ac:dyDescent="0.3">
      <c r="A33" s="116" t="s">
        <v>1060</v>
      </c>
      <c r="B33" s="241"/>
      <c r="C33" s="241"/>
      <c r="D33" s="241"/>
      <c r="E33" s="241"/>
      <c r="F33" s="29"/>
      <c r="G33" s="241"/>
      <c r="H33" s="241"/>
      <c r="I33" s="241"/>
      <c r="J33" s="73">
        <f>SUM(B33:I33)</f>
        <v>0</v>
      </c>
    </row>
    <row r="34" spans="1:14" ht="15" customHeight="1" thickBot="1" x14ac:dyDescent="0.3">
      <c r="A34" s="116" t="s">
        <v>16</v>
      </c>
      <c r="B34" s="241"/>
      <c r="C34" s="241"/>
      <c r="D34" s="241"/>
      <c r="E34" s="241"/>
      <c r="F34" s="29"/>
      <c r="G34" s="241"/>
      <c r="H34" s="241"/>
      <c r="I34" s="241"/>
      <c r="J34" s="73">
        <f>SUM(B34:I34)</f>
        <v>0</v>
      </c>
    </row>
    <row r="35" spans="1:14" ht="15" customHeight="1" thickBot="1" x14ac:dyDescent="0.3">
      <c r="A35" s="116" t="s">
        <v>446</v>
      </c>
      <c r="B35" s="241"/>
      <c r="C35" s="241"/>
      <c r="D35" s="241"/>
      <c r="E35" s="241"/>
      <c r="F35" s="29"/>
      <c r="G35" s="241"/>
      <c r="H35" s="241"/>
      <c r="I35" s="241"/>
      <c r="J35" s="73">
        <f>SUM(B35:I35)</f>
        <v>0</v>
      </c>
    </row>
    <row r="36" spans="1:14" ht="15.75" thickBot="1" x14ac:dyDescent="0.3">
      <c r="A36" s="74" t="s">
        <v>89</v>
      </c>
      <c r="B36" s="139">
        <f>SUMIF(HKM!A:A,"031*",HKM!K:K)-SUMIF(HKM!A:A,"031*",HKM!L:L)</f>
        <v>0</v>
      </c>
      <c r="C36" s="139">
        <f>SUMIF(HKM!A:A,"021*",HKM!K:K)-SUMIF(HKM!A:A,"021*",HKM!L:L)</f>
        <v>0</v>
      </c>
      <c r="D36" s="139">
        <f>SUMIF(HKM!A:A,"022*",HKM!K:K)-SUMIF(HKM!A:A,"022*",HKM!L:L)</f>
        <v>7083.34</v>
      </c>
      <c r="E36" s="139">
        <f>SUMIF(HKM!A:A,"025*",HKM!K:K)-SUMIF(HKM!A:A,"025*",HKM!L:L)</f>
        <v>0</v>
      </c>
      <c r="F36" s="139">
        <f>SUMIF(HKM!A:A,"026*",HKM!K:K)-SUMIF(HKM!A:A,"026*",HKM!L:L)</f>
        <v>0</v>
      </c>
      <c r="G36" s="139">
        <f>SUMIF(HKM!A:A,"029*",HKM!K:K)-SUMIF(HKM!A:A,"029*",HKM!L:L)</f>
        <v>0</v>
      </c>
      <c r="H36" s="139">
        <f>SUMIF(HKM!A:A,"042*",HKM!K:K)-SUMIF(HKM!A:A,"042*",HKM!L:L)</f>
        <v>0</v>
      </c>
      <c r="I36" s="139">
        <f>SUMIF(HKM!A:A,"052*",HKM!K:K)-SUMIF(HKM!A:A,"052*",HKM!L:L)</f>
        <v>0</v>
      </c>
      <c r="J36" s="152">
        <f>J32+J33-J34+J35</f>
        <v>7083.34</v>
      </c>
      <c r="L36" s="38"/>
    </row>
    <row r="37" spans="1:14" ht="15" customHeight="1" thickTop="1" thickBot="1" x14ac:dyDescent="0.3">
      <c r="A37" s="214" t="s">
        <v>266</v>
      </c>
      <c r="B37" s="145"/>
      <c r="C37" s="145"/>
      <c r="D37" s="145"/>
      <c r="E37" s="145"/>
      <c r="F37" s="145"/>
      <c r="G37" s="145"/>
      <c r="H37" s="145"/>
      <c r="I37" s="145"/>
      <c r="J37" s="118"/>
    </row>
    <row r="38" spans="1:14" ht="24" thickTop="1" thickBot="1" x14ac:dyDescent="0.3">
      <c r="A38" s="216" t="s">
        <v>61</v>
      </c>
      <c r="B38" s="241"/>
      <c r="C38" s="139">
        <f>SUMIF(HKM!A:A,"081*",HKM!D:D)-SUMIF(HKM!A:A,"081*",HKM!C:C)</f>
        <v>0</v>
      </c>
      <c r="D38" s="139">
        <f>SUMIF(HKM!A:A,"082*",HKM!D:D)-SUMIF(HKM!A:A,"082*",HKM!C:C)</f>
        <v>6068</v>
      </c>
      <c r="E38" s="139">
        <f>SUMIF(HKM!A:A,"085*",HKM!D:D)-SUMIF(HKM!A:A,"085*",HKM!C:C)</f>
        <v>0</v>
      </c>
      <c r="F38" s="139">
        <f>SUMIF(HKM!A:A,"086*",HKM!D:D)-SUMIF(HKM!A:A,"086*",HKM!C:C)</f>
        <v>0</v>
      </c>
      <c r="G38" s="139">
        <f>SUMIF(HKM!A:A,"089*",HKM!D:D)-SUMIF(HKM!A:A,"089*",HKM!C:C)</f>
        <v>0</v>
      </c>
      <c r="H38" s="241"/>
      <c r="I38" s="241"/>
      <c r="J38" s="73">
        <f>SUM(B38:I38)</f>
        <v>6068</v>
      </c>
      <c r="L38" s="38"/>
    </row>
    <row r="39" spans="1:14" ht="15" customHeight="1" thickBot="1" x14ac:dyDescent="0.3">
      <c r="A39" s="116" t="s">
        <v>1060</v>
      </c>
      <c r="B39" s="241"/>
      <c r="C39" s="241"/>
      <c r="D39" s="241"/>
      <c r="E39" s="241"/>
      <c r="F39" s="241"/>
      <c r="G39" s="241"/>
      <c r="H39" s="241"/>
      <c r="I39" s="241"/>
      <c r="J39" s="73">
        <f>SUM(B39:I39)</f>
        <v>0</v>
      </c>
    </row>
    <row r="40" spans="1:14" ht="15" customHeight="1" thickBot="1" x14ac:dyDescent="0.3">
      <c r="A40" s="116" t="s">
        <v>16</v>
      </c>
      <c r="B40" s="241"/>
      <c r="C40" s="241"/>
      <c r="D40" s="241"/>
      <c r="E40" s="241"/>
      <c r="F40" s="241"/>
      <c r="G40" s="241"/>
      <c r="H40" s="241"/>
      <c r="I40" s="241"/>
      <c r="J40" s="73">
        <f>SUM(B40:I40)</f>
        <v>0</v>
      </c>
    </row>
    <row r="41" spans="1:14" ht="15" customHeight="1" thickBot="1" x14ac:dyDescent="0.3">
      <c r="A41" s="46" t="s">
        <v>446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.75" thickBot="1" x14ac:dyDescent="0.3">
      <c r="A42" s="74" t="s">
        <v>89</v>
      </c>
      <c r="B42" s="49"/>
      <c r="C42" s="139">
        <f>SUMIF(HKM!A:A,"081*",HKM!L:L)-SUMIF(HKM!A:A,"081*",HKM!K:K)</f>
        <v>0</v>
      </c>
      <c r="D42" s="139">
        <f>SUMIF(HKM!A:A,"082*",HKM!L:L)-SUMIF(HKM!A:A,"082*",HKM!K:K)</f>
        <v>7083.34</v>
      </c>
      <c r="E42" s="139">
        <f>SUMIF(HKM!A:A,"085*",HKM!L:L)-SUMIF(HKM!A:A,"085*",HKM!K:K)</f>
        <v>0</v>
      </c>
      <c r="F42" s="139">
        <f>SUMIF(HKM!A:A,"086*",HKM!L:L)-SUMIF(HKM!A:A,"086*",HKM!K:K)</f>
        <v>0</v>
      </c>
      <c r="G42" s="139">
        <f>SUMIF(HKM!A:A,"089*",HKM!L:L)-SUMIF(HKM!A:A,"089*",HKM!K:K)</f>
        <v>0</v>
      </c>
      <c r="H42" s="49"/>
      <c r="I42" s="49"/>
      <c r="J42" s="152">
        <f>J38+J39-J40</f>
        <v>6068</v>
      </c>
      <c r="L42" s="38"/>
    </row>
    <row r="43" spans="1:14" ht="15" customHeight="1" thickTop="1" thickBot="1" x14ac:dyDescent="0.3">
      <c r="A43" s="214" t="s">
        <v>1075</v>
      </c>
      <c r="B43" s="145"/>
      <c r="C43" s="145"/>
      <c r="D43" s="145"/>
      <c r="E43" s="145"/>
      <c r="F43" s="145"/>
      <c r="G43" s="145"/>
      <c r="H43" s="145"/>
      <c r="I43" s="145"/>
      <c r="J43" s="118"/>
    </row>
    <row r="44" spans="1:14" ht="24" thickTop="1" thickBot="1" x14ac:dyDescent="0.3">
      <c r="A44" s="216" t="s">
        <v>61</v>
      </c>
      <c r="B44" s="241"/>
      <c r="C44" s="139"/>
      <c r="D44" s="139"/>
      <c r="E44" s="139"/>
      <c r="F44" s="139"/>
      <c r="G44" s="139"/>
      <c r="H44" s="139">
        <f>SUMIF(HKM!A:A,"094*",HKM!D:D)-SUMIF(HKM!A:A,"094*",HKM!C:C)</f>
        <v>0</v>
      </c>
      <c r="I44" s="139"/>
      <c r="J44" s="73">
        <f>SUM(B44:I44)</f>
        <v>0</v>
      </c>
      <c r="L44" s="38"/>
      <c r="M44" s="213"/>
      <c r="N44" s="124"/>
    </row>
    <row r="45" spans="1:14" ht="15" customHeight="1" thickBot="1" x14ac:dyDescent="0.3">
      <c r="A45" s="116" t="s">
        <v>1060</v>
      </c>
      <c r="B45" s="241"/>
      <c r="C45" s="241"/>
      <c r="D45" s="241"/>
      <c r="E45" s="241"/>
      <c r="F45" s="241"/>
      <c r="G45" s="241"/>
      <c r="H45" s="241"/>
      <c r="I45" s="241"/>
      <c r="J45" s="73">
        <f>SUM(B45:I45)</f>
        <v>0</v>
      </c>
      <c r="N45" s="124"/>
    </row>
    <row r="46" spans="1:14" ht="15" customHeight="1" thickBot="1" x14ac:dyDescent="0.3">
      <c r="A46" s="116" t="s">
        <v>16</v>
      </c>
      <c r="B46" s="241"/>
      <c r="C46" s="241"/>
      <c r="D46" s="241"/>
      <c r="E46" s="241"/>
      <c r="F46" s="241"/>
      <c r="G46" s="241"/>
      <c r="H46" s="241"/>
      <c r="I46" s="241"/>
      <c r="J46" s="73">
        <f>SUM(B46:I46)</f>
        <v>0</v>
      </c>
      <c r="N46" s="124"/>
    </row>
    <row r="47" spans="1:14" ht="15" customHeight="1" thickBot="1" x14ac:dyDescent="0.3">
      <c r="A47" s="46" t="s">
        <v>446</v>
      </c>
      <c r="B47" s="29"/>
      <c r="C47" s="29"/>
      <c r="D47" s="29"/>
      <c r="E47" s="29"/>
      <c r="F47" s="29"/>
      <c r="G47" s="29"/>
      <c r="H47" s="29"/>
      <c r="I47" s="29"/>
      <c r="J47" s="29"/>
      <c r="N47" s="124"/>
    </row>
    <row r="48" spans="1:14" ht="15.75" thickBot="1" x14ac:dyDescent="0.3">
      <c r="A48" s="74" t="s">
        <v>89</v>
      </c>
      <c r="B48" s="49"/>
      <c r="C48" s="139"/>
      <c r="D48" s="139"/>
      <c r="E48" s="139"/>
      <c r="F48" s="139"/>
      <c r="G48" s="139"/>
      <c r="H48" s="139">
        <f>SUMIF(HKM!A:A,"094*",HKM!L:L)-SUMIF(HKM!A:A,"094*",HKM!K:K)</f>
        <v>0</v>
      </c>
      <c r="I48" s="139">
        <f>SUMIF(SUAM!C:C,"019",SUAM!E:E)</f>
        <v>0</v>
      </c>
      <c r="J48" s="152">
        <f>J44+J45-J46</f>
        <v>0</v>
      </c>
      <c r="L48" s="38"/>
      <c r="N48" s="124"/>
    </row>
    <row r="49" spans="1:10" ht="15" customHeight="1" thickTop="1" thickBot="1" x14ac:dyDescent="0.3">
      <c r="A49" s="214" t="s">
        <v>600</v>
      </c>
      <c r="B49" s="145"/>
      <c r="C49" s="145"/>
      <c r="D49" s="145"/>
      <c r="E49" s="145"/>
      <c r="F49" s="145"/>
      <c r="G49" s="145"/>
      <c r="H49" s="145"/>
      <c r="I49" s="145"/>
      <c r="J49" s="118"/>
    </row>
    <row r="50" spans="1:10" ht="15" customHeight="1" thickTop="1" thickBot="1" x14ac:dyDescent="0.3">
      <c r="A50" s="216" t="s">
        <v>61</v>
      </c>
      <c r="B50" s="241">
        <f t="shared" ref="B50:J50" si="0">B32-B38-B44</f>
        <v>0</v>
      </c>
      <c r="C50" s="241">
        <f t="shared" si="0"/>
        <v>0</v>
      </c>
      <c r="D50" s="241">
        <f t="shared" si="0"/>
        <v>1015.3400000000001</v>
      </c>
      <c r="E50" s="241">
        <f t="shared" si="0"/>
        <v>0</v>
      </c>
      <c r="F50" s="241">
        <f t="shared" si="0"/>
        <v>0</v>
      </c>
      <c r="G50" s="241">
        <f t="shared" si="0"/>
        <v>0</v>
      </c>
      <c r="H50" s="241">
        <f t="shared" si="0"/>
        <v>0</v>
      </c>
      <c r="I50" s="241">
        <f t="shared" si="0"/>
        <v>0</v>
      </c>
      <c r="J50" s="73">
        <f t="shared" si="0"/>
        <v>1015.3400000000001</v>
      </c>
    </row>
    <row r="51" spans="1:10" ht="15" customHeight="1" thickBot="1" x14ac:dyDescent="0.3">
      <c r="A51" s="74" t="s">
        <v>89</v>
      </c>
      <c r="B51" s="49">
        <f t="shared" ref="B51:J51" si="1">B36-B42-B48</f>
        <v>0</v>
      </c>
      <c r="C51" s="49">
        <f t="shared" si="1"/>
        <v>0</v>
      </c>
      <c r="D51" s="49">
        <f t="shared" si="1"/>
        <v>0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0</v>
      </c>
      <c r="I51" s="49">
        <f t="shared" si="1"/>
        <v>0</v>
      </c>
      <c r="J51" s="152">
        <f t="shared" si="1"/>
        <v>1015.3400000000001</v>
      </c>
    </row>
    <row r="52" spans="1:10" ht="15.75" thickTop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G68"/>
  <sheetViews>
    <sheetView topLeftCell="A2" zoomScaleNormal="100" zoomScaleSheetLayoutView="100" workbookViewId="0"/>
  </sheetViews>
  <sheetFormatPr defaultColWidth="9.140625" defaultRowHeight="15" x14ac:dyDescent="0.25"/>
  <cols>
    <col min="1" max="1" width="9.140625" style="2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 x14ac:dyDescent="0.25">
      <c r="A1" s="11" t="s">
        <v>633</v>
      </c>
      <c r="B1" s="11" t="s">
        <v>219</v>
      </c>
      <c r="C1" s="51" t="s">
        <v>767</v>
      </c>
      <c r="D1" s="157" t="s">
        <v>1034</v>
      </c>
      <c r="E1" s="157" t="s">
        <v>384</v>
      </c>
      <c r="F1" s="157" t="s">
        <v>303</v>
      </c>
      <c r="G1" s="157" t="s">
        <v>455</v>
      </c>
    </row>
    <row r="2" spans="1:7" x14ac:dyDescent="0.25">
      <c r="A2" s="70" t="s">
        <v>931</v>
      </c>
      <c r="B2" s="70" t="s">
        <v>632</v>
      </c>
      <c r="C2" s="246" t="s">
        <v>391</v>
      </c>
      <c r="D2" s="176">
        <v>16574.13</v>
      </c>
      <c r="E2" s="176">
        <v>36878.589999999997</v>
      </c>
      <c r="F2" s="176">
        <v>16574.13</v>
      </c>
      <c r="G2" s="176">
        <v>36879</v>
      </c>
    </row>
    <row r="3" spans="1:7" x14ac:dyDescent="0.25">
      <c r="A3" s="70" t="s">
        <v>805</v>
      </c>
      <c r="B3" s="70" t="s">
        <v>1049</v>
      </c>
      <c r="C3" s="246" t="s">
        <v>149</v>
      </c>
      <c r="D3" s="144">
        <v>-44886.75</v>
      </c>
      <c r="E3" s="144">
        <v>-16181.77</v>
      </c>
      <c r="F3" s="144">
        <v>-44886.75</v>
      </c>
      <c r="G3" s="144">
        <v>-16181</v>
      </c>
    </row>
    <row r="4" spans="1:7" x14ac:dyDescent="0.25">
      <c r="A4" s="70" t="s">
        <v>985</v>
      </c>
      <c r="B4" s="70" t="s">
        <v>33</v>
      </c>
      <c r="C4" s="246" t="s">
        <v>692</v>
      </c>
      <c r="D4" s="176">
        <v>6638.78</v>
      </c>
      <c r="E4" s="176">
        <v>6638.78</v>
      </c>
      <c r="F4" s="176">
        <v>6638.78</v>
      </c>
      <c r="G4" s="176">
        <v>6639</v>
      </c>
    </row>
    <row r="5" spans="1:7" x14ac:dyDescent="0.25">
      <c r="A5" s="70" t="s">
        <v>393</v>
      </c>
      <c r="B5" s="70" t="s">
        <v>291</v>
      </c>
      <c r="C5" s="246" t="s">
        <v>1033</v>
      </c>
      <c r="D5" s="176">
        <v>6638.78</v>
      </c>
      <c r="E5" s="176">
        <v>6638.78</v>
      </c>
      <c r="F5" s="176">
        <v>6638.78</v>
      </c>
      <c r="G5" s="176">
        <v>6639</v>
      </c>
    </row>
    <row r="6" spans="1:7" x14ac:dyDescent="0.25">
      <c r="A6" s="70" t="s">
        <v>878</v>
      </c>
      <c r="B6" s="70" t="s">
        <v>760</v>
      </c>
      <c r="C6" s="246" t="s">
        <v>123</v>
      </c>
      <c r="D6" s="162">
        <v>0</v>
      </c>
      <c r="E6" s="176">
        <v>0</v>
      </c>
      <c r="F6" s="162">
        <v>0</v>
      </c>
      <c r="G6" s="176">
        <v>0</v>
      </c>
    </row>
    <row r="7" spans="1:7" x14ac:dyDescent="0.25">
      <c r="A7" s="70" t="s">
        <v>204</v>
      </c>
      <c r="B7" s="70" t="s">
        <v>772</v>
      </c>
      <c r="C7" s="246" t="s">
        <v>235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82</v>
      </c>
      <c r="B8" s="70" t="s">
        <v>789</v>
      </c>
      <c r="C8" s="246" t="s">
        <v>612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25">
      <c r="A9" s="70" t="s">
        <v>916</v>
      </c>
      <c r="B9" s="70" t="s">
        <v>652</v>
      </c>
      <c r="C9" s="246" t="s">
        <v>706</v>
      </c>
      <c r="D9" s="162">
        <v>0</v>
      </c>
      <c r="E9" s="176">
        <v>0</v>
      </c>
      <c r="F9" s="162">
        <v>0</v>
      </c>
      <c r="G9" s="176">
        <v>0</v>
      </c>
    </row>
    <row r="10" spans="1:7" x14ac:dyDescent="0.25">
      <c r="A10" s="70" t="s">
        <v>731</v>
      </c>
      <c r="B10" s="70" t="s">
        <v>133</v>
      </c>
      <c r="C10" s="246" t="s">
        <v>693</v>
      </c>
      <c r="D10" s="176">
        <v>663</v>
      </c>
      <c r="E10" s="176">
        <v>663</v>
      </c>
      <c r="F10" s="176">
        <v>663</v>
      </c>
      <c r="G10" s="176">
        <v>663</v>
      </c>
    </row>
    <row r="11" spans="1:7" x14ac:dyDescent="0.25">
      <c r="A11" s="70" t="s">
        <v>210</v>
      </c>
      <c r="B11" s="70" t="s">
        <v>360</v>
      </c>
      <c r="C11" s="246" t="s">
        <v>388</v>
      </c>
      <c r="D11" s="176">
        <v>663</v>
      </c>
      <c r="E11" s="176">
        <v>663</v>
      </c>
      <c r="F11" s="176">
        <v>663</v>
      </c>
      <c r="G11" s="176">
        <v>663</v>
      </c>
    </row>
    <row r="12" spans="1:7" x14ac:dyDescent="0.25">
      <c r="A12" s="70" t="s">
        <v>878</v>
      </c>
      <c r="B12" s="70" t="s">
        <v>635</v>
      </c>
      <c r="C12" s="246" t="s">
        <v>23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770</v>
      </c>
      <c r="B13" s="70" t="s">
        <v>408</v>
      </c>
      <c r="C13" s="246" t="s">
        <v>1019</v>
      </c>
      <c r="D13" s="162">
        <v>0</v>
      </c>
      <c r="E13" s="176">
        <v>0</v>
      </c>
      <c r="F13" s="162">
        <v>0</v>
      </c>
      <c r="G13" s="176">
        <v>0</v>
      </c>
    </row>
    <row r="14" spans="1:7" x14ac:dyDescent="0.25">
      <c r="A14" s="70" t="s">
        <v>203</v>
      </c>
      <c r="B14" s="70" t="s">
        <v>168</v>
      </c>
      <c r="C14" s="246" t="s">
        <v>824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186</v>
      </c>
      <c r="B15" s="70" t="s">
        <v>775</v>
      </c>
      <c r="C15" s="246" t="s">
        <v>885</v>
      </c>
      <c r="D15" s="162">
        <v>0</v>
      </c>
      <c r="E15" s="176">
        <v>0</v>
      </c>
      <c r="F15" s="162">
        <v>0</v>
      </c>
      <c r="G15" s="176">
        <v>0</v>
      </c>
    </row>
    <row r="16" spans="1:7" x14ac:dyDescent="0.25">
      <c r="A16" s="70" t="s">
        <v>1050</v>
      </c>
      <c r="B16" s="70" t="s">
        <v>660</v>
      </c>
      <c r="C16" s="246" t="s">
        <v>988</v>
      </c>
      <c r="D16" s="162">
        <v>0</v>
      </c>
      <c r="E16" s="176">
        <v>0</v>
      </c>
      <c r="F16" s="162">
        <v>0</v>
      </c>
      <c r="G16" s="176">
        <v>0</v>
      </c>
    </row>
    <row r="17" spans="1:7" x14ac:dyDescent="0.25">
      <c r="A17" s="70" t="s">
        <v>738</v>
      </c>
      <c r="B17" s="70" t="s">
        <v>540</v>
      </c>
      <c r="C17" s="246" t="s">
        <v>311</v>
      </c>
      <c r="D17" s="162">
        <v>0</v>
      </c>
      <c r="E17" s="176">
        <v>0</v>
      </c>
      <c r="F17" s="162">
        <v>0</v>
      </c>
      <c r="G17" s="176">
        <v>0</v>
      </c>
    </row>
    <row r="18" spans="1:7" x14ac:dyDescent="0.25">
      <c r="A18" s="70" t="s">
        <v>878</v>
      </c>
      <c r="B18" s="70" t="s">
        <v>715</v>
      </c>
      <c r="C18" s="246" t="s">
        <v>475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25">
      <c r="A19" s="70" t="s">
        <v>204</v>
      </c>
      <c r="B19" s="70" t="s">
        <v>35</v>
      </c>
      <c r="C19" s="246" t="s">
        <v>978</v>
      </c>
      <c r="D19" s="162">
        <v>0</v>
      </c>
      <c r="E19" s="176">
        <v>0</v>
      </c>
      <c r="F19" s="162">
        <v>0</v>
      </c>
      <c r="G19" s="176">
        <v>0</v>
      </c>
    </row>
    <row r="20" spans="1:7" x14ac:dyDescent="0.25">
      <c r="A20" s="70" t="s">
        <v>847</v>
      </c>
      <c r="B20" s="70" t="s">
        <v>1062</v>
      </c>
      <c r="C20" s="246" t="s">
        <v>841</v>
      </c>
      <c r="D20" s="176">
        <v>-23483.55</v>
      </c>
      <c r="E20" s="176">
        <v>-18913.990000000002</v>
      </c>
      <c r="F20" s="176">
        <v>-23483.55</v>
      </c>
      <c r="G20" s="176">
        <v>-18913</v>
      </c>
    </row>
    <row r="21" spans="1:7" x14ac:dyDescent="0.25">
      <c r="A21" s="70" t="s">
        <v>975</v>
      </c>
      <c r="B21" s="70" t="s">
        <v>1121</v>
      </c>
      <c r="C21" s="246" t="s">
        <v>645</v>
      </c>
      <c r="D21" s="176">
        <v>15979.5</v>
      </c>
      <c r="E21" s="176">
        <v>15979.5</v>
      </c>
      <c r="F21" s="176">
        <v>15979.5</v>
      </c>
      <c r="G21" s="176">
        <v>15980</v>
      </c>
    </row>
    <row r="22" spans="1:7" x14ac:dyDescent="0.25">
      <c r="A22" s="70" t="s">
        <v>878</v>
      </c>
      <c r="B22" s="70" t="s">
        <v>39</v>
      </c>
      <c r="C22" s="246" t="s">
        <v>583</v>
      </c>
      <c r="D22" s="176">
        <v>-39463.050000000003</v>
      </c>
      <c r="E22" s="176">
        <v>-34893.49</v>
      </c>
      <c r="F22" s="176">
        <v>-39463.050000000003</v>
      </c>
      <c r="G22" s="176">
        <v>-34893</v>
      </c>
    </row>
    <row r="23" spans="1:7" x14ac:dyDescent="0.25">
      <c r="A23" s="70" t="s">
        <v>280</v>
      </c>
      <c r="B23" s="70" t="s">
        <v>655</v>
      </c>
      <c r="C23" s="246" t="s">
        <v>342</v>
      </c>
      <c r="D23" s="176">
        <v>-28704.98</v>
      </c>
      <c r="E23" s="176">
        <v>-4569.5600000000004</v>
      </c>
      <c r="F23" s="176">
        <v>-28704.98</v>
      </c>
      <c r="G23" s="176">
        <v>-4570</v>
      </c>
    </row>
    <row r="24" spans="1:7" x14ac:dyDescent="0.25">
      <c r="A24" s="70" t="s">
        <v>321</v>
      </c>
      <c r="B24" s="70" t="s">
        <v>355</v>
      </c>
      <c r="C24" s="246" t="s">
        <v>267</v>
      </c>
      <c r="D24" s="176">
        <v>61460.88</v>
      </c>
      <c r="E24" s="176">
        <v>53060.36</v>
      </c>
      <c r="F24" s="176">
        <v>61460.88</v>
      </c>
      <c r="G24" s="176">
        <v>53060</v>
      </c>
    </row>
    <row r="25" spans="1:7" x14ac:dyDescent="0.25">
      <c r="A25" s="70" t="s">
        <v>329</v>
      </c>
      <c r="B25" s="70" t="s">
        <v>379</v>
      </c>
      <c r="C25" s="246" t="s">
        <v>1003</v>
      </c>
      <c r="D25" s="176">
        <v>38357.26</v>
      </c>
      <c r="E25" s="176">
        <v>33876.17</v>
      </c>
      <c r="F25" s="176">
        <v>38357.26</v>
      </c>
      <c r="G25" s="176">
        <v>33876</v>
      </c>
    </row>
    <row r="26" spans="1:7" x14ac:dyDescent="0.25">
      <c r="A26" s="70" t="s">
        <v>251</v>
      </c>
      <c r="B26" s="70" t="s">
        <v>21</v>
      </c>
      <c r="C26" s="246" t="s">
        <v>88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25">
      <c r="A27" s="70" t="s">
        <v>713</v>
      </c>
      <c r="B27" s="70" t="s">
        <v>1036</v>
      </c>
      <c r="C27" s="246" t="s">
        <v>1020</v>
      </c>
      <c r="D27" s="162">
        <v>0</v>
      </c>
      <c r="E27" s="176">
        <v>0</v>
      </c>
      <c r="F27" s="162">
        <v>0</v>
      </c>
      <c r="G27" s="176">
        <v>0</v>
      </c>
    </row>
    <row r="28" spans="1:7" x14ac:dyDescent="0.25">
      <c r="A28" s="70" t="s">
        <v>395</v>
      </c>
      <c r="B28" s="70" t="s">
        <v>533</v>
      </c>
      <c r="C28" s="246" t="s">
        <v>897</v>
      </c>
      <c r="D28" s="162">
        <v>0</v>
      </c>
      <c r="E28" s="176">
        <v>0</v>
      </c>
      <c r="F28" s="162">
        <v>0</v>
      </c>
      <c r="G28" s="176">
        <v>0</v>
      </c>
    </row>
    <row r="29" spans="1:7" x14ac:dyDescent="0.25">
      <c r="A29" s="70" t="s">
        <v>456</v>
      </c>
      <c r="B29" s="70" t="s">
        <v>439</v>
      </c>
      <c r="C29" s="246" t="s">
        <v>137</v>
      </c>
      <c r="D29" s="162">
        <v>0</v>
      </c>
      <c r="E29" s="176">
        <v>0</v>
      </c>
      <c r="F29" s="162">
        <v>0</v>
      </c>
      <c r="G29" s="176">
        <v>0</v>
      </c>
    </row>
    <row r="30" spans="1:7" x14ac:dyDescent="0.25">
      <c r="A30" s="70" t="s">
        <v>878</v>
      </c>
      <c r="B30" s="70" t="s">
        <v>730</v>
      </c>
      <c r="C30" s="246" t="s">
        <v>745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25">
      <c r="A31" s="70" t="s">
        <v>204</v>
      </c>
      <c r="B31" s="70" t="s">
        <v>160</v>
      </c>
      <c r="C31" s="246" t="s">
        <v>948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380</v>
      </c>
      <c r="B32" s="70" t="s">
        <v>167</v>
      </c>
      <c r="C32" s="246" t="s">
        <v>1002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461</v>
      </c>
      <c r="B33" s="70" t="s">
        <v>780</v>
      </c>
      <c r="C33" s="246" t="s">
        <v>860</v>
      </c>
      <c r="D33" s="176">
        <v>37925.480000000003</v>
      </c>
      <c r="E33" s="176">
        <v>33625.480000000003</v>
      </c>
      <c r="F33" s="176">
        <v>37925.480000000003</v>
      </c>
      <c r="G33" s="176">
        <v>33625</v>
      </c>
    </row>
    <row r="34" spans="1:7" x14ac:dyDescent="0.25">
      <c r="A34" s="70" t="s">
        <v>881</v>
      </c>
      <c r="B34" s="70" t="s">
        <v>965</v>
      </c>
      <c r="C34" s="246" t="s">
        <v>783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922</v>
      </c>
      <c r="B35" s="70" t="s">
        <v>898</v>
      </c>
      <c r="C35" s="246" t="s">
        <v>683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846</v>
      </c>
      <c r="B36" s="70" t="s">
        <v>880</v>
      </c>
      <c r="C36" s="246" t="s">
        <v>716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34</v>
      </c>
      <c r="B37" s="70" t="s">
        <v>1063</v>
      </c>
      <c r="C37" s="246" t="s">
        <v>610</v>
      </c>
      <c r="D37" s="176">
        <v>431.78</v>
      </c>
      <c r="E37" s="176">
        <v>250.69</v>
      </c>
      <c r="F37" s="176">
        <v>431.78</v>
      </c>
      <c r="G37" s="176">
        <v>251</v>
      </c>
    </row>
    <row r="38" spans="1:7" x14ac:dyDescent="0.25">
      <c r="A38" s="70" t="s">
        <v>669</v>
      </c>
      <c r="B38" s="70" t="s">
        <v>1125</v>
      </c>
      <c r="C38" s="246" t="s">
        <v>757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25">
      <c r="A39" s="70" t="s">
        <v>796</v>
      </c>
      <c r="B39" s="70" t="s">
        <v>557</v>
      </c>
      <c r="C39" s="246" t="s">
        <v>844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298</v>
      </c>
      <c r="B40" s="70" t="s">
        <v>162</v>
      </c>
      <c r="C40" s="246" t="s">
        <v>702</v>
      </c>
      <c r="D40" s="162">
        <v>0</v>
      </c>
      <c r="E40" s="176">
        <v>0</v>
      </c>
      <c r="F40" s="162">
        <v>0</v>
      </c>
      <c r="G40" s="176">
        <v>0</v>
      </c>
    </row>
    <row r="41" spans="1:7" x14ac:dyDescent="0.25">
      <c r="A41" s="70" t="s">
        <v>354</v>
      </c>
      <c r="B41" s="70" t="s">
        <v>32</v>
      </c>
      <c r="C41" s="246" t="s">
        <v>914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325</v>
      </c>
      <c r="B42" s="70" t="s">
        <v>496</v>
      </c>
      <c r="C42" s="246" t="s">
        <v>1053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25">
      <c r="A43" s="70" t="s">
        <v>878</v>
      </c>
      <c r="B43" s="70" t="s">
        <v>362</v>
      </c>
      <c r="C43" s="246" t="s">
        <v>572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719</v>
      </c>
      <c r="B44" s="70" t="s">
        <v>750</v>
      </c>
      <c r="C44" s="246" t="s">
        <v>445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102</v>
      </c>
      <c r="B45" s="70" t="s">
        <v>842</v>
      </c>
      <c r="C45" s="246" t="s">
        <v>1014</v>
      </c>
      <c r="D45" s="176">
        <v>23103.62</v>
      </c>
      <c r="E45" s="176">
        <v>19184.189999999999</v>
      </c>
      <c r="F45" s="176">
        <v>23103.62</v>
      </c>
      <c r="G45" s="176">
        <v>19184</v>
      </c>
    </row>
    <row r="46" spans="1:7" x14ac:dyDescent="0.25">
      <c r="A46" s="70" t="s">
        <v>143</v>
      </c>
      <c r="B46" s="70" t="s">
        <v>919</v>
      </c>
      <c r="C46" s="246" t="s">
        <v>114</v>
      </c>
      <c r="D46" s="176">
        <v>4578.96</v>
      </c>
      <c r="E46" s="176">
        <v>3153.39</v>
      </c>
      <c r="F46" s="176">
        <v>4578.96</v>
      </c>
      <c r="G46" s="176">
        <v>3154</v>
      </c>
    </row>
    <row r="47" spans="1:7" x14ac:dyDescent="0.25">
      <c r="A47" s="70" t="s">
        <v>713</v>
      </c>
      <c r="B47" s="70" t="s">
        <v>1102</v>
      </c>
      <c r="C47" s="246" t="s">
        <v>891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395</v>
      </c>
      <c r="B48" s="70" t="s">
        <v>509</v>
      </c>
      <c r="C48" s="246" t="s">
        <v>3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456</v>
      </c>
      <c r="B49" s="70" t="s">
        <v>172</v>
      </c>
      <c r="C49" s="246" t="s">
        <v>825</v>
      </c>
      <c r="D49" s="176">
        <v>4578.96</v>
      </c>
      <c r="E49" s="176">
        <v>3153.39</v>
      </c>
      <c r="F49" s="176">
        <v>4578.96</v>
      </c>
      <c r="G49" s="176">
        <v>3154</v>
      </c>
    </row>
    <row r="50" spans="1:7" x14ac:dyDescent="0.25">
      <c r="A50" s="70" t="s">
        <v>878</v>
      </c>
      <c r="B50" s="70" t="s">
        <v>730</v>
      </c>
      <c r="C50" s="246" t="s">
        <v>894</v>
      </c>
      <c r="D50" s="162">
        <v>0</v>
      </c>
      <c r="E50" s="176">
        <v>0</v>
      </c>
      <c r="F50" s="162">
        <v>0</v>
      </c>
      <c r="G50" s="176">
        <v>0</v>
      </c>
    </row>
    <row r="51" spans="1:7" x14ac:dyDescent="0.25">
      <c r="A51" s="70" t="s">
        <v>204</v>
      </c>
      <c r="B51" s="70" t="s">
        <v>794</v>
      </c>
      <c r="C51" s="246" t="s">
        <v>104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380</v>
      </c>
      <c r="B52" s="70" t="s">
        <v>346</v>
      </c>
      <c r="C52" s="246" t="s">
        <v>963</v>
      </c>
      <c r="D52" s="162">
        <v>0</v>
      </c>
      <c r="E52" s="176">
        <v>0</v>
      </c>
      <c r="F52" s="162">
        <v>0</v>
      </c>
      <c r="G52" s="176">
        <v>0</v>
      </c>
    </row>
    <row r="53" spans="1:7" x14ac:dyDescent="0.25">
      <c r="A53" s="70" t="s">
        <v>461</v>
      </c>
      <c r="B53" s="70" t="s">
        <v>910</v>
      </c>
      <c r="C53" s="246" t="s">
        <v>0</v>
      </c>
      <c r="D53" s="176">
        <v>9674.0499999999993</v>
      </c>
      <c r="E53" s="176">
        <v>9674.0499999999993</v>
      </c>
      <c r="F53" s="176">
        <v>9674.0499999999993</v>
      </c>
      <c r="G53" s="176">
        <v>9674</v>
      </c>
    </row>
    <row r="54" spans="1:7" x14ac:dyDescent="0.25">
      <c r="A54" s="70" t="s">
        <v>881</v>
      </c>
      <c r="B54" s="70" t="s">
        <v>976</v>
      </c>
      <c r="C54" s="246" t="s">
        <v>471</v>
      </c>
      <c r="D54" s="176">
        <v>5995.02</v>
      </c>
      <c r="E54" s="176">
        <v>2129.9499999999998</v>
      </c>
      <c r="F54" s="176">
        <v>5995.02</v>
      </c>
      <c r="G54" s="176">
        <v>2130</v>
      </c>
    </row>
    <row r="55" spans="1:7" x14ac:dyDescent="0.25">
      <c r="A55" s="70" t="s">
        <v>922</v>
      </c>
      <c r="B55" s="70" t="s">
        <v>450</v>
      </c>
      <c r="C55" s="246" t="s">
        <v>449</v>
      </c>
      <c r="D55" s="176">
        <v>1685.69</v>
      </c>
      <c r="E55" s="176">
        <v>2867.39</v>
      </c>
      <c r="F55" s="176">
        <v>1685.69</v>
      </c>
      <c r="G55" s="176">
        <v>2867</v>
      </c>
    </row>
    <row r="56" spans="1:7" x14ac:dyDescent="0.25">
      <c r="A56" s="70" t="s">
        <v>846</v>
      </c>
      <c r="B56" s="70" t="s">
        <v>196</v>
      </c>
      <c r="C56" s="246" t="s">
        <v>966</v>
      </c>
      <c r="D56" s="176">
        <v>1169.9000000000001</v>
      </c>
      <c r="E56" s="176">
        <v>1375.91</v>
      </c>
      <c r="F56" s="176">
        <v>1169.9000000000001</v>
      </c>
      <c r="G56" s="176">
        <v>1376</v>
      </c>
    </row>
    <row r="57" spans="1:7" x14ac:dyDescent="0.25">
      <c r="A57" s="70" t="s">
        <v>34</v>
      </c>
      <c r="B57" s="70" t="s">
        <v>609</v>
      </c>
      <c r="C57" s="246" t="s">
        <v>105</v>
      </c>
      <c r="D57" s="162">
        <v>0</v>
      </c>
      <c r="E57" s="176">
        <v>0</v>
      </c>
      <c r="F57" s="162">
        <v>0</v>
      </c>
      <c r="G57" s="176">
        <v>0</v>
      </c>
    </row>
    <row r="58" spans="1:7" x14ac:dyDescent="0.25">
      <c r="A58" s="70" t="s">
        <v>669</v>
      </c>
      <c r="B58" s="70" t="s">
        <v>748</v>
      </c>
      <c r="C58" s="246" t="s">
        <v>628</v>
      </c>
      <c r="D58" s="176">
        <v>0</v>
      </c>
      <c r="E58" s="176">
        <v>-16.5</v>
      </c>
      <c r="F58" s="176">
        <v>0</v>
      </c>
      <c r="G58" s="176">
        <v>-17</v>
      </c>
    </row>
    <row r="59" spans="1:7" x14ac:dyDescent="0.25">
      <c r="A59" s="70" t="s">
        <v>12</v>
      </c>
      <c r="B59" s="70" t="s">
        <v>563</v>
      </c>
      <c r="C59" s="246" t="s">
        <v>1107</v>
      </c>
      <c r="D59" s="162">
        <v>0</v>
      </c>
      <c r="E59" s="176">
        <v>0</v>
      </c>
      <c r="F59" s="162">
        <v>0</v>
      </c>
      <c r="G59" s="176">
        <v>0</v>
      </c>
    </row>
    <row r="60" spans="1:7" x14ac:dyDescent="0.25">
      <c r="A60" s="70" t="s">
        <v>877</v>
      </c>
      <c r="B60" s="70" t="s">
        <v>957</v>
      </c>
      <c r="C60" s="246" t="s">
        <v>265</v>
      </c>
      <c r="D60" s="162">
        <v>0</v>
      </c>
      <c r="E60" s="176">
        <v>0</v>
      </c>
      <c r="F60" s="162">
        <v>0</v>
      </c>
      <c r="G60" s="176">
        <v>0</v>
      </c>
    </row>
    <row r="61" spans="1:7" x14ac:dyDescent="0.25">
      <c r="A61" s="70" t="s">
        <v>878</v>
      </c>
      <c r="B61" s="70" t="s">
        <v>63</v>
      </c>
      <c r="C61" s="246" t="s">
        <v>541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1080</v>
      </c>
      <c r="B62" s="70" t="s">
        <v>363</v>
      </c>
      <c r="C62" s="246" t="s">
        <v>723</v>
      </c>
      <c r="D62" s="162">
        <v>0</v>
      </c>
      <c r="E62" s="176">
        <v>0</v>
      </c>
      <c r="F62" s="162">
        <v>0</v>
      </c>
      <c r="G62" s="176">
        <v>0</v>
      </c>
    </row>
    <row r="63" spans="1:7" x14ac:dyDescent="0.25">
      <c r="A63" s="70" t="s">
        <v>1004</v>
      </c>
      <c r="B63" s="70" t="s">
        <v>537</v>
      </c>
      <c r="C63" s="246" t="s">
        <v>585</v>
      </c>
      <c r="D63" s="176">
        <v>0</v>
      </c>
      <c r="E63" s="176">
        <v>0</v>
      </c>
      <c r="F63" s="176">
        <v>0</v>
      </c>
      <c r="G63" s="176">
        <v>0</v>
      </c>
    </row>
    <row r="64" spans="1:7" x14ac:dyDescent="0.25">
      <c r="A64" s="70" t="s">
        <v>306</v>
      </c>
      <c r="B64" s="70" t="s">
        <v>437</v>
      </c>
      <c r="C64" s="246" t="s">
        <v>119</v>
      </c>
      <c r="D64" s="162">
        <v>0</v>
      </c>
      <c r="E64" s="176">
        <v>0</v>
      </c>
      <c r="F64" s="162">
        <v>0</v>
      </c>
      <c r="G64" s="176">
        <v>0</v>
      </c>
    </row>
    <row r="65" spans="1:7" x14ac:dyDescent="0.25">
      <c r="A65" s="70" t="s">
        <v>64</v>
      </c>
      <c r="B65" s="70" t="s">
        <v>211</v>
      </c>
      <c r="C65" s="246" t="s">
        <v>996</v>
      </c>
      <c r="D65" s="162">
        <v>0</v>
      </c>
      <c r="E65" s="176">
        <v>0</v>
      </c>
      <c r="F65" s="162">
        <v>0</v>
      </c>
      <c r="G65" s="176">
        <v>0</v>
      </c>
    </row>
    <row r="66" spans="1:7" x14ac:dyDescent="0.25">
      <c r="A66" s="70" t="s">
        <v>878</v>
      </c>
      <c r="B66" s="70" t="s">
        <v>290</v>
      </c>
      <c r="C66" s="246" t="s">
        <v>491</v>
      </c>
      <c r="D66" s="162">
        <v>0</v>
      </c>
      <c r="E66" s="176">
        <v>0</v>
      </c>
      <c r="F66" s="162">
        <v>0</v>
      </c>
      <c r="G66" s="176">
        <v>0</v>
      </c>
    </row>
    <row r="67" spans="1:7" x14ac:dyDescent="0.25">
      <c r="A67" s="70" t="s">
        <v>204</v>
      </c>
      <c r="B67" s="70" t="s">
        <v>51</v>
      </c>
      <c r="C67" s="246" t="s">
        <v>278</v>
      </c>
      <c r="D67" s="162">
        <v>0</v>
      </c>
      <c r="E67" s="176">
        <v>0</v>
      </c>
      <c r="F67" s="162">
        <v>0</v>
      </c>
      <c r="G67" s="176">
        <v>0</v>
      </c>
    </row>
    <row r="68" spans="1:7" x14ac:dyDescent="0.25">
      <c r="A68" s="70" t="s">
        <v>380</v>
      </c>
      <c r="B68" s="70" t="s">
        <v>945</v>
      </c>
      <c r="C68" s="246" t="s">
        <v>125</v>
      </c>
      <c r="D68" s="162">
        <v>0</v>
      </c>
      <c r="E68" s="176">
        <v>0</v>
      </c>
      <c r="F68" s="162">
        <v>0</v>
      </c>
      <c r="G68" s="176">
        <v>0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63.5703125" style="2" customWidth="1"/>
    <col min="3" max="3" width="4.42578125" style="58" customWidth="1"/>
    <col min="4" max="11" width="15.28515625" style="236" customWidth="1"/>
    <col min="12" max="16384" width="9.140625" style="112"/>
  </cols>
  <sheetData>
    <row r="1" spans="1:11" ht="22.5" x14ac:dyDescent="0.25">
      <c r="A1" s="11" t="s">
        <v>633</v>
      </c>
      <c r="B1" s="11" t="s">
        <v>473</v>
      </c>
      <c r="C1" s="51" t="s">
        <v>767</v>
      </c>
      <c r="D1" s="157" t="s">
        <v>1064</v>
      </c>
      <c r="E1" s="157" t="s">
        <v>1057</v>
      </c>
      <c r="F1" s="157" t="s">
        <v>281</v>
      </c>
      <c r="G1" s="157" t="s">
        <v>621</v>
      </c>
      <c r="H1" s="157" t="s">
        <v>299</v>
      </c>
      <c r="I1" s="157" t="s">
        <v>478</v>
      </c>
      <c r="J1" s="157" t="s">
        <v>634</v>
      </c>
      <c r="K1" s="157" t="s">
        <v>455</v>
      </c>
    </row>
    <row r="2" spans="1:11" x14ac:dyDescent="0.25">
      <c r="A2" s="70" t="s">
        <v>931</v>
      </c>
      <c r="B2" s="70" t="s">
        <v>1052</v>
      </c>
      <c r="C2" s="246" t="s">
        <v>905</v>
      </c>
      <c r="D2" s="176">
        <v>64419.28</v>
      </c>
      <c r="E2" s="176">
        <v>27540.69</v>
      </c>
      <c r="F2" s="176">
        <v>36878.589999999997</v>
      </c>
      <c r="G2" s="176">
        <v>36878.589999999997</v>
      </c>
      <c r="H2" s="176">
        <v>64419.28</v>
      </c>
      <c r="I2" s="176">
        <v>27540.69</v>
      </c>
      <c r="J2" s="176">
        <v>36878.589999999997</v>
      </c>
      <c r="K2" s="176">
        <v>36879</v>
      </c>
    </row>
    <row r="3" spans="1:11" x14ac:dyDescent="0.25">
      <c r="A3" s="70" t="s">
        <v>805</v>
      </c>
      <c r="B3" s="70" t="s">
        <v>1025</v>
      </c>
      <c r="C3" s="246" t="s">
        <v>400</v>
      </c>
      <c r="D3" s="144">
        <v>7083.34</v>
      </c>
      <c r="E3" s="144">
        <v>7083.34</v>
      </c>
      <c r="F3" s="144">
        <v>0</v>
      </c>
      <c r="G3" s="144">
        <v>0</v>
      </c>
      <c r="H3" s="144">
        <v>7083.34</v>
      </c>
      <c r="I3" s="144">
        <v>7083.34</v>
      </c>
      <c r="J3" s="144">
        <v>0</v>
      </c>
      <c r="K3" s="144">
        <v>0</v>
      </c>
    </row>
    <row r="4" spans="1:11" x14ac:dyDescent="0.25">
      <c r="A4" s="70" t="s">
        <v>985</v>
      </c>
      <c r="B4" s="70" t="s">
        <v>586</v>
      </c>
      <c r="C4" s="246" t="s">
        <v>75</v>
      </c>
      <c r="D4" s="162">
        <v>0</v>
      </c>
      <c r="E4" s="162">
        <v>0</v>
      </c>
      <c r="F4" s="162">
        <v>0</v>
      </c>
      <c r="G4" s="176">
        <v>0</v>
      </c>
      <c r="H4" s="162">
        <v>0</v>
      </c>
      <c r="I4" s="162">
        <v>0</v>
      </c>
      <c r="J4" s="162">
        <v>0</v>
      </c>
      <c r="K4" s="176">
        <v>0</v>
      </c>
    </row>
    <row r="5" spans="1:11" x14ac:dyDescent="0.25">
      <c r="A5" s="70" t="s">
        <v>642</v>
      </c>
      <c r="B5" s="70" t="s">
        <v>714</v>
      </c>
      <c r="C5" s="246" t="s">
        <v>131</v>
      </c>
      <c r="D5" s="162">
        <v>0</v>
      </c>
      <c r="E5" s="162">
        <v>0</v>
      </c>
      <c r="F5" s="162">
        <v>0</v>
      </c>
      <c r="G5" s="176">
        <v>0</v>
      </c>
      <c r="H5" s="162">
        <v>0</v>
      </c>
      <c r="I5" s="162">
        <v>0</v>
      </c>
      <c r="J5" s="162">
        <v>0</v>
      </c>
      <c r="K5" s="176">
        <v>0</v>
      </c>
    </row>
    <row r="6" spans="1:11" x14ac:dyDescent="0.25">
      <c r="A6" s="70" t="s">
        <v>878</v>
      </c>
      <c r="B6" s="70" t="s">
        <v>674</v>
      </c>
      <c r="C6" s="246" t="s">
        <v>464</v>
      </c>
      <c r="D6" s="162">
        <v>0</v>
      </c>
      <c r="E6" s="162">
        <v>0</v>
      </c>
      <c r="F6" s="162">
        <v>0</v>
      </c>
      <c r="G6" s="176">
        <v>0</v>
      </c>
      <c r="H6" s="162">
        <v>0</v>
      </c>
      <c r="I6" s="162">
        <v>0</v>
      </c>
      <c r="J6" s="162">
        <v>0</v>
      </c>
      <c r="K6" s="176">
        <v>0</v>
      </c>
    </row>
    <row r="7" spans="1:11" x14ac:dyDescent="0.25">
      <c r="A7" s="70" t="s">
        <v>204</v>
      </c>
      <c r="B7" s="70" t="s">
        <v>658</v>
      </c>
      <c r="C7" s="246" t="s">
        <v>647</v>
      </c>
      <c r="D7" s="162">
        <v>0</v>
      </c>
      <c r="E7" s="162">
        <v>0</v>
      </c>
      <c r="F7" s="162">
        <v>0</v>
      </c>
      <c r="G7" s="176">
        <v>0</v>
      </c>
      <c r="H7" s="162">
        <v>0</v>
      </c>
      <c r="I7" s="162">
        <v>0</v>
      </c>
      <c r="J7" s="162">
        <v>0</v>
      </c>
      <c r="K7" s="176">
        <v>0</v>
      </c>
    </row>
    <row r="8" spans="1:11" x14ac:dyDescent="0.25">
      <c r="A8" s="70" t="s">
        <v>380</v>
      </c>
      <c r="B8" s="70" t="s">
        <v>725</v>
      </c>
      <c r="C8" s="246" t="s">
        <v>722</v>
      </c>
      <c r="D8" s="162">
        <v>0</v>
      </c>
      <c r="E8" s="162">
        <v>0</v>
      </c>
      <c r="F8" s="162">
        <v>0</v>
      </c>
      <c r="G8" s="176">
        <v>0</v>
      </c>
      <c r="H8" s="162">
        <v>0</v>
      </c>
      <c r="I8" s="162">
        <v>0</v>
      </c>
      <c r="J8" s="162">
        <v>0</v>
      </c>
      <c r="K8" s="176">
        <v>0</v>
      </c>
    </row>
    <row r="9" spans="1:11" x14ac:dyDescent="0.25">
      <c r="A9" s="70" t="s">
        <v>461</v>
      </c>
      <c r="B9" s="70" t="s">
        <v>493</v>
      </c>
      <c r="C9" s="246" t="s">
        <v>869</v>
      </c>
      <c r="D9" s="162">
        <v>0</v>
      </c>
      <c r="E9" s="162">
        <v>0</v>
      </c>
      <c r="F9" s="162">
        <v>0</v>
      </c>
      <c r="G9" s="176">
        <v>0</v>
      </c>
      <c r="H9" s="162">
        <v>0</v>
      </c>
      <c r="I9" s="162">
        <v>0</v>
      </c>
      <c r="J9" s="162">
        <v>0</v>
      </c>
      <c r="K9" s="176">
        <v>0</v>
      </c>
    </row>
    <row r="10" spans="1:11" x14ac:dyDescent="0.25">
      <c r="A10" s="70" t="s">
        <v>881</v>
      </c>
      <c r="B10" s="70" t="s">
        <v>426</v>
      </c>
      <c r="C10" s="246" t="s">
        <v>545</v>
      </c>
      <c r="D10" s="162">
        <v>0</v>
      </c>
      <c r="E10" s="162">
        <v>0</v>
      </c>
      <c r="F10" s="162">
        <v>0</v>
      </c>
      <c r="G10" s="176">
        <v>0</v>
      </c>
      <c r="H10" s="162">
        <v>0</v>
      </c>
      <c r="I10" s="162">
        <v>0</v>
      </c>
      <c r="J10" s="162">
        <v>0</v>
      </c>
      <c r="K10" s="176">
        <v>0</v>
      </c>
    </row>
    <row r="11" spans="1:11" x14ac:dyDescent="0.25">
      <c r="A11" s="70" t="s">
        <v>922</v>
      </c>
      <c r="B11" s="70" t="s">
        <v>511</v>
      </c>
      <c r="C11" s="246" t="s">
        <v>890</v>
      </c>
      <c r="D11" s="162">
        <v>0</v>
      </c>
      <c r="E11" s="162">
        <v>0</v>
      </c>
      <c r="F11" s="162">
        <v>0</v>
      </c>
      <c r="G11" s="176">
        <v>0</v>
      </c>
      <c r="H11" s="162">
        <v>0</v>
      </c>
      <c r="I11" s="162">
        <v>0</v>
      </c>
      <c r="J11" s="162">
        <v>0</v>
      </c>
      <c r="K11" s="176">
        <v>0</v>
      </c>
    </row>
    <row r="12" spans="1:11" x14ac:dyDescent="0.25">
      <c r="A12" s="70" t="s">
        <v>82</v>
      </c>
      <c r="B12" s="70" t="s">
        <v>871</v>
      </c>
      <c r="C12" s="246" t="s">
        <v>876</v>
      </c>
      <c r="D12" s="176">
        <v>7083.34</v>
      </c>
      <c r="E12" s="176">
        <v>7083.34</v>
      </c>
      <c r="F12" s="176">
        <v>0</v>
      </c>
      <c r="G12" s="176">
        <v>0</v>
      </c>
      <c r="H12" s="176">
        <v>7083.34</v>
      </c>
      <c r="I12" s="176">
        <v>7083.34</v>
      </c>
      <c r="J12" s="176">
        <v>0</v>
      </c>
      <c r="K12" s="176">
        <v>0</v>
      </c>
    </row>
    <row r="13" spans="1:11" x14ac:dyDescent="0.25">
      <c r="A13" s="70" t="s">
        <v>477</v>
      </c>
      <c r="B13" s="70" t="s">
        <v>24</v>
      </c>
      <c r="C13" s="246" t="s">
        <v>349</v>
      </c>
      <c r="D13" s="162">
        <v>0</v>
      </c>
      <c r="E13" s="162">
        <v>0</v>
      </c>
      <c r="F13" s="162">
        <v>0</v>
      </c>
      <c r="G13" s="176">
        <v>0</v>
      </c>
      <c r="H13" s="162">
        <v>0</v>
      </c>
      <c r="I13" s="162">
        <v>0</v>
      </c>
      <c r="J13" s="162">
        <v>0</v>
      </c>
      <c r="K13" s="176">
        <v>0</v>
      </c>
    </row>
    <row r="14" spans="1:11" x14ac:dyDescent="0.25">
      <c r="A14" s="70" t="s">
        <v>878</v>
      </c>
      <c r="B14" s="70" t="s">
        <v>483</v>
      </c>
      <c r="C14" s="246" t="s">
        <v>135</v>
      </c>
      <c r="D14" s="162">
        <v>0</v>
      </c>
      <c r="E14" s="162">
        <v>0</v>
      </c>
      <c r="F14" s="162">
        <v>0</v>
      </c>
      <c r="G14" s="176">
        <v>0</v>
      </c>
      <c r="H14" s="162">
        <v>0</v>
      </c>
      <c r="I14" s="162">
        <v>0</v>
      </c>
      <c r="J14" s="162">
        <v>0</v>
      </c>
      <c r="K14" s="176">
        <v>0</v>
      </c>
    </row>
    <row r="15" spans="1:11" x14ac:dyDescent="0.25">
      <c r="A15" s="70" t="s">
        <v>204</v>
      </c>
      <c r="B15" s="70" t="s">
        <v>696</v>
      </c>
      <c r="C15" s="246" t="s">
        <v>117</v>
      </c>
      <c r="D15" s="176">
        <v>7083.34</v>
      </c>
      <c r="E15" s="176">
        <v>7083.34</v>
      </c>
      <c r="F15" s="176">
        <v>0</v>
      </c>
      <c r="G15" s="176">
        <v>0</v>
      </c>
      <c r="H15" s="176">
        <v>7083.34</v>
      </c>
      <c r="I15" s="176">
        <v>7083.34</v>
      </c>
      <c r="J15" s="176">
        <v>0</v>
      </c>
      <c r="K15" s="176">
        <v>0</v>
      </c>
    </row>
    <row r="16" spans="1:11" x14ac:dyDescent="0.25">
      <c r="A16" s="70" t="s">
        <v>380</v>
      </c>
      <c r="B16" s="70" t="s">
        <v>1046</v>
      </c>
      <c r="C16" s="246" t="s">
        <v>517</v>
      </c>
      <c r="D16" s="162">
        <v>0</v>
      </c>
      <c r="E16" s="162">
        <v>0</v>
      </c>
      <c r="F16" s="162">
        <v>0</v>
      </c>
      <c r="G16" s="176">
        <v>0</v>
      </c>
      <c r="H16" s="162">
        <v>0</v>
      </c>
      <c r="I16" s="162">
        <v>0</v>
      </c>
      <c r="J16" s="162">
        <v>0</v>
      </c>
      <c r="K16" s="176">
        <v>0</v>
      </c>
    </row>
    <row r="17" spans="1:11" x14ac:dyDescent="0.25">
      <c r="A17" s="70" t="s">
        <v>461</v>
      </c>
      <c r="B17" s="70" t="s">
        <v>913</v>
      </c>
      <c r="C17" s="246" t="s">
        <v>549</v>
      </c>
      <c r="D17" s="162">
        <v>0</v>
      </c>
      <c r="E17" s="162">
        <v>0</v>
      </c>
      <c r="F17" s="162">
        <v>0</v>
      </c>
      <c r="G17" s="176">
        <v>0</v>
      </c>
      <c r="H17" s="162">
        <v>0</v>
      </c>
      <c r="I17" s="162">
        <v>0</v>
      </c>
      <c r="J17" s="162">
        <v>0</v>
      </c>
      <c r="K17" s="176">
        <v>0</v>
      </c>
    </row>
    <row r="18" spans="1:11" x14ac:dyDescent="0.25">
      <c r="A18" s="70" t="s">
        <v>881</v>
      </c>
      <c r="B18" s="70" t="s">
        <v>254</v>
      </c>
      <c r="C18" s="246" t="s">
        <v>431</v>
      </c>
      <c r="D18" s="162">
        <v>0</v>
      </c>
      <c r="E18" s="162">
        <v>0</v>
      </c>
      <c r="F18" s="162">
        <v>0</v>
      </c>
      <c r="G18" s="176">
        <v>0</v>
      </c>
      <c r="H18" s="162">
        <v>0</v>
      </c>
      <c r="I18" s="162">
        <v>0</v>
      </c>
      <c r="J18" s="162">
        <v>0</v>
      </c>
      <c r="K18" s="176">
        <v>0</v>
      </c>
    </row>
    <row r="19" spans="1:11" x14ac:dyDescent="0.25">
      <c r="A19" s="70" t="s">
        <v>922</v>
      </c>
      <c r="B19" s="70" t="s">
        <v>1124</v>
      </c>
      <c r="C19" s="246" t="s">
        <v>20</v>
      </c>
      <c r="D19" s="162">
        <v>0</v>
      </c>
      <c r="E19" s="162">
        <v>0</v>
      </c>
      <c r="F19" s="162">
        <v>0</v>
      </c>
      <c r="G19" s="176">
        <v>0</v>
      </c>
      <c r="H19" s="162">
        <v>0</v>
      </c>
      <c r="I19" s="162">
        <v>0</v>
      </c>
      <c r="J19" s="162">
        <v>0</v>
      </c>
      <c r="K19" s="176">
        <v>0</v>
      </c>
    </row>
    <row r="20" spans="1:11" x14ac:dyDescent="0.25">
      <c r="A20" s="70" t="s">
        <v>846</v>
      </c>
      <c r="B20" s="70" t="s">
        <v>225</v>
      </c>
      <c r="C20" s="246" t="s">
        <v>1018</v>
      </c>
      <c r="D20" s="162">
        <v>0</v>
      </c>
      <c r="E20" s="162">
        <v>0</v>
      </c>
      <c r="F20" s="162">
        <v>0</v>
      </c>
      <c r="G20" s="176">
        <v>0</v>
      </c>
      <c r="H20" s="162">
        <v>0</v>
      </c>
      <c r="I20" s="162">
        <v>0</v>
      </c>
      <c r="J20" s="162">
        <v>0</v>
      </c>
      <c r="K20" s="176">
        <v>0</v>
      </c>
    </row>
    <row r="21" spans="1:11" x14ac:dyDescent="0.25">
      <c r="A21" s="70" t="s">
        <v>34</v>
      </c>
      <c r="B21" s="70" t="s">
        <v>981</v>
      </c>
      <c r="C21" s="246" t="s">
        <v>279</v>
      </c>
      <c r="D21" s="162">
        <v>0</v>
      </c>
      <c r="E21" s="162">
        <v>0</v>
      </c>
      <c r="F21" s="162">
        <v>0</v>
      </c>
      <c r="G21" s="176">
        <v>0</v>
      </c>
      <c r="H21" s="162">
        <v>0</v>
      </c>
      <c r="I21" s="162">
        <v>0</v>
      </c>
      <c r="J21" s="162">
        <v>0</v>
      </c>
      <c r="K21" s="176">
        <v>0</v>
      </c>
    </row>
    <row r="22" spans="1:11" x14ac:dyDescent="0.25">
      <c r="A22" s="70" t="s">
        <v>1055</v>
      </c>
      <c r="B22" s="70" t="s">
        <v>287</v>
      </c>
      <c r="C22" s="246" t="s">
        <v>8</v>
      </c>
      <c r="D22" s="162">
        <v>0</v>
      </c>
      <c r="E22" s="162">
        <v>0</v>
      </c>
      <c r="F22" s="162">
        <v>0</v>
      </c>
      <c r="G22" s="176">
        <v>0</v>
      </c>
      <c r="H22" s="162">
        <v>0</v>
      </c>
      <c r="I22" s="162">
        <v>0</v>
      </c>
      <c r="J22" s="162">
        <v>0</v>
      </c>
      <c r="K22" s="176">
        <v>0</v>
      </c>
    </row>
    <row r="23" spans="1:11" x14ac:dyDescent="0.25">
      <c r="A23" s="70" t="s">
        <v>531</v>
      </c>
      <c r="B23" s="70" t="s">
        <v>886</v>
      </c>
      <c r="C23" s="246" t="s">
        <v>831</v>
      </c>
      <c r="D23" s="162">
        <v>0</v>
      </c>
      <c r="E23" s="162">
        <v>0</v>
      </c>
      <c r="F23" s="162">
        <v>0</v>
      </c>
      <c r="G23" s="176">
        <v>0</v>
      </c>
      <c r="H23" s="162">
        <v>0</v>
      </c>
      <c r="I23" s="162">
        <v>0</v>
      </c>
      <c r="J23" s="162">
        <v>0</v>
      </c>
      <c r="K23" s="176">
        <v>0</v>
      </c>
    </row>
    <row r="24" spans="1:11" x14ac:dyDescent="0.25">
      <c r="A24" s="70" t="s">
        <v>878</v>
      </c>
      <c r="B24" s="70" t="s">
        <v>310</v>
      </c>
      <c r="C24" s="246" t="s">
        <v>992</v>
      </c>
      <c r="D24" s="162">
        <v>0</v>
      </c>
      <c r="E24" s="162">
        <v>0</v>
      </c>
      <c r="F24" s="162">
        <v>0</v>
      </c>
      <c r="G24" s="176">
        <v>0</v>
      </c>
      <c r="H24" s="162">
        <v>0</v>
      </c>
      <c r="I24" s="162">
        <v>0</v>
      </c>
      <c r="J24" s="162">
        <v>0</v>
      </c>
      <c r="K24" s="176">
        <v>0</v>
      </c>
    </row>
    <row r="25" spans="1:11" x14ac:dyDescent="0.25">
      <c r="A25" s="70" t="s">
        <v>204</v>
      </c>
      <c r="B25" s="70" t="s">
        <v>41</v>
      </c>
      <c r="C25" s="246" t="s">
        <v>536</v>
      </c>
      <c r="D25" s="162">
        <v>0</v>
      </c>
      <c r="E25" s="162">
        <v>0</v>
      </c>
      <c r="F25" s="162">
        <v>0</v>
      </c>
      <c r="G25" s="176">
        <v>0</v>
      </c>
      <c r="H25" s="162">
        <v>0</v>
      </c>
      <c r="I25" s="162">
        <v>0</v>
      </c>
      <c r="J25" s="162">
        <v>0</v>
      </c>
      <c r="K25" s="176">
        <v>0</v>
      </c>
    </row>
    <row r="26" spans="1:11" x14ac:dyDescent="0.25">
      <c r="A26" s="70" t="s">
        <v>380</v>
      </c>
      <c r="B26" s="70" t="s">
        <v>118</v>
      </c>
      <c r="C26" s="246" t="s">
        <v>552</v>
      </c>
      <c r="D26" s="162">
        <v>0</v>
      </c>
      <c r="E26" s="162">
        <v>0</v>
      </c>
      <c r="F26" s="162">
        <v>0</v>
      </c>
      <c r="G26" s="176">
        <v>0</v>
      </c>
      <c r="H26" s="162">
        <v>0</v>
      </c>
      <c r="I26" s="162">
        <v>0</v>
      </c>
      <c r="J26" s="162">
        <v>0</v>
      </c>
      <c r="K26" s="176">
        <v>0</v>
      </c>
    </row>
    <row r="27" spans="1:11" x14ac:dyDescent="0.25">
      <c r="A27" s="70" t="s">
        <v>461</v>
      </c>
      <c r="B27" s="70" t="s">
        <v>764</v>
      </c>
      <c r="C27" s="246" t="s">
        <v>58</v>
      </c>
      <c r="D27" s="162">
        <v>0</v>
      </c>
      <c r="E27" s="162">
        <v>0</v>
      </c>
      <c r="F27" s="162">
        <v>0</v>
      </c>
      <c r="G27" s="176">
        <v>0</v>
      </c>
      <c r="H27" s="162">
        <v>0</v>
      </c>
      <c r="I27" s="162">
        <v>0</v>
      </c>
      <c r="J27" s="162">
        <v>0</v>
      </c>
      <c r="K27" s="176">
        <v>0</v>
      </c>
    </row>
    <row r="28" spans="1:11" x14ac:dyDescent="0.25">
      <c r="A28" s="70" t="s">
        <v>881</v>
      </c>
      <c r="B28" s="70" t="s">
        <v>782</v>
      </c>
      <c r="C28" s="246" t="s">
        <v>743</v>
      </c>
      <c r="D28" s="162">
        <v>0</v>
      </c>
      <c r="E28" s="162">
        <v>0</v>
      </c>
      <c r="F28" s="162">
        <v>0</v>
      </c>
      <c r="G28" s="176">
        <v>0</v>
      </c>
      <c r="H28" s="162">
        <v>0</v>
      </c>
      <c r="I28" s="162">
        <v>0</v>
      </c>
      <c r="J28" s="162">
        <v>0</v>
      </c>
      <c r="K28" s="176">
        <v>0</v>
      </c>
    </row>
    <row r="29" spans="1:11" x14ac:dyDescent="0.25">
      <c r="A29" s="70" t="s">
        <v>922</v>
      </c>
      <c r="B29" s="70" t="s">
        <v>657</v>
      </c>
      <c r="C29" s="246" t="s">
        <v>1069</v>
      </c>
      <c r="D29" s="162">
        <v>0</v>
      </c>
      <c r="E29" s="162">
        <v>0</v>
      </c>
      <c r="F29" s="162">
        <v>0</v>
      </c>
      <c r="G29" s="176">
        <v>0</v>
      </c>
      <c r="H29" s="162">
        <v>0</v>
      </c>
      <c r="I29" s="162">
        <v>0</v>
      </c>
      <c r="J29" s="162">
        <v>0</v>
      </c>
      <c r="K29" s="176">
        <v>0</v>
      </c>
    </row>
    <row r="30" spans="1:11" x14ac:dyDescent="0.25">
      <c r="A30" s="70" t="s">
        <v>846</v>
      </c>
      <c r="B30" s="70" t="s">
        <v>1106</v>
      </c>
      <c r="C30" s="246" t="s">
        <v>1115</v>
      </c>
      <c r="D30" s="162">
        <v>0</v>
      </c>
      <c r="E30" s="162">
        <v>0</v>
      </c>
      <c r="F30" s="162">
        <v>0</v>
      </c>
      <c r="G30" s="176">
        <v>0</v>
      </c>
      <c r="H30" s="162">
        <v>0</v>
      </c>
      <c r="I30" s="162">
        <v>0</v>
      </c>
      <c r="J30" s="162">
        <v>0</v>
      </c>
      <c r="K30" s="176">
        <v>0</v>
      </c>
    </row>
    <row r="31" spans="1:11" x14ac:dyDescent="0.25">
      <c r="A31" s="70" t="s">
        <v>34</v>
      </c>
      <c r="B31" s="70" t="s">
        <v>756</v>
      </c>
      <c r="C31" s="246" t="s">
        <v>283</v>
      </c>
      <c r="D31" s="162">
        <v>0</v>
      </c>
      <c r="E31" s="162">
        <v>0</v>
      </c>
      <c r="F31" s="162">
        <v>0</v>
      </c>
      <c r="G31" s="176">
        <v>0</v>
      </c>
      <c r="H31" s="162">
        <v>0</v>
      </c>
      <c r="I31" s="162">
        <v>0</v>
      </c>
      <c r="J31" s="162">
        <v>0</v>
      </c>
      <c r="K31" s="176">
        <v>0</v>
      </c>
    </row>
    <row r="32" spans="1:11" x14ac:dyDescent="0.25">
      <c r="A32" s="70" t="s">
        <v>669</v>
      </c>
      <c r="B32" s="70" t="s">
        <v>111</v>
      </c>
      <c r="C32" s="246" t="s">
        <v>991</v>
      </c>
      <c r="D32" s="162">
        <v>0</v>
      </c>
      <c r="E32" s="162">
        <v>0</v>
      </c>
      <c r="F32" s="162">
        <v>0</v>
      </c>
      <c r="G32" s="176">
        <v>0</v>
      </c>
      <c r="H32" s="162">
        <v>0</v>
      </c>
      <c r="I32" s="162">
        <v>0</v>
      </c>
      <c r="J32" s="162">
        <v>0</v>
      </c>
      <c r="K32" s="176">
        <v>0</v>
      </c>
    </row>
    <row r="33" spans="1:11" x14ac:dyDescent="0.25">
      <c r="A33" s="70" t="s">
        <v>796</v>
      </c>
      <c r="B33" s="70" t="s">
        <v>1066</v>
      </c>
      <c r="C33" s="246" t="s">
        <v>332</v>
      </c>
      <c r="D33" s="162">
        <v>0</v>
      </c>
      <c r="E33" s="162">
        <v>0</v>
      </c>
      <c r="F33" s="162">
        <v>0</v>
      </c>
      <c r="G33" s="176">
        <v>0</v>
      </c>
      <c r="H33" s="162">
        <v>0</v>
      </c>
      <c r="I33" s="162">
        <v>0</v>
      </c>
      <c r="J33" s="162">
        <v>0</v>
      </c>
      <c r="K33" s="176">
        <v>0</v>
      </c>
    </row>
    <row r="34" spans="1:11" x14ac:dyDescent="0.25">
      <c r="A34" s="70" t="s">
        <v>321</v>
      </c>
      <c r="B34" s="70" t="s">
        <v>314</v>
      </c>
      <c r="C34" s="246" t="s">
        <v>627</v>
      </c>
      <c r="D34" s="176">
        <v>56933.04</v>
      </c>
      <c r="E34" s="176">
        <v>20457.349999999999</v>
      </c>
      <c r="F34" s="176">
        <v>36475.69</v>
      </c>
      <c r="G34" s="176">
        <v>36475.69</v>
      </c>
      <c r="H34" s="176">
        <v>56933.04</v>
      </c>
      <c r="I34" s="176">
        <v>20457.349999999999</v>
      </c>
      <c r="J34" s="176">
        <v>36475.69</v>
      </c>
      <c r="K34" s="176">
        <v>36476</v>
      </c>
    </row>
    <row r="35" spans="1:11" x14ac:dyDescent="0.25">
      <c r="A35" s="70" t="s">
        <v>1010</v>
      </c>
      <c r="B35" s="70" t="s">
        <v>524</v>
      </c>
      <c r="C35" s="246" t="s">
        <v>501</v>
      </c>
      <c r="D35" s="162">
        <v>0</v>
      </c>
      <c r="E35" s="162">
        <v>0</v>
      </c>
      <c r="F35" s="162">
        <v>0</v>
      </c>
      <c r="G35" s="176">
        <v>0</v>
      </c>
      <c r="H35" s="162">
        <v>0</v>
      </c>
      <c r="I35" s="162">
        <v>0</v>
      </c>
      <c r="J35" s="162">
        <v>0</v>
      </c>
      <c r="K35" s="176">
        <v>0</v>
      </c>
    </row>
    <row r="36" spans="1:11" x14ac:dyDescent="0.25">
      <c r="A36" s="70" t="s">
        <v>251</v>
      </c>
      <c r="B36" s="70" t="s">
        <v>835</v>
      </c>
      <c r="C36" s="246" t="s">
        <v>469</v>
      </c>
      <c r="D36" s="162">
        <v>0</v>
      </c>
      <c r="E36" s="162">
        <v>0</v>
      </c>
      <c r="F36" s="162">
        <v>0</v>
      </c>
      <c r="G36" s="176">
        <v>0</v>
      </c>
      <c r="H36" s="162">
        <v>0</v>
      </c>
      <c r="I36" s="162">
        <v>0</v>
      </c>
      <c r="J36" s="162">
        <v>0</v>
      </c>
      <c r="K36" s="176">
        <v>0</v>
      </c>
    </row>
    <row r="37" spans="1:11" x14ac:dyDescent="0.25">
      <c r="A37" s="70" t="s">
        <v>878</v>
      </c>
      <c r="B37" s="70" t="s">
        <v>698</v>
      </c>
      <c r="C37" s="246" t="s">
        <v>479</v>
      </c>
      <c r="D37" s="162">
        <v>0</v>
      </c>
      <c r="E37" s="162">
        <v>0</v>
      </c>
      <c r="F37" s="162">
        <v>0</v>
      </c>
      <c r="G37" s="176">
        <v>0</v>
      </c>
      <c r="H37" s="162">
        <v>0</v>
      </c>
      <c r="I37" s="162">
        <v>0</v>
      </c>
      <c r="J37" s="162">
        <v>0</v>
      </c>
      <c r="K37" s="176">
        <v>0</v>
      </c>
    </row>
    <row r="38" spans="1:11" x14ac:dyDescent="0.25">
      <c r="A38" s="70" t="s">
        <v>204</v>
      </c>
      <c r="B38" s="70" t="s">
        <v>581</v>
      </c>
      <c r="C38" s="246" t="s">
        <v>593</v>
      </c>
      <c r="D38" s="162">
        <v>0</v>
      </c>
      <c r="E38" s="162">
        <v>0</v>
      </c>
      <c r="F38" s="162">
        <v>0</v>
      </c>
      <c r="G38" s="176">
        <v>0</v>
      </c>
      <c r="H38" s="162">
        <v>0</v>
      </c>
      <c r="I38" s="162">
        <v>0</v>
      </c>
      <c r="J38" s="162">
        <v>0</v>
      </c>
      <c r="K38" s="176">
        <v>0</v>
      </c>
    </row>
    <row r="39" spans="1:11" x14ac:dyDescent="0.25">
      <c r="A39" s="70" t="s">
        <v>380</v>
      </c>
      <c r="B39" s="70" t="s">
        <v>676</v>
      </c>
      <c r="C39" s="246" t="s">
        <v>178</v>
      </c>
      <c r="D39" s="162">
        <v>0</v>
      </c>
      <c r="E39" s="162">
        <v>0</v>
      </c>
      <c r="F39" s="162">
        <v>0</v>
      </c>
      <c r="G39" s="176">
        <v>0</v>
      </c>
      <c r="H39" s="162">
        <v>0</v>
      </c>
      <c r="I39" s="162">
        <v>0</v>
      </c>
      <c r="J39" s="162">
        <v>0</v>
      </c>
      <c r="K39" s="176">
        <v>0</v>
      </c>
    </row>
    <row r="40" spans="1:11" x14ac:dyDescent="0.25">
      <c r="A40" s="70" t="s">
        <v>461</v>
      </c>
      <c r="B40" s="70" t="s">
        <v>416</v>
      </c>
      <c r="C40" s="246" t="s">
        <v>15</v>
      </c>
      <c r="D40" s="162">
        <v>0</v>
      </c>
      <c r="E40" s="162">
        <v>0</v>
      </c>
      <c r="F40" s="162">
        <v>0</v>
      </c>
      <c r="G40" s="176">
        <v>0</v>
      </c>
      <c r="H40" s="162">
        <v>0</v>
      </c>
      <c r="I40" s="162">
        <v>0</v>
      </c>
      <c r="J40" s="162">
        <v>0</v>
      </c>
      <c r="K40" s="176">
        <v>0</v>
      </c>
    </row>
    <row r="41" spans="1:11" x14ac:dyDescent="0.25">
      <c r="A41" s="70" t="s">
        <v>881</v>
      </c>
      <c r="B41" s="70" t="s">
        <v>587</v>
      </c>
      <c r="C41" s="246" t="s">
        <v>779</v>
      </c>
      <c r="D41" s="162">
        <v>0</v>
      </c>
      <c r="E41" s="162">
        <v>0</v>
      </c>
      <c r="F41" s="162">
        <v>0</v>
      </c>
      <c r="G41" s="176">
        <v>0</v>
      </c>
      <c r="H41" s="162">
        <v>0</v>
      </c>
      <c r="I41" s="162">
        <v>0</v>
      </c>
      <c r="J41" s="162">
        <v>0</v>
      </c>
      <c r="K41" s="176">
        <v>0</v>
      </c>
    </row>
    <row r="42" spans="1:11" x14ac:dyDescent="0.25">
      <c r="A42" s="70" t="s">
        <v>354</v>
      </c>
      <c r="B42" s="70" t="s">
        <v>575</v>
      </c>
      <c r="C42" s="246" t="s">
        <v>207</v>
      </c>
      <c r="D42" s="162">
        <v>0</v>
      </c>
      <c r="E42" s="162">
        <v>0</v>
      </c>
      <c r="F42" s="162">
        <v>0</v>
      </c>
      <c r="G42" s="176">
        <v>0</v>
      </c>
      <c r="H42" s="162">
        <v>0</v>
      </c>
      <c r="I42" s="162">
        <v>0</v>
      </c>
      <c r="J42" s="162">
        <v>0</v>
      </c>
      <c r="K42" s="176">
        <v>0</v>
      </c>
    </row>
    <row r="43" spans="1:11" x14ac:dyDescent="0.25">
      <c r="A43" s="70" t="s">
        <v>325</v>
      </c>
      <c r="B43" s="70" t="s">
        <v>312</v>
      </c>
      <c r="C43" s="246" t="s">
        <v>556</v>
      </c>
      <c r="D43" s="162">
        <v>0</v>
      </c>
      <c r="E43" s="162">
        <v>0</v>
      </c>
      <c r="F43" s="162">
        <v>0</v>
      </c>
      <c r="G43" s="176">
        <v>0</v>
      </c>
      <c r="H43" s="162">
        <v>0</v>
      </c>
      <c r="I43" s="162">
        <v>0</v>
      </c>
      <c r="J43" s="162">
        <v>0</v>
      </c>
      <c r="K43" s="176">
        <v>0</v>
      </c>
    </row>
    <row r="44" spans="1:11" x14ac:dyDescent="0.25">
      <c r="A44" s="70" t="s">
        <v>713</v>
      </c>
      <c r="B44" s="70" t="s">
        <v>407</v>
      </c>
      <c r="C44" s="246" t="s">
        <v>1101</v>
      </c>
      <c r="D44" s="162">
        <v>0</v>
      </c>
      <c r="E44" s="162">
        <v>0</v>
      </c>
      <c r="F44" s="162">
        <v>0</v>
      </c>
      <c r="G44" s="176">
        <v>0</v>
      </c>
      <c r="H44" s="162">
        <v>0</v>
      </c>
      <c r="I44" s="162">
        <v>0</v>
      </c>
      <c r="J44" s="162">
        <v>0</v>
      </c>
      <c r="K44" s="176">
        <v>0</v>
      </c>
    </row>
    <row r="45" spans="1:11" x14ac:dyDescent="0.25">
      <c r="A45" s="70" t="s">
        <v>395</v>
      </c>
      <c r="B45" s="70" t="s">
        <v>990</v>
      </c>
      <c r="C45" s="246" t="s">
        <v>487</v>
      </c>
      <c r="D45" s="162">
        <v>0</v>
      </c>
      <c r="E45" s="162">
        <v>0</v>
      </c>
      <c r="F45" s="162">
        <v>0</v>
      </c>
      <c r="G45" s="176">
        <v>0</v>
      </c>
      <c r="H45" s="162">
        <v>0</v>
      </c>
      <c r="I45" s="162">
        <v>0</v>
      </c>
      <c r="J45" s="162">
        <v>0</v>
      </c>
      <c r="K45" s="176">
        <v>0</v>
      </c>
    </row>
    <row r="46" spans="1:11" x14ac:dyDescent="0.25">
      <c r="A46" s="70" t="s">
        <v>456</v>
      </c>
      <c r="B46" s="70" t="s">
        <v>166</v>
      </c>
      <c r="C46" s="246" t="s">
        <v>799</v>
      </c>
      <c r="D46" s="162">
        <v>0</v>
      </c>
      <c r="E46" s="162">
        <v>0</v>
      </c>
      <c r="F46" s="162">
        <v>0</v>
      </c>
      <c r="G46" s="176">
        <v>0</v>
      </c>
      <c r="H46" s="162">
        <v>0</v>
      </c>
      <c r="I46" s="162">
        <v>0</v>
      </c>
      <c r="J46" s="162">
        <v>0</v>
      </c>
      <c r="K46" s="176">
        <v>0</v>
      </c>
    </row>
    <row r="47" spans="1:11" x14ac:dyDescent="0.25">
      <c r="A47" s="70" t="s">
        <v>878</v>
      </c>
      <c r="B47" s="70" t="s">
        <v>730</v>
      </c>
      <c r="C47" s="246" t="s">
        <v>932</v>
      </c>
      <c r="D47" s="162">
        <v>0</v>
      </c>
      <c r="E47" s="162">
        <v>0</v>
      </c>
      <c r="F47" s="162">
        <v>0</v>
      </c>
      <c r="G47" s="176">
        <v>0</v>
      </c>
      <c r="H47" s="162">
        <v>0</v>
      </c>
      <c r="I47" s="162">
        <v>0</v>
      </c>
      <c r="J47" s="162">
        <v>0</v>
      </c>
      <c r="K47" s="176">
        <v>0</v>
      </c>
    </row>
    <row r="48" spans="1:11" x14ac:dyDescent="0.25">
      <c r="A48" s="70" t="s">
        <v>204</v>
      </c>
      <c r="B48" s="70" t="s">
        <v>971</v>
      </c>
      <c r="C48" s="246" t="s">
        <v>946</v>
      </c>
      <c r="D48" s="162">
        <v>0</v>
      </c>
      <c r="E48" s="162">
        <v>0</v>
      </c>
      <c r="F48" s="162">
        <v>0</v>
      </c>
      <c r="G48" s="176">
        <v>0</v>
      </c>
      <c r="H48" s="162">
        <v>0</v>
      </c>
      <c r="I48" s="162">
        <v>0</v>
      </c>
      <c r="J48" s="162">
        <v>0</v>
      </c>
      <c r="K48" s="176">
        <v>0</v>
      </c>
    </row>
    <row r="49" spans="1:11" x14ac:dyDescent="0.25">
      <c r="A49" s="70" t="s">
        <v>380</v>
      </c>
      <c r="B49" s="70" t="s">
        <v>548</v>
      </c>
      <c r="C49" s="246" t="s">
        <v>829</v>
      </c>
      <c r="D49" s="162">
        <v>0</v>
      </c>
      <c r="E49" s="162">
        <v>0</v>
      </c>
      <c r="F49" s="162">
        <v>0</v>
      </c>
      <c r="G49" s="176">
        <v>0</v>
      </c>
      <c r="H49" s="162">
        <v>0</v>
      </c>
      <c r="I49" s="162">
        <v>0</v>
      </c>
      <c r="J49" s="162">
        <v>0</v>
      </c>
      <c r="K49" s="176">
        <v>0</v>
      </c>
    </row>
    <row r="50" spans="1:11" x14ac:dyDescent="0.25">
      <c r="A50" s="70" t="s">
        <v>461</v>
      </c>
      <c r="B50" s="70" t="s">
        <v>146</v>
      </c>
      <c r="C50" s="246" t="s">
        <v>313</v>
      </c>
      <c r="D50" s="162">
        <v>0</v>
      </c>
      <c r="E50" s="162">
        <v>0</v>
      </c>
      <c r="F50" s="162">
        <v>0</v>
      </c>
      <c r="G50" s="176">
        <v>0</v>
      </c>
      <c r="H50" s="162">
        <v>0</v>
      </c>
      <c r="I50" s="162">
        <v>0</v>
      </c>
      <c r="J50" s="162">
        <v>0</v>
      </c>
      <c r="K50" s="176">
        <v>0</v>
      </c>
    </row>
    <row r="51" spans="1:11" x14ac:dyDescent="0.25">
      <c r="A51" s="70" t="s">
        <v>881</v>
      </c>
      <c r="B51" s="70" t="s">
        <v>344</v>
      </c>
      <c r="C51" s="246" t="s">
        <v>771</v>
      </c>
      <c r="D51" s="162">
        <v>0</v>
      </c>
      <c r="E51" s="162">
        <v>0</v>
      </c>
      <c r="F51" s="162">
        <v>0</v>
      </c>
      <c r="G51" s="176">
        <v>0</v>
      </c>
      <c r="H51" s="162">
        <v>0</v>
      </c>
      <c r="I51" s="162">
        <v>0</v>
      </c>
      <c r="J51" s="162">
        <v>0</v>
      </c>
      <c r="K51" s="176">
        <v>0</v>
      </c>
    </row>
    <row r="52" spans="1:11" x14ac:dyDescent="0.25">
      <c r="A52" s="70" t="s">
        <v>922</v>
      </c>
      <c r="B52" s="70" t="s">
        <v>972</v>
      </c>
      <c r="C52" s="246" t="s">
        <v>273</v>
      </c>
      <c r="D52" s="162">
        <v>0</v>
      </c>
      <c r="E52" s="162">
        <v>0</v>
      </c>
      <c r="F52" s="162">
        <v>0</v>
      </c>
      <c r="G52" s="176">
        <v>0</v>
      </c>
      <c r="H52" s="162">
        <v>0</v>
      </c>
      <c r="I52" s="162">
        <v>0</v>
      </c>
      <c r="J52" s="162">
        <v>0</v>
      </c>
      <c r="K52" s="176">
        <v>0</v>
      </c>
    </row>
    <row r="53" spans="1:11" x14ac:dyDescent="0.25">
      <c r="A53" s="70" t="s">
        <v>846</v>
      </c>
      <c r="B53" s="70" t="s">
        <v>29</v>
      </c>
      <c r="C53" s="246" t="s">
        <v>602</v>
      </c>
      <c r="D53" s="162">
        <v>0</v>
      </c>
      <c r="E53" s="162">
        <v>0</v>
      </c>
      <c r="F53" s="162">
        <v>0</v>
      </c>
      <c r="G53" s="176">
        <v>0</v>
      </c>
      <c r="H53" s="162">
        <v>0</v>
      </c>
      <c r="I53" s="162">
        <v>0</v>
      </c>
      <c r="J53" s="162">
        <v>0</v>
      </c>
      <c r="K53" s="176">
        <v>0</v>
      </c>
    </row>
    <row r="54" spans="1:11" x14ac:dyDescent="0.25">
      <c r="A54" s="70" t="s">
        <v>719</v>
      </c>
      <c r="B54" s="70" t="s">
        <v>237</v>
      </c>
      <c r="C54" s="246" t="s">
        <v>546</v>
      </c>
      <c r="D54" s="176">
        <v>44889.31</v>
      </c>
      <c r="E54" s="176">
        <v>20457.349999999999</v>
      </c>
      <c r="F54" s="176">
        <v>24431.96</v>
      </c>
      <c r="G54" s="176">
        <v>24431.96</v>
      </c>
      <c r="H54" s="176">
        <v>44889.31</v>
      </c>
      <c r="I54" s="176">
        <v>20457.349999999999</v>
      </c>
      <c r="J54" s="176">
        <v>24431.96</v>
      </c>
      <c r="K54" s="176">
        <v>24432</v>
      </c>
    </row>
    <row r="55" spans="1:11" x14ac:dyDescent="0.25">
      <c r="A55" s="70" t="s">
        <v>1113</v>
      </c>
      <c r="B55" s="70" t="s">
        <v>618</v>
      </c>
      <c r="C55" s="246" t="s">
        <v>334</v>
      </c>
      <c r="D55" s="176">
        <v>33789.31</v>
      </c>
      <c r="E55" s="176">
        <v>20457.349999999999</v>
      </c>
      <c r="F55" s="176">
        <v>13331.96</v>
      </c>
      <c r="G55" s="176">
        <v>13331.96</v>
      </c>
      <c r="H55" s="176">
        <v>33789.31</v>
      </c>
      <c r="I55" s="176">
        <v>20457.349999999999</v>
      </c>
      <c r="J55" s="176">
        <v>13331.96</v>
      </c>
      <c r="K55" s="176">
        <v>13332</v>
      </c>
    </row>
    <row r="56" spans="1:11" x14ac:dyDescent="0.25">
      <c r="A56" s="70" t="s">
        <v>713</v>
      </c>
      <c r="B56" s="70" t="s">
        <v>407</v>
      </c>
      <c r="C56" s="246" t="s">
        <v>944</v>
      </c>
      <c r="D56" s="162">
        <v>0</v>
      </c>
      <c r="E56" s="162">
        <v>0</v>
      </c>
      <c r="F56" s="162">
        <v>0</v>
      </c>
      <c r="G56" s="176">
        <v>0</v>
      </c>
      <c r="H56" s="162">
        <v>0</v>
      </c>
      <c r="I56" s="162">
        <v>0</v>
      </c>
      <c r="J56" s="162">
        <v>0</v>
      </c>
      <c r="K56" s="176">
        <v>0</v>
      </c>
    </row>
    <row r="57" spans="1:11" x14ac:dyDescent="0.25">
      <c r="A57" s="70" t="s">
        <v>395</v>
      </c>
      <c r="B57" s="70" t="s">
        <v>990</v>
      </c>
      <c r="C57" s="246" t="s">
        <v>308</v>
      </c>
      <c r="D57" s="162">
        <v>0</v>
      </c>
      <c r="E57" s="162">
        <v>0</v>
      </c>
      <c r="F57" s="162">
        <v>0</v>
      </c>
      <c r="G57" s="176">
        <v>0</v>
      </c>
      <c r="H57" s="162">
        <v>0</v>
      </c>
      <c r="I57" s="162">
        <v>0</v>
      </c>
      <c r="J57" s="162">
        <v>0</v>
      </c>
      <c r="K57" s="176">
        <v>0</v>
      </c>
    </row>
    <row r="58" spans="1:11" x14ac:dyDescent="0.25">
      <c r="A58" s="70" t="s">
        <v>456</v>
      </c>
      <c r="B58" s="70" t="s">
        <v>166</v>
      </c>
      <c r="C58" s="246" t="s">
        <v>1091</v>
      </c>
      <c r="D58" s="176">
        <v>33789.31</v>
      </c>
      <c r="E58" s="176">
        <v>20457.349999999999</v>
      </c>
      <c r="F58" s="176">
        <v>13331.96</v>
      </c>
      <c r="G58" s="176">
        <v>13331.96</v>
      </c>
      <c r="H58" s="176">
        <v>33789.31</v>
      </c>
      <c r="I58" s="176">
        <v>20457.349999999999</v>
      </c>
      <c r="J58" s="176">
        <v>13331.96</v>
      </c>
      <c r="K58" s="176">
        <v>13332</v>
      </c>
    </row>
    <row r="59" spans="1:11" x14ac:dyDescent="0.25">
      <c r="A59" s="70" t="s">
        <v>878</v>
      </c>
      <c r="B59" s="70" t="s">
        <v>730</v>
      </c>
      <c r="C59" s="246" t="s">
        <v>576</v>
      </c>
      <c r="D59" s="162">
        <v>0</v>
      </c>
      <c r="E59" s="162">
        <v>0</v>
      </c>
      <c r="F59" s="162">
        <v>0</v>
      </c>
      <c r="G59" s="176">
        <v>0</v>
      </c>
      <c r="H59" s="162">
        <v>0</v>
      </c>
      <c r="I59" s="162">
        <v>0</v>
      </c>
      <c r="J59" s="162">
        <v>0</v>
      </c>
      <c r="K59" s="176">
        <v>0</v>
      </c>
    </row>
    <row r="60" spans="1:11" x14ac:dyDescent="0.25">
      <c r="A60" s="70" t="s">
        <v>204</v>
      </c>
      <c r="B60" s="70" t="s">
        <v>971</v>
      </c>
      <c r="C60" s="246" t="s">
        <v>371</v>
      </c>
      <c r="D60" s="162">
        <v>0</v>
      </c>
      <c r="E60" s="162">
        <v>0</v>
      </c>
      <c r="F60" s="162">
        <v>0</v>
      </c>
      <c r="G60" s="176">
        <v>0</v>
      </c>
      <c r="H60" s="162">
        <v>0</v>
      </c>
      <c r="I60" s="162">
        <v>0</v>
      </c>
      <c r="J60" s="162">
        <v>0</v>
      </c>
      <c r="K60" s="176">
        <v>0</v>
      </c>
    </row>
    <row r="61" spans="1:11" x14ac:dyDescent="0.25">
      <c r="A61" s="70" t="s">
        <v>380</v>
      </c>
      <c r="B61" s="70" t="s">
        <v>548</v>
      </c>
      <c r="C61" s="246" t="s">
        <v>1016</v>
      </c>
      <c r="D61" s="162">
        <v>0</v>
      </c>
      <c r="E61" s="162">
        <v>0</v>
      </c>
      <c r="F61" s="162">
        <v>0</v>
      </c>
      <c r="G61" s="176">
        <v>0</v>
      </c>
      <c r="H61" s="162">
        <v>0</v>
      </c>
      <c r="I61" s="162">
        <v>0</v>
      </c>
      <c r="J61" s="162">
        <v>0</v>
      </c>
      <c r="K61" s="176">
        <v>0</v>
      </c>
    </row>
    <row r="62" spans="1:11" x14ac:dyDescent="0.25">
      <c r="A62" s="70" t="s">
        <v>461</v>
      </c>
      <c r="B62" s="70" t="s">
        <v>906</v>
      </c>
      <c r="C62" s="246" t="s">
        <v>899</v>
      </c>
      <c r="D62" s="162">
        <v>0</v>
      </c>
      <c r="E62" s="162">
        <v>0</v>
      </c>
      <c r="F62" s="162">
        <v>0</v>
      </c>
      <c r="G62" s="176">
        <v>0</v>
      </c>
      <c r="H62" s="162">
        <v>0</v>
      </c>
      <c r="I62" s="162">
        <v>0</v>
      </c>
      <c r="J62" s="162">
        <v>0</v>
      </c>
      <c r="K62" s="176">
        <v>0</v>
      </c>
    </row>
    <row r="63" spans="1:11" x14ac:dyDescent="0.25">
      <c r="A63" s="70" t="s">
        <v>881</v>
      </c>
      <c r="B63" s="70" t="s">
        <v>651</v>
      </c>
      <c r="C63" s="246" t="s">
        <v>191</v>
      </c>
      <c r="D63" s="176">
        <v>0</v>
      </c>
      <c r="E63" s="162">
        <v>0</v>
      </c>
      <c r="F63" s="176">
        <v>0</v>
      </c>
      <c r="G63" s="176">
        <v>0</v>
      </c>
      <c r="H63" s="176">
        <v>0</v>
      </c>
      <c r="I63" s="162">
        <v>0</v>
      </c>
      <c r="J63" s="176">
        <v>0</v>
      </c>
      <c r="K63" s="176">
        <v>0</v>
      </c>
    </row>
    <row r="64" spans="1:11" x14ac:dyDescent="0.25">
      <c r="A64" s="70" t="s">
        <v>922</v>
      </c>
      <c r="B64" s="70" t="s">
        <v>1001</v>
      </c>
      <c r="C64" s="246" t="s">
        <v>687</v>
      </c>
      <c r="D64" s="176">
        <v>0</v>
      </c>
      <c r="E64" s="162">
        <v>0</v>
      </c>
      <c r="F64" s="176">
        <v>0</v>
      </c>
      <c r="G64" s="176">
        <v>0</v>
      </c>
      <c r="H64" s="176">
        <v>0</v>
      </c>
      <c r="I64" s="162">
        <v>0</v>
      </c>
      <c r="J64" s="176">
        <v>0</v>
      </c>
      <c r="K64" s="176">
        <v>0</v>
      </c>
    </row>
    <row r="65" spans="1:11" x14ac:dyDescent="0.25">
      <c r="A65" s="70" t="s">
        <v>846</v>
      </c>
      <c r="B65" s="70" t="s">
        <v>344</v>
      </c>
      <c r="C65" s="246" t="s">
        <v>1039</v>
      </c>
      <c r="D65" s="162">
        <v>0</v>
      </c>
      <c r="E65" s="162">
        <v>0</v>
      </c>
      <c r="F65" s="162">
        <v>0</v>
      </c>
      <c r="G65" s="176">
        <v>0</v>
      </c>
      <c r="H65" s="162">
        <v>0</v>
      </c>
      <c r="I65" s="162">
        <v>0</v>
      </c>
      <c r="J65" s="162">
        <v>0</v>
      </c>
      <c r="K65" s="176">
        <v>0</v>
      </c>
    </row>
    <row r="66" spans="1:11" x14ac:dyDescent="0.25">
      <c r="A66" s="70" t="s">
        <v>34</v>
      </c>
      <c r="B66" s="70" t="s">
        <v>535</v>
      </c>
      <c r="C66" s="246" t="s">
        <v>14</v>
      </c>
      <c r="D66" s="176">
        <v>11100</v>
      </c>
      <c r="E66" s="162">
        <v>0</v>
      </c>
      <c r="F66" s="176">
        <v>11100</v>
      </c>
      <c r="G66" s="176">
        <v>11100</v>
      </c>
      <c r="H66" s="176">
        <v>11100</v>
      </c>
      <c r="I66" s="162">
        <v>0</v>
      </c>
      <c r="J66" s="176">
        <v>11100</v>
      </c>
      <c r="K66" s="176">
        <v>11100</v>
      </c>
    </row>
    <row r="67" spans="1:11" x14ac:dyDescent="0.25">
      <c r="A67" s="70" t="s">
        <v>102</v>
      </c>
      <c r="B67" s="70" t="s">
        <v>923</v>
      </c>
      <c r="C67" s="246" t="s">
        <v>995</v>
      </c>
      <c r="D67" s="162">
        <v>0</v>
      </c>
      <c r="E67" s="162">
        <v>0</v>
      </c>
      <c r="F67" s="162">
        <v>0</v>
      </c>
      <c r="G67" s="176">
        <v>0</v>
      </c>
      <c r="H67" s="162">
        <v>0</v>
      </c>
      <c r="I67" s="162">
        <v>0</v>
      </c>
      <c r="J67" s="162">
        <v>0</v>
      </c>
      <c r="K67" s="176">
        <v>0</v>
      </c>
    </row>
    <row r="68" spans="1:11" x14ac:dyDescent="0.25">
      <c r="A68" s="70" t="s">
        <v>817</v>
      </c>
      <c r="B68" s="70" t="s">
        <v>25</v>
      </c>
      <c r="C68" s="246" t="s">
        <v>997</v>
      </c>
      <c r="D68" s="162">
        <v>0</v>
      </c>
      <c r="E68" s="162">
        <v>0</v>
      </c>
      <c r="F68" s="162">
        <v>0</v>
      </c>
      <c r="G68" s="176">
        <v>0</v>
      </c>
      <c r="H68" s="162">
        <v>0</v>
      </c>
      <c r="I68" s="162">
        <v>0</v>
      </c>
      <c r="J68" s="162">
        <v>0</v>
      </c>
      <c r="K68" s="176">
        <v>0</v>
      </c>
    </row>
    <row r="69" spans="1:11" x14ac:dyDescent="0.25">
      <c r="A69" s="70" t="s">
        <v>878</v>
      </c>
      <c r="B69" s="70" t="s">
        <v>809</v>
      </c>
      <c r="C69" s="246" t="s">
        <v>444</v>
      </c>
      <c r="D69" s="162">
        <v>0</v>
      </c>
      <c r="E69" s="162">
        <v>0</v>
      </c>
      <c r="F69" s="162">
        <v>0</v>
      </c>
      <c r="G69" s="176">
        <v>0</v>
      </c>
      <c r="H69" s="162">
        <v>0</v>
      </c>
      <c r="I69" s="162">
        <v>0</v>
      </c>
      <c r="J69" s="162">
        <v>0</v>
      </c>
      <c r="K69" s="176">
        <v>0</v>
      </c>
    </row>
    <row r="70" spans="1:11" x14ac:dyDescent="0.25">
      <c r="A70" s="70" t="s">
        <v>204</v>
      </c>
      <c r="B70" s="70" t="s">
        <v>937</v>
      </c>
      <c r="C70" s="246" t="s">
        <v>765</v>
      </c>
      <c r="D70" s="162">
        <v>0</v>
      </c>
      <c r="E70" s="162">
        <v>0</v>
      </c>
      <c r="F70" s="162">
        <v>0</v>
      </c>
      <c r="G70" s="176">
        <v>0</v>
      </c>
      <c r="H70" s="162">
        <v>0</v>
      </c>
      <c r="I70" s="162">
        <v>0</v>
      </c>
      <c r="J70" s="162">
        <v>0</v>
      </c>
      <c r="K70" s="176">
        <v>0</v>
      </c>
    </row>
    <row r="71" spans="1:11" x14ac:dyDescent="0.25">
      <c r="A71" s="70" t="s">
        <v>380</v>
      </c>
      <c r="B71" s="70" t="s">
        <v>228</v>
      </c>
      <c r="C71" s="246" t="s">
        <v>328</v>
      </c>
      <c r="D71" s="162">
        <v>0</v>
      </c>
      <c r="E71" s="162">
        <v>0</v>
      </c>
      <c r="F71" s="162">
        <v>0</v>
      </c>
      <c r="G71" s="176">
        <v>0</v>
      </c>
      <c r="H71" s="162">
        <v>0</v>
      </c>
      <c r="I71" s="162">
        <v>0</v>
      </c>
      <c r="J71" s="162">
        <v>0</v>
      </c>
      <c r="K71" s="176">
        <v>0</v>
      </c>
    </row>
    <row r="72" spans="1:11" x14ac:dyDescent="0.25">
      <c r="A72" s="70" t="s">
        <v>12</v>
      </c>
      <c r="B72" s="70" t="s">
        <v>201</v>
      </c>
      <c r="C72" s="246" t="s">
        <v>1083</v>
      </c>
      <c r="D72" s="176">
        <v>12043.73</v>
      </c>
      <c r="E72" s="162">
        <v>0</v>
      </c>
      <c r="F72" s="176">
        <v>12043.73</v>
      </c>
      <c r="G72" s="176">
        <v>12043.73</v>
      </c>
      <c r="H72" s="176">
        <v>12043.73</v>
      </c>
      <c r="I72" s="162">
        <v>0</v>
      </c>
      <c r="J72" s="176">
        <v>12043.73</v>
      </c>
      <c r="K72" s="176">
        <v>12044</v>
      </c>
    </row>
    <row r="73" spans="1:11" x14ac:dyDescent="0.25">
      <c r="A73" s="70" t="s">
        <v>877</v>
      </c>
      <c r="B73" s="70" t="s">
        <v>773</v>
      </c>
      <c r="C73" s="246" t="s">
        <v>804</v>
      </c>
      <c r="D73" s="176">
        <v>4.9000000000000004</v>
      </c>
      <c r="E73" s="162">
        <v>0</v>
      </c>
      <c r="F73" s="176">
        <v>4.9000000000000004</v>
      </c>
      <c r="G73" s="176">
        <v>4.9000000000000004</v>
      </c>
      <c r="H73" s="176">
        <v>4.9000000000000004</v>
      </c>
      <c r="I73" s="162">
        <v>0</v>
      </c>
      <c r="J73" s="176">
        <v>4.9000000000000004</v>
      </c>
      <c r="K73" s="176">
        <v>5</v>
      </c>
    </row>
    <row r="74" spans="1:11" x14ac:dyDescent="0.25">
      <c r="A74" s="70" t="s">
        <v>878</v>
      </c>
      <c r="B74" s="70" t="s">
        <v>317</v>
      </c>
      <c r="C74" s="246" t="s">
        <v>580</v>
      </c>
      <c r="D74" s="176">
        <v>12038.83</v>
      </c>
      <c r="E74" s="162">
        <v>0</v>
      </c>
      <c r="F74" s="176">
        <v>12038.83</v>
      </c>
      <c r="G74" s="176">
        <v>12038.83</v>
      </c>
      <c r="H74" s="176">
        <v>12038.83</v>
      </c>
      <c r="I74" s="162">
        <v>0</v>
      </c>
      <c r="J74" s="176">
        <v>12038.83</v>
      </c>
      <c r="K74" s="176">
        <v>12039</v>
      </c>
    </row>
    <row r="75" spans="1:11" x14ac:dyDescent="0.25">
      <c r="A75" s="70" t="s">
        <v>306</v>
      </c>
      <c r="B75" s="70" t="s">
        <v>551</v>
      </c>
      <c r="C75" s="246" t="s">
        <v>226</v>
      </c>
      <c r="D75" s="176">
        <v>402.9</v>
      </c>
      <c r="E75" s="162">
        <v>0</v>
      </c>
      <c r="F75" s="176">
        <v>402.9</v>
      </c>
      <c r="G75" s="176">
        <v>402.9</v>
      </c>
      <c r="H75" s="176">
        <v>402.9</v>
      </c>
      <c r="I75" s="162">
        <v>0</v>
      </c>
      <c r="J75" s="176">
        <v>402.9</v>
      </c>
      <c r="K75" s="176">
        <v>403</v>
      </c>
    </row>
    <row r="76" spans="1:11" x14ac:dyDescent="0.25">
      <c r="A76" s="70" t="s">
        <v>729</v>
      </c>
      <c r="B76" s="70" t="s">
        <v>232</v>
      </c>
      <c r="C76" s="246" t="s">
        <v>859</v>
      </c>
      <c r="D76" s="162">
        <v>0</v>
      </c>
      <c r="E76" s="162">
        <v>0</v>
      </c>
      <c r="F76" s="162">
        <v>0</v>
      </c>
      <c r="G76" s="176">
        <v>0</v>
      </c>
      <c r="H76" s="162">
        <v>0</v>
      </c>
      <c r="I76" s="162">
        <v>0</v>
      </c>
      <c r="J76" s="162">
        <v>0</v>
      </c>
      <c r="K76" s="176">
        <v>0</v>
      </c>
    </row>
    <row r="77" spans="1:11" x14ac:dyDescent="0.25">
      <c r="A77" s="70" t="s">
        <v>878</v>
      </c>
      <c r="B77" s="70" t="s">
        <v>681</v>
      </c>
      <c r="C77" s="246" t="s">
        <v>613</v>
      </c>
      <c r="D77" s="176">
        <v>402.9</v>
      </c>
      <c r="E77" s="162">
        <v>0</v>
      </c>
      <c r="F77" s="176">
        <v>402.9</v>
      </c>
      <c r="G77" s="176">
        <v>402.9</v>
      </c>
      <c r="H77" s="176">
        <v>402.9</v>
      </c>
      <c r="I77" s="162">
        <v>0</v>
      </c>
      <c r="J77" s="176">
        <v>402.9</v>
      </c>
      <c r="K77" s="176">
        <v>403</v>
      </c>
    </row>
    <row r="78" spans="1:11" x14ac:dyDescent="0.25">
      <c r="A78" s="70" t="s">
        <v>204</v>
      </c>
      <c r="B78" s="70" t="s">
        <v>1110</v>
      </c>
      <c r="C78" s="246" t="s">
        <v>700</v>
      </c>
      <c r="D78" s="162">
        <v>0</v>
      </c>
      <c r="E78" s="162">
        <v>0</v>
      </c>
      <c r="F78" s="162">
        <v>0</v>
      </c>
      <c r="G78" s="176">
        <v>0</v>
      </c>
      <c r="H78" s="162">
        <v>0</v>
      </c>
      <c r="I78" s="162">
        <v>0</v>
      </c>
      <c r="J78" s="162">
        <v>0</v>
      </c>
      <c r="K78" s="176">
        <v>0</v>
      </c>
    </row>
    <row r="79" spans="1:11" x14ac:dyDescent="0.25">
      <c r="A79" s="70" t="s">
        <v>380</v>
      </c>
      <c r="B79" s="70" t="s">
        <v>301</v>
      </c>
      <c r="C79" s="246" t="s">
        <v>858</v>
      </c>
      <c r="D79" s="162">
        <v>0</v>
      </c>
      <c r="E79" s="162">
        <v>0</v>
      </c>
      <c r="F79" s="162">
        <v>0</v>
      </c>
      <c r="G79" s="176">
        <v>0</v>
      </c>
      <c r="H79" s="162">
        <v>0</v>
      </c>
      <c r="I79" s="162">
        <v>0</v>
      </c>
      <c r="J79" s="162">
        <v>0</v>
      </c>
      <c r="K79" s="176">
        <v>0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G68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 x14ac:dyDescent="0.25">
      <c r="A1" s="11" t="s">
        <v>633</v>
      </c>
      <c r="B1" s="11" t="s">
        <v>219</v>
      </c>
      <c r="C1" s="51" t="s">
        <v>767</v>
      </c>
      <c r="D1" s="157" t="s">
        <v>1034</v>
      </c>
      <c r="E1" s="157" t="s">
        <v>384</v>
      </c>
      <c r="F1" s="157" t="s">
        <v>303</v>
      </c>
      <c r="G1" s="157" t="s">
        <v>455</v>
      </c>
    </row>
    <row r="2" spans="1:7" x14ac:dyDescent="0.25">
      <c r="A2" s="70" t="s">
        <v>931</v>
      </c>
      <c r="B2" s="70" t="s">
        <v>632</v>
      </c>
      <c r="C2" s="246" t="s">
        <v>391</v>
      </c>
      <c r="D2" s="176">
        <v>36878.589999999997</v>
      </c>
      <c r="E2" s="176">
        <v>36878.589999999997</v>
      </c>
      <c r="F2" s="176">
        <v>36878.589999999997</v>
      </c>
      <c r="G2" s="176">
        <v>36879</v>
      </c>
    </row>
    <row r="3" spans="1:7" x14ac:dyDescent="0.25">
      <c r="A3" s="70" t="s">
        <v>805</v>
      </c>
      <c r="B3" s="70" t="s">
        <v>1049</v>
      </c>
      <c r="C3" s="246" t="s">
        <v>149</v>
      </c>
      <c r="D3" s="144">
        <v>-16181.77</v>
      </c>
      <c r="E3" s="144">
        <v>-16181.77</v>
      </c>
      <c r="F3" s="144">
        <v>-16181.77</v>
      </c>
      <c r="G3" s="144">
        <v>-16181</v>
      </c>
    </row>
    <row r="4" spans="1:7" x14ac:dyDescent="0.25">
      <c r="A4" s="70" t="s">
        <v>985</v>
      </c>
      <c r="B4" s="70" t="s">
        <v>33</v>
      </c>
      <c r="C4" s="246" t="s">
        <v>692</v>
      </c>
      <c r="D4" s="176">
        <v>6638.78</v>
      </c>
      <c r="E4" s="176">
        <v>6638.78</v>
      </c>
      <c r="F4" s="176">
        <v>6638.78</v>
      </c>
      <c r="G4" s="176">
        <v>6639</v>
      </c>
    </row>
    <row r="5" spans="1:7" x14ac:dyDescent="0.25">
      <c r="A5" s="70" t="s">
        <v>393</v>
      </c>
      <c r="B5" s="70" t="s">
        <v>291</v>
      </c>
      <c r="C5" s="246" t="s">
        <v>1033</v>
      </c>
      <c r="D5" s="176">
        <v>6638.78</v>
      </c>
      <c r="E5" s="176">
        <v>6638.78</v>
      </c>
      <c r="F5" s="176">
        <v>6638.78</v>
      </c>
      <c r="G5" s="176">
        <v>6639</v>
      </c>
    </row>
    <row r="6" spans="1:7" x14ac:dyDescent="0.25">
      <c r="A6" s="70" t="s">
        <v>878</v>
      </c>
      <c r="B6" s="70" t="s">
        <v>760</v>
      </c>
      <c r="C6" s="246" t="s">
        <v>123</v>
      </c>
      <c r="D6" s="162">
        <v>0</v>
      </c>
      <c r="E6" s="176">
        <v>0</v>
      </c>
      <c r="F6" s="162">
        <v>0</v>
      </c>
      <c r="G6" s="176">
        <v>0</v>
      </c>
    </row>
    <row r="7" spans="1:7" x14ac:dyDescent="0.25">
      <c r="A7" s="70" t="s">
        <v>204</v>
      </c>
      <c r="B7" s="70" t="s">
        <v>772</v>
      </c>
      <c r="C7" s="246" t="s">
        <v>235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82</v>
      </c>
      <c r="B8" s="70" t="s">
        <v>789</v>
      </c>
      <c r="C8" s="246" t="s">
        <v>612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25">
      <c r="A9" s="70" t="s">
        <v>916</v>
      </c>
      <c r="B9" s="70" t="s">
        <v>652</v>
      </c>
      <c r="C9" s="246" t="s">
        <v>706</v>
      </c>
      <c r="D9" s="162">
        <v>0</v>
      </c>
      <c r="E9" s="176">
        <v>0</v>
      </c>
      <c r="F9" s="162">
        <v>0</v>
      </c>
      <c r="G9" s="176">
        <v>0</v>
      </c>
    </row>
    <row r="10" spans="1:7" x14ac:dyDescent="0.25">
      <c r="A10" s="70" t="s">
        <v>731</v>
      </c>
      <c r="B10" s="70" t="s">
        <v>133</v>
      </c>
      <c r="C10" s="246" t="s">
        <v>693</v>
      </c>
      <c r="D10" s="176">
        <v>663</v>
      </c>
      <c r="E10" s="176">
        <v>663</v>
      </c>
      <c r="F10" s="176">
        <v>663</v>
      </c>
      <c r="G10" s="176">
        <v>663</v>
      </c>
    </row>
    <row r="11" spans="1:7" x14ac:dyDescent="0.25">
      <c r="A11" s="70" t="s">
        <v>210</v>
      </c>
      <c r="B11" s="70" t="s">
        <v>360</v>
      </c>
      <c r="C11" s="246" t="s">
        <v>388</v>
      </c>
      <c r="D11" s="176">
        <v>663</v>
      </c>
      <c r="E11" s="176">
        <v>663</v>
      </c>
      <c r="F11" s="176">
        <v>663</v>
      </c>
      <c r="G11" s="176">
        <v>663</v>
      </c>
    </row>
    <row r="12" spans="1:7" x14ac:dyDescent="0.25">
      <c r="A12" s="70" t="s">
        <v>878</v>
      </c>
      <c r="B12" s="70" t="s">
        <v>635</v>
      </c>
      <c r="C12" s="246" t="s">
        <v>23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770</v>
      </c>
      <c r="B13" s="70" t="s">
        <v>408</v>
      </c>
      <c r="C13" s="246" t="s">
        <v>1019</v>
      </c>
      <c r="D13" s="162">
        <v>0</v>
      </c>
      <c r="E13" s="176">
        <v>0</v>
      </c>
      <c r="F13" s="162">
        <v>0</v>
      </c>
      <c r="G13" s="176">
        <v>0</v>
      </c>
    </row>
    <row r="14" spans="1:7" x14ac:dyDescent="0.25">
      <c r="A14" s="70" t="s">
        <v>203</v>
      </c>
      <c r="B14" s="70" t="s">
        <v>168</v>
      </c>
      <c r="C14" s="246" t="s">
        <v>824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186</v>
      </c>
      <c r="B15" s="70" t="s">
        <v>775</v>
      </c>
      <c r="C15" s="246" t="s">
        <v>885</v>
      </c>
      <c r="D15" s="162">
        <v>0</v>
      </c>
      <c r="E15" s="176">
        <v>0</v>
      </c>
      <c r="F15" s="162">
        <v>0</v>
      </c>
      <c r="G15" s="176">
        <v>0</v>
      </c>
    </row>
    <row r="16" spans="1:7" x14ac:dyDescent="0.25">
      <c r="A16" s="70" t="s">
        <v>1050</v>
      </c>
      <c r="B16" s="70" t="s">
        <v>660</v>
      </c>
      <c r="C16" s="246" t="s">
        <v>988</v>
      </c>
      <c r="D16" s="162">
        <v>0</v>
      </c>
      <c r="E16" s="176">
        <v>0</v>
      </c>
      <c r="F16" s="162">
        <v>0</v>
      </c>
      <c r="G16" s="176">
        <v>0</v>
      </c>
    </row>
    <row r="17" spans="1:7" x14ac:dyDescent="0.25">
      <c r="A17" s="70" t="s">
        <v>738</v>
      </c>
      <c r="B17" s="70" t="s">
        <v>540</v>
      </c>
      <c r="C17" s="246" t="s">
        <v>311</v>
      </c>
      <c r="D17" s="162">
        <v>0</v>
      </c>
      <c r="E17" s="176">
        <v>0</v>
      </c>
      <c r="F17" s="162">
        <v>0</v>
      </c>
      <c r="G17" s="176">
        <v>0</v>
      </c>
    </row>
    <row r="18" spans="1:7" x14ac:dyDescent="0.25">
      <c r="A18" s="70" t="s">
        <v>878</v>
      </c>
      <c r="B18" s="70" t="s">
        <v>715</v>
      </c>
      <c r="C18" s="246" t="s">
        <v>475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25">
      <c r="A19" s="70" t="s">
        <v>204</v>
      </c>
      <c r="B19" s="70" t="s">
        <v>35</v>
      </c>
      <c r="C19" s="246" t="s">
        <v>978</v>
      </c>
      <c r="D19" s="162">
        <v>0</v>
      </c>
      <c r="E19" s="176">
        <v>0</v>
      </c>
      <c r="F19" s="162">
        <v>0</v>
      </c>
      <c r="G19" s="176">
        <v>0</v>
      </c>
    </row>
    <row r="20" spans="1:7" x14ac:dyDescent="0.25">
      <c r="A20" s="70" t="s">
        <v>847</v>
      </c>
      <c r="B20" s="70" t="s">
        <v>1062</v>
      </c>
      <c r="C20" s="246" t="s">
        <v>841</v>
      </c>
      <c r="D20" s="176">
        <v>-18913.990000000002</v>
      </c>
      <c r="E20" s="176">
        <v>-18913.990000000002</v>
      </c>
      <c r="F20" s="176">
        <v>-18913.990000000002</v>
      </c>
      <c r="G20" s="176">
        <v>-18913</v>
      </c>
    </row>
    <row r="21" spans="1:7" x14ac:dyDescent="0.25">
      <c r="A21" s="70" t="s">
        <v>975</v>
      </c>
      <c r="B21" s="70" t="s">
        <v>1121</v>
      </c>
      <c r="C21" s="246" t="s">
        <v>645</v>
      </c>
      <c r="D21" s="176">
        <v>15979.5</v>
      </c>
      <c r="E21" s="176">
        <v>15979.5</v>
      </c>
      <c r="F21" s="176">
        <v>15979.5</v>
      </c>
      <c r="G21" s="176">
        <v>15980</v>
      </c>
    </row>
    <row r="22" spans="1:7" x14ac:dyDescent="0.25">
      <c r="A22" s="70" t="s">
        <v>878</v>
      </c>
      <c r="B22" s="70" t="s">
        <v>39</v>
      </c>
      <c r="C22" s="246" t="s">
        <v>583</v>
      </c>
      <c r="D22" s="176">
        <v>-34893.49</v>
      </c>
      <c r="E22" s="176">
        <v>-34893.49</v>
      </c>
      <c r="F22" s="176">
        <v>-34893.49</v>
      </c>
      <c r="G22" s="176">
        <v>-34893</v>
      </c>
    </row>
    <row r="23" spans="1:7" x14ac:dyDescent="0.25">
      <c r="A23" s="70" t="s">
        <v>280</v>
      </c>
      <c r="B23" s="70" t="s">
        <v>655</v>
      </c>
      <c r="C23" s="246" t="s">
        <v>342</v>
      </c>
      <c r="D23" s="176">
        <v>-4569.5600000000004</v>
      </c>
      <c r="E23" s="176">
        <v>-4569.5600000000004</v>
      </c>
      <c r="F23" s="176">
        <v>-4569.5600000000004</v>
      </c>
      <c r="G23" s="176">
        <v>-4570</v>
      </c>
    </row>
    <row r="24" spans="1:7" x14ac:dyDescent="0.25">
      <c r="A24" s="70" t="s">
        <v>321</v>
      </c>
      <c r="B24" s="70" t="s">
        <v>355</v>
      </c>
      <c r="C24" s="246" t="s">
        <v>267</v>
      </c>
      <c r="D24" s="176">
        <v>53060.36</v>
      </c>
      <c r="E24" s="176">
        <v>53060.36</v>
      </c>
      <c r="F24" s="176">
        <v>53060.36</v>
      </c>
      <c r="G24" s="176">
        <v>53060</v>
      </c>
    </row>
    <row r="25" spans="1:7" x14ac:dyDescent="0.25">
      <c r="A25" s="70" t="s">
        <v>329</v>
      </c>
      <c r="B25" s="70" t="s">
        <v>379</v>
      </c>
      <c r="C25" s="246" t="s">
        <v>1003</v>
      </c>
      <c r="D25" s="176">
        <v>33876.17</v>
      </c>
      <c r="E25" s="176">
        <v>33876.17</v>
      </c>
      <c r="F25" s="176">
        <v>33876.17</v>
      </c>
      <c r="G25" s="176">
        <v>33876</v>
      </c>
    </row>
    <row r="26" spans="1:7" x14ac:dyDescent="0.25">
      <c r="A26" s="70" t="s">
        <v>251</v>
      </c>
      <c r="B26" s="70" t="s">
        <v>21</v>
      </c>
      <c r="C26" s="246" t="s">
        <v>88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25">
      <c r="A27" s="70" t="s">
        <v>713</v>
      </c>
      <c r="B27" s="70" t="s">
        <v>1036</v>
      </c>
      <c r="C27" s="246" t="s">
        <v>1020</v>
      </c>
      <c r="D27" s="162">
        <v>0</v>
      </c>
      <c r="E27" s="176">
        <v>0</v>
      </c>
      <c r="F27" s="162">
        <v>0</v>
      </c>
      <c r="G27" s="176">
        <v>0</v>
      </c>
    </row>
    <row r="28" spans="1:7" x14ac:dyDescent="0.25">
      <c r="A28" s="70" t="s">
        <v>395</v>
      </c>
      <c r="B28" s="70" t="s">
        <v>533</v>
      </c>
      <c r="C28" s="246" t="s">
        <v>897</v>
      </c>
      <c r="D28" s="162">
        <v>0</v>
      </c>
      <c r="E28" s="176">
        <v>0</v>
      </c>
      <c r="F28" s="162">
        <v>0</v>
      </c>
      <c r="G28" s="176">
        <v>0</v>
      </c>
    </row>
    <row r="29" spans="1:7" x14ac:dyDescent="0.25">
      <c r="A29" s="70" t="s">
        <v>456</v>
      </c>
      <c r="B29" s="70" t="s">
        <v>439</v>
      </c>
      <c r="C29" s="246" t="s">
        <v>137</v>
      </c>
      <c r="D29" s="162">
        <v>0</v>
      </c>
      <c r="E29" s="176">
        <v>0</v>
      </c>
      <c r="F29" s="162">
        <v>0</v>
      </c>
      <c r="G29" s="176">
        <v>0</v>
      </c>
    </row>
    <row r="30" spans="1:7" x14ac:dyDescent="0.25">
      <c r="A30" s="70" t="s">
        <v>878</v>
      </c>
      <c r="B30" s="70" t="s">
        <v>730</v>
      </c>
      <c r="C30" s="246" t="s">
        <v>745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25">
      <c r="A31" s="70" t="s">
        <v>204</v>
      </c>
      <c r="B31" s="70" t="s">
        <v>160</v>
      </c>
      <c r="C31" s="246" t="s">
        <v>948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380</v>
      </c>
      <c r="B32" s="70" t="s">
        <v>167</v>
      </c>
      <c r="C32" s="246" t="s">
        <v>1002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461</v>
      </c>
      <c r="B33" s="70" t="s">
        <v>780</v>
      </c>
      <c r="C33" s="246" t="s">
        <v>860</v>
      </c>
      <c r="D33" s="176">
        <v>33625.480000000003</v>
      </c>
      <c r="E33" s="176">
        <v>33625.480000000003</v>
      </c>
      <c r="F33" s="176">
        <v>33625.480000000003</v>
      </c>
      <c r="G33" s="176">
        <v>33625</v>
      </c>
    </row>
    <row r="34" spans="1:7" x14ac:dyDescent="0.25">
      <c r="A34" s="70" t="s">
        <v>881</v>
      </c>
      <c r="B34" s="70" t="s">
        <v>965</v>
      </c>
      <c r="C34" s="246" t="s">
        <v>783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922</v>
      </c>
      <c r="B35" s="70" t="s">
        <v>898</v>
      </c>
      <c r="C35" s="246" t="s">
        <v>683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846</v>
      </c>
      <c r="B36" s="70" t="s">
        <v>880</v>
      </c>
      <c r="C36" s="246" t="s">
        <v>716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34</v>
      </c>
      <c r="B37" s="70" t="s">
        <v>1063</v>
      </c>
      <c r="C37" s="246" t="s">
        <v>610</v>
      </c>
      <c r="D37" s="176">
        <v>250.69</v>
      </c>
      <c r="E37" s="176">
        <v>250.69</v>
      </c>
      <c r="F37" s="176">
        <v>250.69</v>
      </c>
      <c r="G37" s="176">
        <v>251</v>
      </c>
    </row>
    <row r="38" spans="1:7" x14ac:dyDescent="0.25">
      <c r="A38" s="70" t="s">
        <v>669</v>
      </c>
      <c r="B38" s="70" t="s">
        <v>1125</v>
      </c>
      <c r="C38" s="246" t="s">
        <v>757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25">
      <c r="A39" s="70" t="s">
        <v>796</v>
      </c>
      <c r="B39" s="70" t="s">
        <v>557</v>
      </c>
      <c r="C39" s="246" t="s">
        <v>844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298</v>
      </c>
      <c r="B40" s="70" t="s">
        <v>162</v>
      </c>
      <c r="C40" s="246" t="s">
        <v>702</v>
      </c>
      <c r="D40" s="162">
        <v>0</v>
      </c>
      <c r="E40" s="176">
        <v>0</v>
      </c>
      <c r="F40" s="162">
        <v>0</v>
      </c>
      <c r="G40" s="176">
        <v>0</v>
      </c>
    </row>
    <row r="41" spans="1:7" x14ac:dyDescent="0.25">
      <c r="A41" s="70" t="s">
        <v>354</v>
      </c>
      <c r="B41" s="70" t="s">
        <v>32</v>
      </c>
      <c r="C41" s="246" t="s">
        <v>914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325</v>
      </c>
      <c r="B42" s="70" t="s">
        <v>496</v>
      </c>
      <c r="C42" s="246" t="s">
        <v>1053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25">
      <c r="A43" s="70" t="s">
        <v>878</v>
      </c>
      <c r="B43" s="70" t="s">
        <v>362</v>
      </c>
      <c r="C43" s="246" t="s">
        <v>572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719</v>
      </c>
      <c r="B44" s="70" t="s">
        <v>750</v>
      </c>
      <c r="C44" s="246" t="s">
        <v>445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102</v>
      </c>
      <c r="B45" s="70" t="s">
        <v>842</v>
      </c>
      <c r="C45" s="246" t="s">
        <v>1014</v>
      </c>
      <c r="D45" s="176">
        <v>19184.189999999999</v>
      </c>
      <c r="E45" s="176">
        <v>19184.189999999999</v>
      </c>
      <c r="F45" s="176">
        <v>19184.189999999999</v>
      </c>
      <c r="G45" s="176">
        <v>19184</v>
      </c>
    </row>
    <row r="46" spans="1:7" x14ac:dyDescent="0.25">
      <c r="A46" s="70" t="s">
        <v>143</v>
      </c>
      <c r="B46" s="70" t="s">
        <v>919</v>
      </c>
      <c r="C46" s="246" t="s">
        <v>114</v>
      </c>
      <c r="D46" s="176">
        <v>3153.39</v>
      </c>
      <c r="E46" s="176">
        <v>3153.39</v>
      </c>
      <c r="F46" s="176">
        <v>3153.39</v>
      </c>
      <c r="G46" s="176">
        <v>3154</v>
      </c>
    </row>
    <row r="47" spans="1:7" x14ac:dyDescent="0.25">
      <c r="A47" s="70" t="s">
        <v>713</v>
      </c>
      <c r="B47" s="70" t="s">
        <v>1102</v>
      </c>
      <c r="C47" s="246" t="s">
        <v>891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395</v>
      </c>
      <c r="B48" s="70" t="s">
        <v>509</v>
      </c>
      <c r="C48" s="246" t="s">
        <v>3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456</v>
      </c>
      <c r="B49" s="70" t="s">
        <v>172</v>
      </c>
      <c r="C49" s="246" t="s">
        <v>825</v>
      </c>
      <c r="D49" s="176">
        <v>3153.39</v>
      </c>
      <c r="E49" s="176">
        <v>3153.39</v>
      </c>
      <c r="F49" s="176">
        <v>3153.39</v>
      </c>
      <c r="G49" s="176">
        <v>3154</v>
      </c>
    </row>
    <row r="50" spans="1:7" x14ac:dyDescent="0.25">
      <c r="A50" s="70" t="s">
        <v>878</v>
      </c>
      <c r="B50" s="70" t="s">
        <v>730</v>
      </c>
      <c r="C50" s="246" t="s">
        <v>894</v>
      </c>
      <c r="D50" s="162">
        <v>0</v>
      </c>
      <c r="E50" s="176">
        <v>0</v>
      </c>
      <c r="F50" s="162">
        <v>0</v>
      </c>
      <c r="G50" s="176">
        <v>0</v>
      </c>
    </row>
    <row r="51" spans="1:7" x14ac:dyDescent="0.25">
      <c r="A51" s="70" t="s">
        <v>204</v>
      </c>
      <c r="B51" s="70" t="s">
        <v>794</v>
      </c>
      <c r="C51" s="246" t="s">
        <v>104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380</v>
      </c>
      <c r="B52" s="70" t="s">
        <v>346</v>
      </c>
      <c r="C52" s="246" t="s">
        <v>963</v>
      </c>
      <c r="D52" s="162">
        <v>0</v>
      </c>
      <c r="E52" s="176">
        <v>0</v>
      </c>
      <c r="F52" s="162">
        <v>0</v>
      </c>
      <c r="G52" s="176">
        <v>0</v>
      </c>
    </row>
    <row r="53" spans="1:7" x14ac:dyDescent="0.25">
      <c r="A53" s="70" t="s">
        <v>461</v>
      </c>
      <c r="B53" s="70" t="s">
        <v>910</v>
      </c>
      <c r="C53" s="246" t="s">
        <v>0</v>
      </c>
      <c r="D53" s="176">
        <v>9674.0499999999993</v>
      </c>
      <c r="E53" s="176">
        <v>9674.0499999999993</v>
      </c>
      <c r="F53" s="176">
        <v>9674.0499999999993</v>
      </c>
      <c r="G53" s="176">
        <v>9674</v>
      </c>
    </row>
    <row r="54" spans="1:7" x14ac:dyDescent="0.25">
      <c r="A54" s="70" t="s">
        <v>881</v>
      </c>
      <c r="B54" s="70" t="s">
        <v>976</v>
      </c>
      <c r="C54" s="246" t="s">
        <v>471</v>
      </c>
      <c r="D54" s="176">
        <v>2129.9499999999998</v>
      </c>
      <c r="E54" s="176">
        <v>2129.9499999999998</v>
      </c>
      <c r="F54" s="176">
        <v>2129.9499999999998</v>
      </c>
      <c r="G54" s="176">
        <v>2130</v>
      </c>
    </row>
    <row r="55" spans="1:7" x14ac:dyDescent="0.25">
      <c r="A55" s="70" t="s">
        <v>922</v>
      </c>
      <c r="B55" s="70" t="s">
        <v>450</v>
      </c>
      <c r="C55" s="246" t="s">
        <v>449</v>
      </c>
      <c r="D55" s="176">
        <v>2867.39</v>
      </c>
      <c r="E55" s="176">
        <v>2867.39</v>
      </c>
      <c r="F55" s="176">
        <v>2867.39</v>
      </c>
      <c r="G55" s="176">
        <v>2867</v>
      </c>
    </row>
    <row r="56" spans="1:7" x14ac:dyDescent="0.25">
      <c r="A56" s="70" t="s">
        <v>846</v>
      </c>
      <c r="B56" s="70" t="s">
        <v>196</v>
      </c>
      <c r="C56" s="246" t="s">
        <v>966</v>
      </c>
      <c r="D56" s="176">
        <v>1375.91</v>
      </c>
      <c r="E56" s="176">
        <v>1375.91</v>
      </c>
      <c r="F56" s="176">
        <v>1375.91</v>
      </c>
      <c r="G56" s="176">
        <v>1376</v>
      </c>
    </row>
    <row r="57" spans="1:7" x14ac:dyDescent="0.25">
      <c r="A57" s="70" t="s">
        <v>34</v>
      </c>
      <c r="B57" s="70" t="s">
        <v>609</v>
      </c>
      <c r="C57" s="246" t="s">
        <v>105</v>
      </c>
      <c r="D57" s="162">
        <v>0</v>
      </c>
      <c r="E57" s="176">
        <v>0</v>
      </c>
      <c r="F57" s="162">
        <v>0</v>
      </c>
      <c r="G57" s="176">
        <v>0</v>
      </c>
    </row>
    <row r="58" spans="1:7" x14ac:dyDescent="0.25">
      <c r="A58" s="70" t="s">
        <v>669</v>
      </c>
      <c r="B58" s="70" t="s">
        <v>748</v>
      </c>
      <c r="C58" s="246" t="s">
        <v>628</v>
      </c>
      <c r="D58" s="176">
        <v>-16.5</v>
      </c>
      <c r="E58" s="176">
        <v>-16.5</v>
      </c>
      <c r="F58" s="176">
        <v>-16.5</v>
      </c>
      <c r="G58" s="176">
        <v>-17</v>
      </c>
    </row>
    <row r="59" spans="1:7" x14ac:dyDescent="0.25">
      <c r="A59" s="70" t="s">
        <v>12</v>
      </c>
      <c r="B59" s="70" t="s">
        <v>563</v>
      </c>
      <c r="C59" s="246" t="s">
        <v>1107</v>
      </c>
      <c r="D59" s="162">
        <v>0</v>
      </c>
      <c r="E59" s="176">
        <v>0</v>
      </c>
      <c r="F59" s="162">
        <v>0</v>
      </c>
      <c r="G59" s="176">
        <v>0</v>
      </c>
    </row>
    <row r="60" spans="1:7" x14ac:dyDescent="0.25">
      <c r="A60" s="70" t="s">
        <v>877</v>
      </c>
      <c r="B60" s="70" t="s">
        <v>957</v>
      </c>
      <c r="C60" s="246" t="s">
        <v>265</v>
      </c>
      <c r="D60" s="162">
        <v>0</v>
      </c>
      <c r="E60" s="176">
        <v>0</v>
      </c>
      <c r="F60" s="162">
        <v>0</v>
      </c>
      <c r="G60" s="176">
        <v>0</v>
      </c>
    </row>
    <row r="61" spans="1:7" x14ac:dyDescent="0.25">
      <c r="A61" s="70" t="s">
        <v>878</v>
      </c>
      <c r="B61" s="70" t="s">
        <v>63</v>
      </c>
      <c r="C61" s="246" t="s">
        <v>541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1080</v>
      </c>
      <c r="B62" s="70" t="s">
        <v>363</v>
      </c>
      <c r="C62" s="246" t="s">
        <v>723</v>
      </c>
      <c r="D62" s="162">
        <v>0</v>
      </c>
      <c r="E62" s="176">
        <v>0</v>
      </c>
      <c r="F62" s="162">
        <v>0</v>
      </c>
      <c r="G62" s="176">
        <v>0</v>
      </c>
    </row>
    <row r="63" spans="1:7" x14ac:dyDescent="0.25">
      <c r="A63" s="70" t="s">
        <v>1004</v>
      </c>
      <c r="B63" s="70" t="s">
        <v>537</v>
      </c>
      <c r="C63" s="246" t="s">
        <v>585</v>
      </c>
      <c r="D63" s="162">
        <v>0</v>
      </c>
      <c r="E63" s="176">
        <v>0</v>
      </c>
      <c r="F63" s="162">
        <v>0</v>
      </c>
      <c r="G63" s="176">
        <v>0</v>
      </c>
    </row>
    <row r="64" spans="1:7" x14ac:dyDescent="0.25">
      <c r="A64" s="70" t="s">
        <v>306</v>
      </c>
      <c r="B64" s="70" t="s">
        <v>437</v>
      </c>
      <c r="C64" s="246" t="s">
        <v>119</v>
      </c>
      <c r="D64" s="162">
        <v>0</v>
      </c>
      <c r="E64" s="176">
        <v>0</v>
      </c>
      <c r="F64" s="162">
        <v>0</v>
      </c>
      <c r="G64" s="176">
        <v>0</v>
      </c>
    </row>
    <row r="65" spans="1:7" x14ac:dyDescent="0.25">
      <c r="A65" s="70" t="s">
        <v>64</v>
      </c>
      <c r="B65" s="70" t="s">
        <v>211</v>
      </c>
      <c r="C65" s="246" t="s">
        <v>996</v>
      </c>
      <c r="D65" s="162">
        <v>0</v>
      </c>
      <c r="E65" s="176">
        <v>0</v>
      </c>
      <c r="F65" s="162">
        <v>0</v>
      </c>
      <c r="G65" s="176">
        <v>0</v>
      </c>
    </row>
    <row r="66" spans="1:7" x14ac:dyDescent="0.25">
      <c r="A66" s="70" t="s">
        <v>878</v>
      </c>
      <c r="B66" s="70" t="s">
        <v>290</v>
      </c>
      <c r="C66" s="246" t="s">
        <v>491</v>
      </c>
      <c r="D66" s="162">
        <v>0</v>
      </c>
      <c r="E66" s="176">
        <v>0</v>
      </c>
      <c r="F66" s="162">
        <v>0</v>
      </c>
      <c r="G66" s="176">
        <v>0</v>
      </c>
    </row>
    <row r="67" spans="1:7" x14ac:dyDescent="0.25">
      <c r="A67" s="70" t="s">
        <v>204</v>
      </c>
      <c r="B67" s="70" t="s">
        <v>51</v>
      </c>
      <c r="C67" s="246" t="s">
        <v>278</v>
      </c>
      <c r="D67" s="162">
        <v>0</v>
      </c>
      <c r="E67" s="176">
        <v>0</v>
      </c>
      <c r="F67" s="162">
        <v>0</v>
      </c>
      <c r="G67" s="176">
        <v>0</v>
      </c>
    </row>
    <row r="68" spans="1:7" x14ac:dyDescent="0.25">
      <c r="A68" s="70" t="s">
        <v>380</v>
      </c>
      <c r="B68" s="70" t="s">
        <v>945</v>
      </c>
      <c r="C68" s="246" t="s">
        <v>125</v>
      </c>
      <c r="D68" s="162">
        <v>0</v>
      </c>
      <c r="E68" s="176">
        <v>0</v>
      </c>
      <c r="F68" s="162">
        <v>0</v>
      </c>
      <c r="G68" s="176">
        <v>0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B1"/>
  <sheetViews>
    <sheetView zoomScaleNormal="100" zoomScaleSheetLayoutView="100" workbookViewId="0"/>
  </sheetViews>
  <sheetFormatPr defaultColWidth="8.85546875" defaultRowHeight="15" x14ac:dyDescent="0.25"/>
  <cols>
    <col min="1" max="1" width="63.140625" style="197" customWidth="1"/>
    <col min="2" max="2" width="24.85546875" style="197" customWidth="1"/>
  </cols>
  <sheetData>
    <row r="1" spans="1:2" x14ac:dyDescent="0.25">
      <c r="A1" s="192" t="s">
        <v>528</v>
      </c>
      <c r="B1" s="192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239</v>
      </c>
    </row>
    <row r="2" spans="1:2" ht="21" customHeight="1" thickTop="1" thickBot="1" x14ac:dyDescent="0.3">
      <c r="A2" s="196" t="s">
        <v>507</v>
      </c>
      <c r="B2" s="32" t="s">
        <v>851</v>
      </c>
    </row>
    <row r="3" spans="1:2" ht="30" customHeight="1" thickTop="1" thickBot="1" x14ac:dyDescent="0.3">
      <c r="A3" s="195" t="s">
        <v>784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2"/>
  <sheetViews>
    <sheetView showGridLines="0" topLeftCell="A19" zoomScaleNormal="100" zoomScaleSheetLayoutView="100" workbookViewId="0"/>
  </sheetViews>
  <sheetFormatPr defaultColWidth="8.85546875"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44" t="s">
        <v>538</v>
      </c>
    </row>
    <row r="2" spans="1:33" ht="17.25" thickBot="1" x14ac:dyDescent="0.35">
      <c r="A2" s="251" t="s">
        <v>222</v>
      </c>
    </row>
    <row r="3" spans="1:33" ht="16.5" customHeight="1" thickTop="1" thickBot="1" x14ac:dyDescent="0.3">
      <c r="A3" s="252" t="s">
        <v>836</v>
      </c>
      <c r="B3" s="257" t="s">
        <v>121</v>
      </c>
      <c r="C3" s="258"/>
      <c r="D3" s="258"/>
      <c r="E3" s="258"/>
      <c r="F3" s="258"/>
      <c r="G3" s="258"/>
      <c r="H3" s="258"/>
      <c r="I3" s="258"/>
      <c r="J3" s="259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</row>
    <row r="4" spans="1:33" ht="66.75" customHeight="1" thickTop="1" thickBot="1" x14ac:dyDescent="0.3">
      <c r="A4" s="253"/>
      <c r="B4" s="196" t="s">
        <v>1047</v>
      </c>
      <c r="C4" s="32" t="s">
        <v>901</v>
      </c>
      <c r="D4" s="196" t="s">
        <v>55</v>
      </c>
      <c r="E4" s="32" t="s">
        <v>285</v>
      </c>
      <c r="F4" s="196" t="s">
        <v>785</v>
      </c>
      <c r="G4" s="196" t="s">
        <v>163</v>
      </c>
      <c r="H4" s="32" t="s">
        <v>409</v>
      </c>
      <c r="I4" s="196" t="s">
        <v>530</v>
      </c>
      <c r="J4" s="196" t="s">
        <v>868</v>
      </c>
    </row>
    <row r="5" spans="1:33" ht="15" customHeight="1" thickTop="1" thickBot="1" x14ac:dyDescent="0.3">
      <c r="A5" s="15" t="s">
        <v>1088</v>
      </c>
      <c r="B5" s="163"/>
      <c r="C5" s="163"/>
      <c r="D5" s="163"/>
      <c r="E5" s="163"/>
      <c r="F5" s="163"/>
      <c r="G5" s="163"/>
      <c r="H5" s="163"/>
      <c r="I5" s="163"/>
      <c r="J5" s="179"/>
      <c r="K5" s="69"/>
      <c r="L5" s="69"/>
      <c r="M5" s="69"/>
      <c r="N5" s="69"/>
      <c r="O5" s="69"/>
      <c r="P5" s="69"/>
      <c r="Q5" s="69"/>
      <c r="R5" s="69"/>
      <c r="S5" s="173"/>
      <c r="T5" s="173"/>
      <c r="U5" s="173"/>
      <c r="V5" s="173"/>
      <c r="W5" s="173"/>
      <c r="X5" s="173"/>
      <c r="Y5" s="173"/>
    </row>
    <row r="6" spans="1:33" ht="24" thickTop="1" thickBot="1" x14ac:dyDescent="0.3">
      <c r="A6" s="18" t="s">
        <v>928</v>
      </c>
      <c r="B6" s="139">
        <f>SUMIF(HK!A:A,"061*",HK!C:C)-SUMIF(HK!A:A,"061*",HK!D:D)</f>
        <v>0</v>
      </c>
      <c r="C6" s="139">
        <f>SUMIF(HK!A:A,"062*",HK!C:C)-SUMIF(HK!A:A,"062*",HK!D:D)</f>
        <v>0</v>
      </c>
      <c r="D6" s="139">
        <f>SUMIF(HK!A:A,"063*",HK!C:C)-SUMIF(HK!A:A,"063*",HK!D:D)</f>
        <v>0</v>
      </c>
      <c r="E6" s="139">
        <f>SUMIF(HK!A:A,"066*",HK!C:C)-SUMIF(HK!A:A,"066*",HK!D:D)</f>
        <v>0</v>
      </c>
      <c r="F6" s="139">
        <f>SUMIF(HK!A:A,"067*",HK!C:C)-SUMIF(HK!A:A,"067*",HK!D:D)</f>
        <v>0</v>
      </c>
      <c r="G6" s="241"/>
      <c r="H6" s="139">
        <f>SUMIF(HK!A:A,"043*",HK!C:C)-SUMIF(HK!A:A,"043*",HK!D:D)</f>
        <v>0</v>
      </c>
      <c r="I6" s="139">
        <f>SUMIF(HK!A:A,"053*",HK!C:C)-SUMIF(HK!A:A,"053*",HK!D:D)</f>
        <v>0</v>
      </c>
      <c r="J6" s="128">
        <f>SUM(B6:I6)</f>
        <v>0</v>
      </c>
      <c r="K6" s="78"/>
      <c r="L6" s="38"/>
      <c r="M6" s="78"/>
      <c r="N6" s="78"/>
      <c r="O6" s="78"/>
      <c r="P6" s="78"/>
      <c r="Q6" s="78"/>
      <c r="R6" s="78"/>
    </row>
    <row r="7" spans="1:33" ht="15" customHeight="1" thickBot="1" x14ac:dyDescent="0.3">
      <c r="A7" s="174" t="s">
        <v>1060</v>
      </c>
      <c r="B7" s="241"/>
      <c r="C7" s="241"/>
      <c r="D7" s="241"/>
      <c r="E7" s="241"/>
      <c r="F7" s="29"/>
      <c r="G7" s="241"/>
      <c r="H7" s="241"/>
      <c r="I7" s="241"/>
      <c r="J7" s="128">
        <f>SUM(B7:I7)</f>
        <v>0</v>
      </c>
      <c r="K7" s="78"/>
      <c r="L7" s="78"/>
      <c r="M7" s="78"/>
      <c r="N7" s="78"/>
      <c r="O7" s="78"/>
      <c r="P7" s="78"/>
      <c r="Q7" s="78"/>
      <c r="R7" s="78"/>
    </row>
    <row r="8" spans="1:33" ht="15" customHeight="1" thickBot="1" x14ac:dyDescent="0.3">
      <c r="A8" s="174" t="s">
        <v>16</v>
      </c>
      <c r="B8" s="241"/>
      <c r="C8" s="241"/>
      <c r="D8" s="241"/>
      <c r="E8" s="241"/>
      <c r="F8" s="29"/>
      <c r="G8" s="241"/>
      <c r="H8" s="241"/>
      <c r="I8" s="241"/>
      <c r="J8" s="128">
        <f>SUM(B8:I8)</f>
        <v>0</v>
      </c>
      <c r="K8" s="78"/>
      <c r="L8" s="78"/>
      <c r="M8" s="78"/>
      <c r="N8" s="78"/>
      <c r="O8" s="78"/>
      <c r="P8" s="78"/>
      <c r="Q8" s="78"/>
      <c r="R8" s="78"/>
    </row>
    <row r="9" spans="1:33" ht="15" customHeight="1" thickBot="1" x14ac:dyDescent="0.3">
      <c r="A9" s="174" t="s">
        <v>446</v>
      </c>
      <c r="B9" s="241"/>
      <c r="C9" s="241"/>
      <c r="D9" s="241"/>
      <c r="E9" s="241"/>
      <c r="F9" s="29"/>
      <c r="G9" s="241"/>
      <c r="H9" s="241"/>
      <c r="I9" s="241"/>
      <c r="J9" s="128">
        <f>SUM(B9:I9)</f>
        <v>0</v>
      </c>
      <c r="K9" s="78"/>
      <c r="L9" s="78"/>
      <c r="M9" s="78"/>
      <c r="N9" s="78"/>
      <c r="O9" s="78"/>
      <c r="P9" s="78"/>
      <c r="Q9" s="78"/>
      <c r="R9" s="78"/>
    </row>
    <row r="10" spans="1:33" ht="15.75" thickBot="1" x14ac:dyDescent="0.3">
      <c r="A10" s="129" t="s">
        <v>89</v>
      </c>
      <c r="B10" s="139">
        <f>SUMIF(HK!A:A,"061*",HK!K:K)-SUMIF(HK!A:A,"061*",HK!L:L)</f>
        <v>0</v>
      </c>
      <c r="C10" s="139">
        <f>SUMIF(HK!A:A,"062*",HK!K:K)-SUMIF(HK!A:A,"062*",HK!L:L)</f>
        <v>0</v>
      </c>
      <c r="D10" s="139">
        <f>SUMIF(HK!A:A,"063*",HK!K:K)-SUMIF(HK!A:A,"063*",HK!L:L)</f>
        <v>0</v>
      </c>
      <c r="E10" s="139">
        <f>SUMIF(HK!A:A,"066*",HK!K:K)-SUMIF(HK!A:A,"066*",HK!L:L)</f>
        <v>0</v>
      </c>
      <c r="F10" s="139">
        <f>SUMIF(HK!A:A,"067*",HK!K:K)-SUMIF(HK!A:A,"067*",HK!L:L)</f>
        <v>0</v>
      </c>
      <c r="G10" s="241"/>
      <c r="H10" s="139">
        <f>SUMIF(HK!A:A,"043*",HK!K:K)-SUMIF(HK!A:A,"043*",HK!L:L)</f>
        <v>0</v>
      </c>
      <c r="I10" s="139">
        <f>SUMIF(HK!A:A,"053*",HK!K:K)-SUMIF(HK!A:A,"053*",HK!L:L)</f>
        <v>0</v>
      </c>
      <c r="J10" s="218">
        <f>J6+J7-J8+J9</f>
        <v>0</v>
      </c>
      <c r="K10" s="78"/>
      <c r="L10" s="38"/>
      <c r="M10" s="78"/>
      <c r="N10" s="78"/>
      <c r="O10" s="78"/>
      <c r="P10" s="78"/>
      <c r="Q10" s="78"/>
      <c r="R10" s="78"/>
    </row>
    <row r="11" spans="1:33" ht="15" customHeight="1" thickTop="1" thickBot="1" x14ac:dyDescent="0.3">
      <c r="A11" s="15" t="s">
        <v>1075</v>
      </c>
      <c r="B11" s="145"/>
      <c r="C11" s="145"/>
      <c r="D11" s="145"/>
      <c r="E11" s="145"/>
      <c r="F11" s="145"/>
      <c r="G11" s="145"/>
      <c r="H11" s="145"/>
      <c r="I11" s="145"/>
      <c r="J11" s="179"/>
      <c r="K11" s="78"/>
      <c r="L11" s="78"/>
      <c r="M11" s="78"/>
      <c r="N11" s="78"/>
      <c r="O11" s="78"/>
      <c r="P11" s="78"/>
      <c r="Q11" s="78"/>
      <c r="R11" s="78"/>
    </row>
    <row r="12" spans="1:33" ht="24" thickTop="1" thickBot="1" x14ac:dyDescent="0.3">
      <c r="A12" s="18" t="s">
        <v>61</v>
      </c>
      <c r="B12" s="139"/>
      <c r="C12" s="139"/>
      <c r="D12" s="139"/>
      <c r="E12" s="139"/>
      <c r="F12" s="139"/>
      <c r="G12" s="139"/>
      <c r="H12" s="139"/>
      <c r="I12" s="139">
        <f>SUMIF(SUAM!C:C,"032",SUAM!E:E)</f>
        <v>0</v>
      </c>
      <c r="J12" s="128">
        <f>SUM(B12:I12)</f>
        <v>0</v>
      </c>
      <c r="K12" s="78"/>
      <c r="L12" s="38"/>
      <c r="M12" s="78"/>
      <c r="N12" s="124"/>
      <c r="O12" s="78"/>
      <c r="P12" s="78"/>
      <c r="Q12" s="78"/>
      <c r="R12" s="78"/>
    </row>
    <row r="13" spans="1:33" ht="15" customHeight="1" thickBot="1" x14ac:dyDescent="0.3">
      <c r="A13" s="174" t="s">
        <v>1060</v>
      </c>
      <c r="B13" s="241"/>
      <c r="C13" s="241"/>
      <c r="D13" s="241"/>
      <c r="E13" s="241"/>
      <c r="F13" s="241"/>
      <c r="G13" s="241"/>
      <c r="H13" s="241"/>
      <c r="I13" s="241"/>
      <c r="J13" s="128">
        <f>SUM(B13:I13)</f>
        <v>0</v>
      </c>
      <c r="K13" s="78"/>
      <c r="L13" s="78"/>
      <c r="M13" s="78"/>
      <c r="N13" s="78"/>
      <c r="O13" s="78"/>
      <c r="P13" s="78"/>
      <c r="Q13" s="78"/>
      <c r="R13" s="78"/>
    </row>
    <row r="14" spans="1:33" ht="15" customHeight="1" thickBot="1" x14ac:dyDescent="0.3">
      <c r="A14" s="174" t="s">
        <v>16</v>
      </c>
      <c r="B14" s="241"/>
      <c r="C14" s="241"/>
      <c r="D14" s="241"/>
      <c r="E14" s="241"/>
      <c r="F14" s="241"/>
      <c r="G14" s="241"/>
      <c r="H14" s="241"/>
      <c r="I14" s="241"/>
      <c r="J14" s="128">
        <f>SUM(B14:I14)</f>
        <v>0</v>
      </c>
      <c r="K14" s="78"/>
      <c r="L14" s="78"/>
      <c r="M14" s="78"/>
      <c r="N14" s="78"/>
      <c r="O14" s="78"/>
      <c r="P14" s="78"/>
      <c r="Q14" s="78"/>
      <c r="R14" s="78"/>
    </row>
    <row r="15" spans="1:33" ht="15" customHeight="1" thickBot="1" x14ac:dyDescent="0.3">
      <c r="A15" s="102" t="s">
        <v>446</v>
      </c>
      <c r="B15" s="29"/>
      <c r="C15" s="29"/>
      <c r="D15" s="29"/>
      <c r="E15" s="29"/>
      <c r="F15" s="29"/>
      <c r="G15" s="29"/>
      <c r="H15" s="29"/>
      <c r="I15" s="29"/>
      <c r="J15" s="88"/>
      <c r="K15" s="78"/>
      <c r="L15" s="78"/>
      <c r="M15" s="78"/>
      <c r="N15" s="78"/>
      <c r="O15" s="78"/>
      <c r="P15" s="78"/>
      <c r="Q15" s="78"/>
      <c r="R15" s="78"/>
    </row>
    <row r="16" spans="1:33" ht="15.75" thickBot="1" x14ac:dyDescent="0.3">
      <c r="A16" s="129" t="s">
        <v>89</v>
      </c>
      <c r="B16" s="139"/>
      <c r="C16" s="139"/>
      <c r="D16" s="139"/>
      <c r="E16" s="139"/>
      <c r="F16" s="139"/>
      <c r="G16" s="139"/>
      <c r="H16" s="139"/>
      <c r="I16" s="139">
        <f>SUMIF(SUA!C:C,"032",SUA!E:E)</f>
        <v>0</v>
      </c>
      <c r="J16" s="218">
        <f>J12+J13-J14</f>
        <v>0</v>
      </c>
      <c r="K16" s="78"/>
      <c r="L16" s="38"/>
      <c r="M16" s="78"/>
      <c r="N16" s="124"/>
      <c r="O16" s="78"/>
      <c r="P16" s="78"/>
      <c r="Q16" s="78"/>
      <c r="R16" s="78"/>
    </row>
    <row r="17" spans="1:33" ht="15" customHeight="1" thickTop="1" thickBot="1" x14ac:dyDescent="0.3">
      <c r="A17" s="15" t="s">
        <v>300</v>
      </c>
      <c r="B17" s="145"/>
      <c r="C17" s="145"/>
      <c r="D17" s="145"/>
      <c r="E17" s="145"/>
      <c r="F17" s="145"/>
      <c r="G17" s="145"/>
      <c r="H17" s="145"/>
      <c r="I17" s="145"/>
      <c r="J17" s="179"/>
      <c r="K17" s="78"/>
      <c r="L17" s="78"/>
      <c r="M17" s="78"/>
      <c r="N17" s="78"/>
      <c r="O17" s="78"/>
      <c r="P17" s="78"/>
      <c r="Q17" s="78"/>
      <c r="R17" s="78"/>
    </row>
    <row r="18" spans="1:33" ht="15" customHeight="1" thickTop="1" thickBot="1" x14ac:dyDescent="0.3">
      <c r="A18" s="18" t="s">
        <v>61</v>
      </c>
      <c r="B18" s="241"/>
      <c r="C18" s="241"/>
      <c r="D18" s="241"/>
      <c r="E18" s="241"/>
      <c r="F18" s="241"/>
      <c r="G18" s="241"/>
      <c r="H18" s="241"/>
      <c r="I18" s="241"/>
      <c r="J18" s="128"/>
    </row>
    <row r="19" spans="1:33" ht="15" customHeight="1" thickBot="1" x14ac:dyDescent="0.3">
      <c r="A19" s="129" t="s">
        <v>89</v>
      </c>
      <c r="B19" s="49"/>
      <c r="C19" s="49"/>
      <c r="D19" s="49"/>
      <c r="E19" s="49"/>
      <c r="F19" s="49"/>
      <c r="G19" s="49"/>
      <c r="H19" s="49"/>
      <c r="I19" s="49"/>
      <c r="J19" s="218"/>
    </row>
    <row r="20" spans="1:33" ht="15.75" thickTop="1" x14ac:dyDescent="0.25">
      <c r="A20" s="146"/>
      <c r="B20" s="146"/>
      <c r="C20" s="146"/>
      <c r="D20" s="146"/>
      <c r="E20" s="146"/>
      <c r="F20" s="146"/>
      <c r="G20" s="146"/>
      <c r="H20" s="146"/>
      <c r="I20" s="146"/>
      <c r="J20" s="146"/>
    </row>
    <row r="21" spans="1:33" x14ac:dyDescent="0.25">
      <c r="A21" s="146"/>
      <c r="B21" s="146"/>
      <c r="C21" s="146"/>
      <c r="D21" s="146"/>
      <c r="E21" s="146"/>
      <c r="F21" s="146"/>
      <c r="G21" s="146"/>
      <c r="H21" s="146"/>
      <c r="I21" s="146"/>
      <c r="J21" s="146"/>
    </row>
    <row r="22" spans="1:33" ht="15.75" thickBot="1" x14ac:dyDescent="0.3">
      <c r="A22" s="7" t="s">
        <v>5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 x14ac:dyDescent="0.3">
      <c r="A23" s="260" t="s">
        <v>836</v>
      </c>
      <c r="B23" s="254" t="s">
        <v>732</v>
      </c>
      <c r="C23" s="255"/>
      <c r="D23" s="255"/>
      <c r="E23" s="255"/>
      <c r="F23" s="255"/>
      <c r="G23" s="255"/>
      <c r="H23" s="255"/>
      <c r="I23" s="255"/>
      <c r="J23" s="256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</row>
    <row r="24" spans="1:33" ht="66.75" customHeight="1" thickTop="1" thickBot="1" x14ac:dyDescent="0.3">
      <c r="A24" s="261"/>
      <c r="B24" s="247" t="s">
        <v>1047</v>
      </c>
      <c r="C24" s="89" t="s">
        <v>901</v>
      </c>
      <c r="D24" s="247" t="s">
        <v>55</v>
      </c>
      <c r="E24" s="89" t="s">
        <v>285</v>
      </c>
      <c r="F24" s="247" t="s">
        <v>785</v>
      </c>
      <c r="G24" s="247" t="s">
        <v>163</v>
      </c>
      <c r="H24" s="89" t="s">
        <v>409</v>
      </c>
      <c r="I24" s="247" t="s">
        <v>530</v>
      </c>
      <c r="J24" s="247" t="s">
        <v>868</v>
      </c>
    </row>
    <row r="25" spans="1:33" ht="15" customHeight="1" thickTop="1" thickBot="1" x14ac:dyDescent="0.3">
      <c r="A25" s="214" t="s">
        <v>1088</v>
      </c>
      <c r="B25" s="111"/>
      <c r="C25" s="111"/>
      <c r="D25" s="111"/>
      <c r="E25" s="111"/>
      <c r="F25" s="111"/>
      <c r="G25" s="111"/>
      <c r="H25" s="111"/>
      <c r="I25" s="111"/>
      <c r="J25" s="118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</row>
    <row r="26" spans="1:33" ht="24" thickTop="1" thickBot="1" x14ac:dyDescent="0.3">
      <c r="A26" s="216" t="s">
        <v>928</v>
      </c>
      <c r="B26" s="139">
        <f>SUMIF(HKM!A:A,"061*",HKM!C:C)-SUMIF(HKM!A:A,"061*",HKM!D:D)</f>
        <v>0</v>
      </c>
      <c r="C26" s="139">
        <f>SUMIF(HKM!A:A,"062*",HKM!C:C)-SUMIF(HKM!A:A,"062*",HKM!D:D)</f>
        <v>0</v>
      </c>
      <c r="D26" s="139">
        <f>SUMIF(HKM!A:A,"063*",HKM!C:C)-SUMIF(HKM!A:A,"063*",HKM!D:D)</f>
        <v>0</v>
      </c>
      <c r="E26" s="139">
        <f>SUMIF(HKM!A:A,"066*",HKM!C:C)-SUMIF(HKM!A:A,"066*",HKM!D:D)</f>
        <v>0</v>
      </c>
      <c r="F26" s="139">
        <f>SUMIF(HKM!A:A,"067*",HKM!C:C)-SUMIF(HKM!A:A,"067*",HKM!D:D)</f>
        <v>0</v>
      </c>
      <c r="G26" s="241"/>
      <c r="H26" s="139">
        <f>SUMIF(HKM!A:A,"043*",HKM!C:C)-SUMIF(HKM!A:A,"043*",HKM!D:D)</f>
        <v>0</v>
      </c>
      <c r="I26" s="139">
        <f>SUMIF(HKM!A:A,"053*",HKM!C:C)-SUMIF(HKM!A:A,"053*",HKM!D:D)</f>
        <v>0</v>
      </c>
      <c r="J26" s="73">
        <f>SUM(B26:I26)</f>
        <v>0</v>
      </c>
      <c r="K26" s="78"/>
      <c r="L26" s="3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</row>
    <row r="27" spans="1:33" ht="15" customHeight="1" thickBot="1" x14ac:dyDescent="0.3">
      <c r="A27" s="116" t="s">
        <v>1060</v>
      </c>
      <c r="B27" s="241"/>
      <c r="C27" s="241"/>
      <c r="D27" s="241"/>
      <c r="E27" s="241"/>
      <c r="F27" s="29"/>
      <c r="G27" s="241"/>
      <c r="H27" s="241"/>
      <c r="I27" s="241"/>
      <c r="J27" s="73">
        <f>SUM(B27:I27)</f>
        <v>0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</row>
    <row r="28" spans="1:33" ht="15" customHeight="1" thickBot="1" x14ac:dyDescent="0.3">
      <c r="A28" s="250" t="s">
        <v>16</v>
      </c>
      <c r="B28" s="56"/>
      <c r="C28" s="241"/>
      <c r="D28" s="241"/>
      <c r="E28" s="241"/>
      <c r="F28" s="29"/>
      <c r="G28" s="241"/>
      <c r="H28" s="241"/>
      <c r="I28" s="241"/>
      <c r="J28" s="73">
        <f>SUM(B28:I28)</f>
        <v>0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</row>
    <row r="29" spans="1:33" ht="15" customHeight="1" thickBot="1" x14ac:dyDescent="0.3">
      <c r="A29" s="46" t="s">
        <v>446</v>
      </c>
      <c r="B29" s="29"/>
      <c r="C29" s="241"/>
      <c r="D29" s="241"/>
      <c r="E29" s="241"/>
      <c r="F29" s="29"/>
      <c r="G29" s="241"/>
      <c r="H29" s="241"/>
      <c r="I29" s="241"/>
      <c r="J29" s="73">
        <f>SUM(B29:I29)</f>
        <v>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</row>
    <row r="30" spans="1:33" ht="15.75" thickBot="1" x14ac:dyDescent="0.3">
      <c r="A30" s="74" t="s">
        <v>89</v>
      </c>
      <c r="B30" s="139">
        <f>SUMIF(HKM!A:A,"061*",HKM!K:K)-SUMIF(HKM!A:A,"061*",HKM!L:L)</f>
        <v>0</v>
      </c>
      <c r="C30" s="139">
        <f>SUMIF(HKM!A:A,"062*",HKM!K:K)-SUMIF(HKM!A:A,"062*",HKM!L:L)</f>
        <v>0</v>
      </c>
      <c r="D30" s="139">
        <f>SUMIF(HKM!A:A,"063*",HKM!K:K)-SUMIF(HKM!A:A,"063*",HKM!L:L)</f>
        <v>0</v>
      </c>
      <c r="E30" s="139">
        <f>SUMIF(HKM!A:A,"066*",HKM!K:K)-SUMIF(HKM!A:A,"066*",HKM!L:L)</f>
        <v>0</v>
      </c>
      <c r="F30" s="139">
        <f>SUMIF(HKM!A:A,"067*",HKM!K:K)-SUMIF(HKM!A:A,"067*",HKM!L:L)</f>
        <v>0</v>
      </c>
      <c r="G30" s="241"/>
      <c r="H30" s="139">
        <f>SUMIF(HKM!A:A,"043*",HKM!K:K)-SUMIF(HKM!A:A,"043*",HKM!L:L)</f>
        <v>0</v>
      </c>
      <c r="I30" s="139">
        <f>SUMIF(HKM!A:A,"053*",HKM!K:K)-SUMIF(HKM!A:A,"053*",HKM!L:L)</f>
        <v>0</v>
      </c>
      <c r="J30" s="152">
        <f>J26+J27-J28+J29</f>
        <v>0</v>
      </c>
      <c r="K30" s="78"/>
      <c r="L30" s="3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</row>
    <row r="31" spans="1:33" ht="15" customHeight="1" thickTop="1" thickBot="1" x14ac:dyDescent="0.3">
      <c r="A31" s="214" t="s">
        <v>1075</v>
      </c>
      <c r="B31" s="145"/>
      <c r="C31" s="145"/>
      <c r="D31" s="145"/>
      <c r="E31" s="145"/>
      <c r="F31" s="145"/>
      <c r="G31" s="145"/>
      <c r="H31" s="145"/>
      <c r="I31" s="145"/>
      <c r="J31" s="11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</row>
    <row r="32" spans="1:33" ht="24" thickTop="1" thickBot="1" x14ac:dyDescent="0.3">
      <c r="A32" s="216" t="s">
        <v>61</v>
      </c>
      <c r="B32" s="139"/>
      <c r="C32" s="139"/>
      <c r="D32" s="139"/>
      <c r="E32" s="139"/>
      <c r="F32" s="139"/>
      <c r="G32" s="139"/>
      <c r="H32" s="139"/>
      <c r="I32" s="155"/>
      <c r="J32" s="73">
        <f>SUM(B32:I32)</f>
        <v>0</v>
      </c>
      <c r="K32" s="78"/>
      <c r="L32" s="38"/>
      <c r="M32" s="213"/>
      <c r="N32" s="124"/>
      <c r="O32" s="78"/>
      <c r="P32" s="78"/>
      <c r="Q32" s="78"/>
      <c r="R32" s="78"/>
      <c r="S32" s="78"/>
      <c r="T32" s="78"/>
      <c r="U32" s="78"/>
      <c r="V32" s="78"/>
      <c r="W32" s="78"/>
    </row>
    <row r="33" spans="1:23" ht="15" customHeight="1" thickBot="1" x14ac:dyDescent="0.3">
      <c r="A33" s="116" t="s">
        <v>1060</v>
      </c>
      <c r="B33" s="241"/>
      <c r="C33" s="241"/>
      <c r="D33" s="241"/>
      <c r="E33" s="241"/>
      <c r="F33" s="241"/>
      <c r="G33" s="241"/>
      <c r="H33" s="241"/>
      <c r="I33" s="241"/>
      <c r="J33" s="73">
        <f>SUM(B33:I33)</f>
        <v>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</row>
    <row r="34" spans="1:23" ht="15" customHeight="1" thickBot="1" x14ac:dyDescent="0.3">
      <c r="A34" s="116" t="s">
        <v>16</v>
      </c>
      <c r="B34" s="241"/>
      <c r="C34" s="241"/>
      <c r="D34" s="241"/>
      <c r="E34" s="241"/>
      <c r="F34" s="241"/>
      <c r="G34" s="241"/>
      <c r="H34" s="241"/>
      <c r="I34" s="241"/>
      <c r="J34" s="73">
        <f>SUM(B34:I34)</f>
        <v>0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</row>
    <row r="35" spans="1:23" ht="15" customHeight="1" thickBot="1" x14ac:dyDescent="0.3">
      <c r="A35" s="46" t="s">
        <v>446</v>
      </c>
      <c r="B35" s="29"/>
      <c r="C35" s="29"/>
      <c r="D35" s="29"/>
      <c r="E35" s="29"/>
      <c r="F35" s="29"/>
      <c r="G35" s="29"/>
      <c r="H35" s="29"/>
      <c r="I35" s="29"/>
      <c r="J35" s="29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</row>
    <row r="36" spans="1:23" ht="15.75" thickBot="1" x14ac:dyDescent="0.3">
      <c r="A36" s="74" t="s">
        <v>89</v>
      </c>
      <c r="B36" s="139"/>
      <c r="C36" s="139"/>
      <c r="D36" s="139"/>
      <c r="E36" s="139"/>
      <c r="F36" s="139"/>
      <c r="G36" s="139"/>
      <c r="H36" s="139"/>
      <c r="I36" s="139">
        <f>SUMIF(SUAM!C:C,"032",SUAM!E:E)</f>
        <v>0</v>
      </c>
      <c r="J36" s="152">
        <f>J32+J33-J34</f>
        <v>0</v>
      </c>
      <c r="K36" s="78"/>
      <c r="L36" s="38"/>
      <c r="M36" s="78"/>
      <c r="N36" s="124"/>
      <c r="O36" s="78"/>
      <c r="P36" s="78"/>
      <c r="Q36" s="78"/>
      <c r="R36" s="78"/>
      <c r="S36" s="78"/>
      <c r="T36" s="78"/>
      <c r="U36" s="78"/>
      <c r="V36" s="78"/>
      <c r="W36" s="78"/>
    </row>
    <row r="37" spans="1:23" ht="15" customHeight="1" thickTop="1" thickBot="1" x14ac:dyDescent="0.3">
      <c r="A37" s="214" t="s">
        <v>300</v>
      </c>
      <c r="B37" s="111"/>
      <c r="C37" s="111"/>
      <c r="D37" s="111"/>
      <c r="E37" s="111"/>
      <c r="F37" s="111"/>
      <c r="G37" s="111"/>
      <c r="H37" s="111"/>
      <c r="I37" s="111"/>
      <c r="J37" s="11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</row>
    <row r="38" spans="1:23" ht="15" customHeight="1" thickTop="1" thickBot="1" x14ac:dyDescent="0.3">
      <c r="A38" s="216" t="s">
        <v>61</v>
      </c>
      <c r="B38" s="241"/>
      <c r="C38" s="241"/>
      <c r="D38" s="241"/>
      <c r="E38" s="241"/>
      <c r="F38" s="241"/>
      <c r="G38" s="241"/>
      <c r="H38" s="241"/>
      <c r="I38" s="241"/>
      <c r="J38" s="73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</row>
    <row r="39" spans="1:23" ht="15" customHeight="1" thickBot="1" x14ac:dyDescent="0.3">
      <c r="A39" s="74" t="s">
        <v>89</v>
      </c>
      <c r="B39" s="49"/>
      <c r="C39" s="49"/>
      <c r="D39" s="49"/>
      <c r="E39" s="49"/>
      <c r="F39" s="49"/>
      <c r="G39" s="49"/>
      <c r="H39" s="49"/>
      <c r="I39" s="49"/>
      <c r="J39" s="152"/>
    </row>
    <row r="40" spans="1:23" ht="15.75" thickTop="1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  <row r="41" spans="1:23" x14ac:dyDescent="0.25">
      <c r="A41" s="197"/>
      <c r="B41" s="197"/>
      <c r="C41" s="197"/>
      <c r="D41" s="197"/>
      <c r="E41" s="197"/>
      <c r="F41" s="197"/>
      <c r="G41" s="197"/>
      <c r="H41" s="197"/>
      <c r="I41" s="197"/>
      <c r="J41" s="197"/>
    </row>
    <row r="42" spans="1:23" x14ac:dyDescent="0.25">
      <c r="A42" s="197"/>
      <c r="B42" s="197"/>
      <c r="C42" s="197"/>
      <c r="D42" s="197"/>
      <c r="E42" s="197"/>
      <c r="F42" s="197"/>
      <c r="G42" s="197"/>
      <c r="H42" s="197"/>
      <c r="I42" s="197"/>
      <c r="J42" s="19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790</v>
      </c>
    </row>
    <row r="2" spans="1:2" ht="21" customHeight="1" thickTop="1" thickBot="1" x14ac:dyDescent="0.3">
      <c r="A2" s="196" t="s">
        <v>836</v>
      </c>
      <c r="B2" s="32" t="s">
        <v>851</v>
      </c>
    </row>
    <row r="3" spans="1:2" ht="23.25" customHeight="1" thickTop="1" thickBot="1" x14ac:dyDescent="0.3">
      <c r="A3" s="195" t="s">
        <v>244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0"/>
  <sheetViews>
    <sheetView showGridLines="0" zoomScaleNormal="100" zoomScaleSheetLayoutView="100" workbookViewId="0"/>
  </sheetViews>
  <sheetFormatPr defaultColWidth="8.85546875"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91" t="s">
        <v>707</v>
      </c>
    </row>
    <row r="2" spans="1:6" ht="16.5" customHeight="1" thickTop="1" thickBot="1" x14ac:dyDescent="0.3">
      <c r="A2" s="252" t="s">
        <v>777</v>
      </c>
      <c r="B2" s="267" t="s">
        <v>121</v>
      </c>
      <c r="C2" s="268"/>
      <c r="D2" s="268"/>
      <c r="E2" s="268"/>
      <c r="F2" s="269"/>
    </row>
    <row r="3" spans="1:6" ht="70.5" customHeight="1" thickBot="1" x14ac:dyDescent="0.3">
      <c r="A3" s="266"/>
      <c r="B3" s="108" t="s">
        <v>684</v>
      </c>
      <c r="C3" s="108" t="s">
        <v>466</v>
      </c>
      <c r="D3" s="160" t="s">
        <v>1</v>
      </c>
      <c r="E3" s="108" t="s">
        <v>476</v>
      </c>
      <c r="F3" s="108" t="s">
        <v>79</v>
      </c>
    </row>
    <row r="4" spans="1:6" ht="16.5" thickTop="1" thickBot="1" x14ac:dyDescent="0.3">
      <c r="A4" s="1" t="s">
        <v>896</v>
      </c>
      <c r="B4" s="8"/>
      <c r="C4" s="8"/>
      <c r="D4" s="8"/>
      <c r="E4" s="8"/>
      <c r="F4" s="20"/>
    </row>
    <row r="5" spans="1:6" ht="16.5" thickTop="1" thickBot="1" x14ac:dyDescent="0.3">
      <c r="A5" s="93"/>
      <c r="B5" s="63"/>
      <c r="C5" s="63"/>
      <c r="D5" s="41"/>
      <c r="E5" s="41"/>
      <c r="F5" s="128"/>
    </row>
    <row r="6" spans="1:6" ht="15.75" thickBot="1" x14ac:dyDescent="0.3">
      <c r="A6" s="93"/>
      <c r="B6" s="63"/>
      <c r="C6" s="63"/>
      <c r="D6" s="41"/>
      <c r="E6" s="41"/>
      <c r="F6" s="128"/>
    </row>
    <row r="7" spans="1:6" ht="15.75" thickBot="1" x14ac:dyDescent="0.3">
      <c r="A7" s="228"/>
      <c r="B7" s="233"/>
      <c r="C7" s="233"/>
      <c r="D7" s="105"/>
      <c r="E7" s="105"/>
      <c r="F7" s="139">
        <f>SUMIF(HK!A:A,"061*",HK!K:K)-SUMIF(HK!A:A,"061*",HK!L:L)</f>
        <v>0</v>
      </c>
    </row>
    <row r="8" spans="1:6" ht="16.5" thickTop="1" thickBot="1" x14ac:dyDescent="0.3">
      <c r="A8" s="1" t="s">
        <v>864</v>
      </c>
      <c r="B8" s="8"/>
      <c r="C8" s="8"/>
      <c r="D8" s="8"/>
      <c r="E8" s="8"/>
      <c r="F8" s="235"/>
    </row>
    <row r="9" spans="1:6" ht="16.5" thickTop="1" thickBot="1" x14ac:dyDescent="0.3">
      <c r="A9" s="93"/>
      <c r="B9" s="63"/>
      <c r="C9" s="63"/>
      <c r="D9" s="41"/>
      <c r="E9" s="41"/>
      <c r="F9" s="73"/>
    </row>
    <row r="10" spans="1:6" ht="15.75" thickBot="1" x14ac:dyDescent="0.3">
      <c r="A10" s="93"/>
      <c r="B10" s="63"/>
      <c r="C10" s="63"/>
      <c r="D10" s="41"/>
      <c r="E10" s="41"/>
      <c r="F10" s="73"/>
    </row>
    <row r="11" spans="1:6" ht="15.75" thickBot="1" x14ac:dyDescent="0.3">
      <c r="A11" s="228"/>
      <c r="B11" s="233"/>
      <c r="C11" s="233"/>
      <c r="D11" s="105"/>
      <c r="E11" s="105"/>
      <c r="F11" s="139">
        <f>SUMIF(HK!A:A,"062*",HK!K:K)-SUMIF(HK!A:A,"062*",HK!L:L)</f>
        <v>0</v>
      </c>
    </row>
    <row r="12" spans="1:6" ht="16.5" thickTop="1" thickBot="1" x14ac:dyDescent="0.3">
      <c r="A12" s="1" t="s">
        <v>83</v>
      </c>
      <c r="B12" s="8"/>
      <c r="C12" s="8"/>
      <c r="D12" s="8"/>
      <c r="E12" s="8"/>
      <c r="F12" s="235"/>
    </row>
    <row r="13" spans="1:6" ht="16.5" thickTop="1" thickBot="1" x14ac:dyDescent="0.3">
      <c r="A13" s="93"/>
      <c r="B13" s="63"/>
      <c r="C13" s="63"/>
      <c r="D13" s="41"/>
      <c r="E13" s="41"/>
      <c r="F13" s="73"/>
    </row>
    <row r="14" spans="1:6" ht="15.75" thickBot="1" x14ac:dyDescent="0.3">
      <c r="A14" s="93"/>
      <c r="B14" s="63"/>
      <c r="C14" s="63"/>
      <c r="D14" s="41"/>
      <c r="E14" s="41"/>
      <c r="F14" s="73"/>
    </row>
    <row r="15" spans="1:6" ht="15.75" thickBot="1" x14ac:dyDescent="0.3">
      <c r="A15" s="228"/>
      <c r="B15" s="233"/>
      <c r="C15" s="233"/>
      <c r="D15" s="105"/>
      <c r="E15" s="105"/>
      <c r="F15" s="139">
        <f>SUMIF(HK!A:A,"063*",HK!K:K)-SUMIF(HK!A:A,"063*",HK!L:L)</f>
        <v>0</v>
      </c>
    </row>
    <row r="16" spans="1:6" ht="16.5" thickTop="1" thickBot="1" x14ac:dyDescent="0.3">
      <c r="A16" s="1" t="s">
        <v>452</v>
      </c>
      <c r="B16" s="8"/>
      <c r="C16" s="8"/>
      <c r="D16" s="8"/>
      <c r="E16" s="8"/>
      <c r="F16" s="235"/>
    </row>
    <row r="17" spans="1:6" ht="16.5" thickTop="1" thickBot="1" x14ac:dyDescent="0.3">
      <c r="A17" s="186"/>
      <c r="B17" s="63"/>
      <c r="C17" s="63"/>
      <c r="D17" s="41"/>
      <c r="E17" s="41"/>
      <c r="F17" s="73"/>
    </row>
    <row r="18" spans="1:6" ht="15.75" thickBot="1" x14ac:dyDescent="0.3">
      <c r="A18" s="68"/>
      <c r="B18" s="233"/>
      <c r="C18" s="233"/>
      <c r="D18" s="97"/>
      <c r="E18" s="168"/>
      <c r="F18" s="139">
        <f>SUMIF(HK!A:A,"043*",HK!K:K)-SUMIF(HK!A:A,"043*",HK!L:L)</f>
        <v>0</v>
      </c>
    </row>
    <row r="19" spans="1:6" ht="24" thickTop="1" thickBot="1" x14ac:dyDescent="0.3">
      <c r="A19" s="129" t="s">
        <v>413</v>
      </c>
      <c r="B19" s="206" t="s">
        <v>71</v>
      </c>
      <c r="C19" s="206" t="s">
        <v>71</v>
      </c>
      <c r="D19" s="206" t="s">
        <v>71</v>
      </c>
      <c r="E19" s="206" t="s">
        <v>71</v>
      </c>
      <c r="F19" s="218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Alžbeta Bartalová</dc:creator>
  <cp:lastModifiedBy>Alžbeta Bartalová</cp:lastModifiedBy>
  <dcterms:created xsi:type="dcterms:W3CDTF">2021-06-22T14:59:49Z</dcterms:created>
  <dcterms:modified xsi:type="dcterms:W3CDTF">2021-06-22T15:00:25Z</dcterms:modified>
</cp:coreProperties>
</file>