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25230" windowHeight="12690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24519"/>
</workbook>
</file>

<file path=xl/calcChain.xml><?xml version="1.0" encoding="utf-8"?>
<calcChain xmlns="http://schemas.openxmlformats.org/spreadsheetml/2006/main">
  <c r="F12" i="43"/>
  <c r="C12"/>
  <c r="F11"/>
  <c r="C11"/>
  <c r="E4"/>
  <c r="B4"/>
  <c r="C6" i="40"/>
  <c r="B6"/>
  <c r="C5"/>
  <c r="B5"/>
  <c r="C4"/>
  <c r="B4"/>
  <c r="C3"/>
  <c r="C9" s="1"/>
  <c r="B3"/>
  <c r="B9" s="1"/>
  <c r="F12" i="38"/>
  <c r="E12"/>
  <c r="F10"/>
  <c r="E10"/>
  <c r="F9"/>
  <c r="E9"/>
  <c r="F8"/>
  <c r="E8"/>
  <c r="F6"/>
  <c r="E6"/>
  <c r="D6"/>
  <c r="C6"/>
  <c r="B6"/>
  <c r="F5"/>
  <c r="E5"/>
  <c r="D5"/>
  <c r="C5"/>
  <c r="B5"/>
  <c r="F4"/>
  <c r="E4"/>
  <c r="D4"/>
  <c r="C4"/>
  <c r="B4"/>
  <c r="G7" i="36"/>
  <c r="F7"/>
  <c r="E7"/>
  <c r="D7"/>
  <c r="C7"/>
  <c r="B7"/>
  <c r="C8" i="35"/>
  <c r="B8"/>
  <c r="F25" i="32"/>
  <c r="E25"/>
  <c r="F11"/>
  <c r="E11"/>
  <c r="F7"/>
  <c r="E7"/>
  <c r="C9" i="30"/>
  <c r="B9"/>
  <c r="C7"/>
  <c r="B7"/>
  <c r="C3"/>
  <c r="B3"/>
  <c r="C16" i="29"/>
  <c r="B16"/>
  <c r="C12"/>
  <c r="B12"/>
  <c r="F35" i="27"/>
  <c r="F34"/>
  <c r="F33"/>
  <c r="F32"/>
  <c r="F31"/>
  <c r="F30"/>
  <c r="F29"/>
  <c r="E29"/>
  <c r="D29"/>
  <c r="C29"/>
  <c r="B29"/>
  <c r="F28"/>
  <c r="F27"/>
  <c r="F26"/>
  <c r="F25"/>
  <c r="F24"/>
  <c r="F23"/>
  <c r="E23"/>
  <c r="D23"/>
  <c r="C23"/>
  <c r="B23"/>
  <c r="F17"/>
  <c r="F16"/>
  <c r="F15"/>
  <c r="F14"/>
  <c r="F13"/>
  <c r="F12"/>
  <c r="F11"/>
  <c r="E11"/>
  <c r="D11"/>
  <c r="C11"/>
  <c r="B11"/>
  <c r="F10"/>
  <c r="F9"/>
  <c r="F8"/>
  <c r="F7"/>
  <c r="F6"/>
  <c r="F5"/>
  <c r="E5"/>
  <c r="D5"/>
  <c r="C5"/>
  <c r="B5"/>
  <c r="B26" i="25"/>
  <c r="B18"/>
  <c r="B14"/>
  <c r="B4"/>
  <c r="G7" i="24"/>
  <c r="F7"/>
  <c r="E7"/>
  <c r="D7"/>
  <c r="C7"/>
  <c r="B7"/>
  <c r="E5" i="21"/>
  <c r="D5"/>
  <c r="C5"/>
  <c r="F4"/>
  <c r="B4"/>
  <c r="F3"/>
  <c r="B3"/>
  <c r="D12" i="55"/>
  <c r="C12"/>
  <c r="E11"/>
  <c r="B11"/>
  <c r="E10"/>
  <c r="B10"/>
  <c r="E9"/>
  <c r="B9"/>
  <c r="E7"/>
  <c r="B7"/>
  <c r="E6"/>
  <c r="B6"/>
  <c r="B12" s="1"/>
  <c r="C7" i="19"/>
  <c r="B7"/>
  <c r="C6"/>
  <c r="B6"/>
  <c r="C5"/>
  <c r="B5"/>
  <c r="C4"/>
  <c r="B4"/>
  <c r="C19" i="77"/>
  <c r="B19"/>
  <c r="D18"/>
  <c r="D17"/>
  <c r="D16"/>
  <c r="D15"/>
  <c r="D14"/>
  <c r="D13"/>
  <c r="D12"/>
  <c r="D19" s="1"/>
  <c r="C10"/>
  <c r="B10"/>
  <c r="D9"/>
  <c r="D8"/>
  <c r="D7"/>
  <c r="D6"/>
  <c r="D5"/>
  <c r="B9" i="17"/>
  <c r="F8"/>
  <c r="B8"/>
  <c r="F7"/>
  <c r="B7"/>
  <c r="F6"/>
  <c r="B6"/>
  <c r="F5"/>
  <c r="B5"/>
  <c r="F4"/>
  <c r="F9" s="1"/>
  <c r="B4"/>
  <c r="D13" i="56"/>
  <c r="C13"/>
  <c r="B13"/>
  <c r="D6"/>
  <c r="C4"/>
  <c r="B4"/>
  <c r="E12" i="14"/>
  <c r="D12"/>
  <c r="C12"/>
  <c r="F11"/>
  <c r="F10"/>
  <c r="F9"/>
  <c r="B9"/>
  <c r="F8"/>
  <c r="B8"/>
  <c r="F7"/>
  <c r="B7"/>
  <c r="F6"/>
  <c r="F12" s="1"/>
  <c r="B6"/>
  <c r="F5"/>
  <c r="B5"/>
  <c r="E7" i="13"/>
  <c r="D7"/>
  <c r="C7"/>
  <c r="B7"/>
  <c r="F6"/>
  <c r="F5"/>
  <c r="F4"/>
  <c r="F3"/>
  <c r="F7" s="1"/>
  <c r="G7" i="12"/>
  <c r="G6"/>
  <c r="G5"/>
  <c r="G4"/>
  <c r="G3"/>
  <c r="F18" i="11"/>
  <c r="F15"/>
  <c r="F11"/>
  <c r="F7"/>
  <c r="I36" i="9"/>
  <c r="J34"/>
  <c r="J33"/>
  <c r="J32"/>
  <c r="J36" s="1"/>
  <c r="I30"/>
  <c r="H30"/>
  <c r="F30"/>
  <c r="E30"/>
  <c r="D30"/>
  <c r="C30"/>
  <c r="B30"/>
  <c r="J29"/>
  <c r="J28"/>
  <c r="J27"/>
  <c r="I26"/>
  <c r="H26"/>
  <c r="F26"/>
  <c r="E26"/>
  <c r="D26"/>
  <c r="C26"/>
  <c r="J26" s="1"/>
  <c r="J30" s="1"/>
  <c r="B26"/>
  <c r="I16"/>
  <c r="J14"/>
  <c r="J13"/>
  <c r="I12"/>
  <c r="J12" s="1"/>
  <c r="J16" s="1"/>
  <c r="I10"/>
  <c r="H10"/>
  <c r="F10"/>
  <c r="E10"/>
  <c r="D10"/>
  <c r="C10"/>
  <c r="B10"/>
  <c r="J9"/>
  <c r="J8"/>
  <c r="J7"/>
  <c r="I6"/>
  <c r="H6"/>
  <c r="F6"/>
  <c r="E6"/>
  <c r="D6"/>
  <c r="C6"/>
  <c r="B6"/>
  <c r="I48" i="7"/>
  <c r="H48"/>
  <c r="J46"/>
  <c r="J45"/>
  <c r="H44"/>
  <c r="J44" s="1"/>
  <c r="J48" s="1"/>
  <c r="G42"/>
  <c r="F42"/>
  <c r="E42"/>
  <c r="D42"/>
  <c r="C42"/>
  <c r="J40"/>
  <c r="J39"/>
  <c r="G38"/>
  <c r="F38"/>
  <c r="E38"/>
  <c r="D38"/>
  <c r="C38"/>
  <c r="I36"/>
  <c r="I51" s="1"/>
  <c r="H36"/>
  <c r="G36"/>
  <c r="F36"/>
  <c r="F51" s="1"/>
  <c r="E36"/>
  <c r="E51" s="1"/>
  <c r="D36"/>
  <c r="D51" s="1"/>
  <c r="C36"/>
  <c r="B36"/>
  <c r="B51" s="1"/>
  <c r="J35"/>
  <c r="J34"/>
  <c r="J33"/>
  <c r="I32"/>
  <c r="I50" s="1"/>
  <c r="H32"/>
  <c r="H50" s="1"/>
  <c r="G32"/>
  <c r="G50" s="1"/>
  <c r="F32"/>
  <c r="E32"/>
  <c r="E50" s="1"/>
  <c r="D32"/>
  <c r="D50" s="1"/>
  <c r="C32"/>
  <c r="C50" s="1"/>
  <c r="B32"/>
  <c r="B50" s="1"/>
  <c r="I22"/>
  <c r="H22"/>
  <c r="J20"/>
  <c r="J19"/>
  <c r="I18"/>
  <c r="H18"/>
  <c r="G16"/>
  <c r="F16"/>
  <c r="E16"/>
  <c r="D16"/>
  <c r="C16"/>
  <c r="J14"/>
  <c r="J13"/>
  <c r="G12"/>
  <c r="F12"/>
  <c r="E12"/>
  <c r="D12"/>
  <c r="C12"/>
  <c r="J12" s="1"/>
  <c r="J16" s="1"/>
  <c r="I10"/>
  <c r="H10"/>
  <c r="G10"/>
  <c r="F10"/>
  <c r="E10"/>
  <c r="D10"/>
  <c r="C10"/>
  <c r="B10"/>
  <c r="J9"/>
  <c r="J8"/>
  <c r="J7"/>
  <c r="I6"/>
  <c r="H6"/>
  <c r="G6"/>
  <c r="F6"/>
  <c r="E6"/>
  <c r="D6"/>
  <c r="C6"/>
  <c r="B6"/>
  <c r="H49" i="5"/>
  <c r="G49"/>
  <c r="I47"/>
  <c r="I46"/>
  <c r="I45"/>
  <c r="I49" s="1"/>
  <c r="G45"/>
  <c r="F43"/>
  <c r="E43"/>
  <c r="D43"/>
  <c r="C43"/>
  <c r="B43"/>
  <c r="I41"/>
  <c r="I40"/>
  <c r="F39"/>
  <c r="E39"/>
  <c r="D39"/>
  <c r="C39"/>
  <c r="B39"/>
  <c r="H37"/>
  <c r="G37"/>
  <c r="F37"/>
  <c r="E37"/>
  <c r="D37"/>
  <c r="C37"/>
  <c r="B37"/>
  <c r="I36"/>
  <c r="I35"/>
  <c r="I34"/>
  <c r="H33"/>
  <c r="G33"/>
  <c r="F33"/>
  <c r="E33"/>
  <c r="D33"/>
  <c r="I33" s="1"/>
  <c r="C33"/>
  <c r="B33"/>
  <c r="H22"/>
  <c r="G22"/>
  <c r="I20"/>
  <c r="I19"/>
  <c r="H18"/>
  <c r="G18"/>
  <c r="I18" s="1"/>
  <c r="I22" s="1"/>
  <c r="F16"/>
  <c r="E16"/>
  <c r="D16"/>
  <c r="C16"/>
  <c r="B16"/>
  <c r="I14"/>
  <c r="I13"/>
  <c r="F12"/>
  <c r="E12"/>
  <c r="D12"/>
  <c r="C12"/>
  <c r="B12"/>
  <c r="I12" s="1"/>
  <c r="I16" s="1"/>
  <c r="H10"/>
  <c r="G10"/>
  <c r="F10"/>
  <c r="E10"/>
  <c r="D10"/>
  <c r="C10"/>
  <c r="B10"/>
  <c r="I9"/>
  <c r="I8"/>
  <c r="I7"/>
  <c r="H6"/>
  <c r="G6"/>
  <c r="F6"/>
  <c r="E6"/>
  <c r="D6"/>
  <c r="C6"/>
  <c r="B6"/>
  <c r="I39" l="1"/>
  <c r="I43" s="1"/>
  <c r="H51" i="7"/>
  <c r="F19" i="11"/>
  <c r="F50" i="7"/>
  <c r="C51"/>
  <c r="G51"/>
  <c r="C8" i="19"/>
  <c r="E12" i="55"/>
  <c r="I6" i="5"/>
  <c r="I10" s="1"/>
  <c r="I25" s="1"/>
  <c r="J6" i="7"/>
  <c r="J10" s="1"/>
  <c r="J25" s="1"/>
  <c r="J18"/>
  <c r="J22" s="1"/>
  <c r="J38"/>
  <c r="J42" s="1"/>
  <c r="J6" i="9"/>
  <c r="J10" s="1"/>
  <c r="B12" i="14"/>
  <c r="D10" i="77"/>
  <c r="B8" i="19"/>
  <c r="B5" i="21"/>
  <c r="F5" s="1"/>
  <c r="I37" i="5"/>
  <c r="I52" s="1"/>
  <c r="J24" i="7"/>
  <c r="J32"/>
  <c r="I24" i="5" l="1"/>
  <c r="I51"/>
  <c r="J50" i="7"/>
  <c r="J36"/>
  <c r="J51" s="1"/>
</calcChain>
</file>

<file path=xl/sharedStrings.xml><?xml version="1.0" encoding="utf-8"?>
<sst xmlns="http://schemas.openxmlformats.org/spreadsheetml/2006/main" count="2534" uniqueCount="1118">
  <si>
    <t>130</t>
  </si>
  <si>
    <t>Hodnota vlastného imania ÚJ, v ktorej má ÚJ umiestnený DFM</t>
  </si>
  <si>
    <t>591</t>
  </si>
  <si>
    <t>125</t>
  </si>
  <si>
    <t>Tabuľka č. 3</t>
  </si>
  <si>
    <t>Tabuľka č. 2</t>
  </si>
  <si>
    <t>(3) Kód SK NACE sa vypĺňa podľa vyhlášky Štatistického úradu Slovenskej republiky č. 306/2007</t>
  </si>
  <si>
    <t>021</t>
  </si>
  <si>
    <t>Tabuľka č. 4</t>
  </si>
  <si>
    <t>341000</t>
  </si>
  <si>
    <t>B.  V.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</si>
  <si>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</si>
  <si>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</si>
  <si>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</si>
  <si>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</si>
  <si>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</si>
  <si>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018</t>
  </si>
  <si>
    <t>Dlhodobé záväzky z obchodného styku súčet (r. 104 až r. 106)</t>
  </si>
  <si>
    <t>Prídel do zákonného rezervného fondu</t>
  </si>
  <si>
    <t>089</t>
  </si>
  <si>
    <t>Pozemky ( 031 ) - 092A</t>
  </si>
  <si>
    <t>Krátkodobý finančný majetok v prepojených ÚJ (251A,253A,256A,257A,25XA) - /291A,29XA)</t>
  </si>
  <si>
    <t xml:space="preserve">Tabuľka č. 1 </t>
  </si>
  <si>
    <t>Odložená daňová pohľadávka (481A)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</si>
  <si>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</si>
  <si>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</si>
  <si>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</si>
  <si>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</si>
  <si>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</si>
  <si>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</si>
  <si>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518001</t>
  </si>
  <si>
    <t>51</t>
  </si>
  <si>
    <t>zdaniteľné</t>
  </si>
  <si>
    <t>Neuhradená strata z minulých rokov  ( (-)429 )</t>
  </si>
  <si>
    <t>Ostatné realizované cenné papiere a podiely (063A) - /096A/</t>
  </si>
  <si>
    <t>472000</t>
  </si>
  <si>
    <t>46</t>
  </si>
  <si>
    <t>Výrobky</t>
  </si>
  <si>
    <t xml:space="preserve">teoretická daň </t>
  </si>
  <si>
    <t>Odložená daň z príjmov</t>
  </si>
  <si>
    <t>Zabezpečovacie deriváty, z toho:</t>
  </si>
  <si>
    <t>Zákonné sociálne náklady</t>
  </si>
  <si>
    <t>14. Informácie k časti F. písm. r) prílohy č. 3 o vývoji opravnej položky  k pohľadávkam</t>
  </si>
  <si>
    <t>Výnosy budúcich období dlhodobé ( 384A )</t>
  </si>
  <si>
    <t>Krátkodobý finančný majetok spolu</t>
  </si>
  <si>
    <t>Suma zadržanej platby</t>
  </si>
  <si>
    <t>Ostatné dlhodobé CP a podiely</t>
  </si>
  <si>
    <t>Pridaná hodnota (r.03+r.04+r.05+r.06+r.07)-(r.11+r.12+r.13+r.14)</t>
  </si>
  <si>
    <t>026</t>
  </si>
  <si>
    <t>04</t>
  </si>
  <si>
    <t>324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</si>
  <si>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</si>
  <si>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</si>
  <si>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</si>
  <si>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</si>
  <si>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</si>
  <si>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Tvorba a zúčtovanie opr.položiek k pohľ.</t>
  </si>
  <si>
    <t>Náklady na zákazkovú výstavbu nehnuteľnosti určenej na predaj</t>
  </si>
  <si>
    <t>314000</t>
  </si>
  <si>
    <t>N.1.</t>
  </si>
  <si>
    <t>Predaný tovar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</si>
  <si>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</si>
  <si>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</si>
  <si>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</si>
  <si>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</si>
  <si>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</si>
  <si>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</si>
  <si>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</si>
  <si>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</si>
  <si>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501</t>
  </si>
  <si>
    <t>Účtovná hodnota DFM</t>
  </si>
  <si>
    <t>Zásoby</t>
  </si>
  <si>
    <t>343822</t>
  </si>
  <si>
    <t>421</t>
  </si>
  <si>
    <t>A. II.</t>
  </si>
  <si>
    <t xml:space="preserve">Ostatné realizovateľné CP a podiely  </t>
  </si>
  <si>
    <t>úver, pôžička</t>
  </si>
  <si>
    <t xml:space="preserve">Účtovný zisk </t>
  </si>
  <si>
    <t>Opravná položka k pohľadávkam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</si>
  <si>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</si>
  <si>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</si>
  <si>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</si>
  <si>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</si>
  <si>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Poskytnuté  preddavky</t>
  </si>
  <si>
    <t>Výnosy z hospodárskej činnosti spolu súčet (r.03 až r.09)</t>
  </si>
  <si>
    <t>Z nerozdeleného zisku minulých rokov</t>
  </si>
  <si>
    <t>548900</t>
  </si>
  <si>
    <t>548100</t>
  </si>
  <si>
    <t>DFM – dlhodobý finančný majetok</t>
  </si>
  <si>
    <t>702000</t>
  </si>
  <si>
    <t>Tvorba OP</t>
  </si>
  <si>
    <t>-stroje, prist. a zariadenie</t>
  </si>
  <si>
    <t>Dlhodobý nehmotný majetok</t>
  </si>
  <si>
    <t>37</t>
  </si>
  <si>
    <t>B.IV.</t>
  </si>
  <si>
    <t>Tržby z predaja tovaru ( 604, 607 )</t>
  </si>
  <si>
    <t>128</t>
  </si>
  <si>
    <t>134</t>
  </si>
  <si>
    <t>Tržby z predaja služieb</t>
  </si>
  <si>
    <t>Pestovateľské celky 
trvalých porastov</t>
  </si>
  <si>
    <t>524000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</si>
  <si>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</si>
  <si>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</si>
  <si>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</si>
  <si>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</si>
  <si>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phm MA968  VW</t>
  </si>
  <si>
    <t>B,K,N,M</t>
  </si>
  <si>
    <t>702</t>
  </si>
  <si>
    <t>123</t>
  </si>
  <si>
    <t>Emisné kvóty</t>
  </si>
  <si>
    <t>Daň v %</t>
  </si>
  <si>
    <t>014</t>
  </si>
  <si>
    <t>Pôžičky prepojeným ÚJ (066A) - /096A/</t>
  </si>
  <si>
    <t>141</t>
  </si>
  <si>
    <t>Kurzové straty (563)</t>
  </si>
  <si>
    <t>Bežné účtovné obdobie</t>
  </si>
  <si>
    <t>Zmena odloženého daňového záväzku</t>
  </si>
  <si>
    <t>083</t>
  </si>
  <si>
    <t>145</t>
  </si>
  <si>
    <t>24. Informácie k časti G. písm. c) a d) prílohy č. 3 o záväzkoch</t>
  </si>
  <si>
    <t>379</t>
  </si>
  <si>
    <t>Názov položky</t>
  </si>
  <si>
    <t>004</t>
  </si>
  <si>
    <t>Výsledok hospodárenia z hospodárskej činnosti (+/-) (r.02 - r. 10)</t>
  </si>
  <si>
    <t>Zákonné rezervné fondy r. 088 + r. 089</t>
  </si>
  <si>
    <t>013</t>
  </si>
  <si>
    <t>211</t>
  </si>
  <si>
    <t>106</t>
  </si>
  <si>
    <t>Stav OP  na začiatku účtovného obdobia</t>
  </si>
  <si>
    <t>IX.</t>
  </si>
  <si>
    <t>Obstarávanie krátkodobého finančného majetku</t>
  </si>
  <si>
    <t>Vyfakturované nároky za vykonanú prácu na zákazkovej výstavbe nehnuteľnosti určenej na predaj</t>
  </si>
  <si>
    <t>B.IV.  1.</t>
  </si>
  <si>
    <t>17. Informácie k časti F. písm. w)  prílohy č. 3 o krátkodobom finančnom majetku</t>
  </si>
  <si>
    <t>26</t>
  </si>
  <si>
    <t>Pohľadávky voči spoločníkom,členom a združeniu (354A,355A,358A,35XA) -/391A/</t>
  </si>
  <si>
    <t>Stav OP na začiatku účtovného obdobia</t>
  </si>
  <si>
    <t>521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</si>
  <si>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</si>
  <si>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</si>
  <si>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</si>
  <si>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</si>
  <si>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</si>
  <si>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</si>
  <si>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</si>
  <si>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</si>
  <si>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</si>
  <si>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</si>
  <si>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</si>
  <si>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</si>
  <si>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</si>
  <si>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</si>
  <si>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</si>
  <si>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</si>
  <si>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Vstup tuzemsko 20%</t>
  </si>
  <si>
    <t>Ostatné záväzky voči zamestnancom</t>
  </si>
  <si>
    <t>Ostatné pohľadávky z obchodného styku (311A,312A,313A,314A,315A,31XA)-/391A/</t>
  </si>
  <si>
    <t>Ostatné záväzky v rámci podielovej účasti okrem záväzkov voči prep.ÚJ  (471A, 47XA)</t>
  </si>
  <si>
    <t>Ceniny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</si>
  <si>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</si>
  <si>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</si>
  <si>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</si>
  <si>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</si>
  <si>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</si>
  <si>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</si>
  <si>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</si>
  <si>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Zostatková cena predaného dlhodobého majetku a predaného materiálu ( 541, 542 )</t>
  </si>
  <si>
    <t>Bezprostred- 
ne predchádza-
júce účtovné obdobie</t>
  </si>
  <si>
    <t>Bežné bankové účty</t>
  </si>
  <si>
    <t>038</t>
  </si>
  <si>
    <t>Hodnota pohľadávky</t>
  </si>
  <si>
    <t>XIV.</t>
  </si>
  <si>
    <t>364000</t>
  </si>
  <si>
    <t>602</t>
  </si>
  <si>
    <t>324100</t>
  </si>
  <si>
    <t>Výnosy z kratkodobého finančného majetku súčet (r.36 až r.38)</t>
  </si>
  <si>
    <t>Druh obchodu</t>
  </si>
  <si>
    <t>Dlhové CP na obchodovanie</t>
  </si>
  <si>
    <t>2</t>
  </si>
  <si>
    <t>49</t>
  </si>
  <si>
    <t>Dlhodobé pôžičky spolu</t>
  </si>
  <si>
    <t>Ostatné dane a poplatky</t>
  </si>
  <si>
    <t>365</t>
  </si>
  <si>
    <t>501002</t>
  </si>
  <si>
    <t>062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</si>
  <si>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</si>
  <si>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</si>
  <si>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</si>
  <si>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</si>
  <si>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- tuz.samozd. na vstupe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</si>
  <si>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</si>
  <si>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</si>
  <si>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</si>
  <si>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</si>
  <si>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</si>
  <si>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</si>
  <si>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</si>
  <si>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</si>
  <si>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</si>
  <si>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</si>
  <si>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</si>
  <si>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Daň z príjmov odložená (+/-) (592)</t>
  </si>
  <si>
    <t>A. IV. 1.</t>
  </si>
  <si>
    <t>Výdavky budúcich období dlhodobé ( 383A )</t>
  </si>
  <si>
    <t>Zamestnanci</t>
  </si>
  <si>
    <t>501968</t>
  </si>
  <si>
    <t xml:space="preserve">Zvieratá </t>
  </si>
  <si>
    <t>Hodnota</t>
  </si>
  <si>
    <t>Krátkodobé pohľadávky</t>
  </si>
  <si>
    <t>Kód druhu obchodu</t>
  </si>
  <si>
    <t>Odpisy o opravné položky dlhodobému NM a dlhodobému HM (r.22 + r.23)</t>
  </si>
  <si>
    <t>P A S Í V A</t>
  </si>
  <si>
    <t>Priemerný prepočítaný počet zamestnancov</t>
  </si>
  <si>
    <t>Prijaté preddavky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</si>
  <si>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</si>
  <si>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</si>
  <si>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</si>
  <si>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</si>
  <si>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</si>
  <si>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Ostatné záväzky voči spoločníkom</t>
  </si>
  <si>
    <t>Obstarávaný krátkodobý finančný majetok (259,314A) - /291A/</t>
  </si>
  <si>
    <t>Zo zákonného rezervného fondu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</si>
  <si>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</si>
  <si>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</si>
  <si>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</si>
  <si>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</si>
  <si>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</si>
  <si>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</si>
  <si>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</si>
  <si>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</si>
  <si>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</si>
  <si>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</si>
  <si>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Dlhodobý finančný majetok, na ktorý je zriadené záložné právo</t>
  </si>
  <si>
    <t>viac ako päť rokov</t>
  </si>
  <si>
    <t xml:space="preserve">12. Informácie k časti F. písm. p) prílohy č. 3 o zásobách, na ktoré je zriadené záložné právo </t>
  </si>
  <si>
    <t>Záväzky po lehote splatnosti</t>
  </si>
  <si>
    <t>Predaný tovar 1</t>
  </si>
  <si>
    <t>Ostatné výnosy z finančnej činnosti (668)</t>
  </si>
  <si>
    <t>B.  I. 1.</t>
  </si>
  <si>
    <t>32. Informácie k časti H. písm. b) prílohy č. 3 o zmene stavu vnútroorganizačných zásob</t>
  </si>
  <si>
    <t>551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</si>
  <si>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</si>
  <si>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</si>
  <si>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</si>
  <si>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</si>
  <si>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</si>
  <si>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</si>
  <si>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</si>
  <si>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</si>
  <si>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</si>
  <si>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</si>
  <si>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137</t>
  </si>
  <si>
    <t>Oprávky</t>
  </si>
  <si>
    <t>101</t>
  </si>
  <si>
    <t>527000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</si>
  <si>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</si>
  <si>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</si>
  <si>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082200</t>
  </si>
  <si>
    <t>051</t>
  </si>
  <si>
    <t>Počet</t>
  </si>
  <si>
    <t>Sociálne náklady ( 527, 528 )</t>
  </si>
  <si>
    <t>PS,Z,CO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</si>
  <si>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</si>
  <si>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</si>
  <si>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</si>
  <si>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</si>
  <si>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</si>
  <si>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</si>
  <si>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030</t>
  </si>
  <si>
    <t>701000</t>
  </si>
  <si>
    <t>Pôžičky ÚJ 
v kons. celku</t>
  </si>
  <si>
    <t>Finančný výnos</t>
  </si>
  <si>
    <t>Dlhodobý finančný majetok súčet (r. 022 až 032)</t>
  </si>
  <si>
    <t>Vstup tuzemsko 10%</t>
  </si>
  <si>
    <t>Výdavky budúcich období krátkodobé ( 383A )</t>
  </si>
  <si>
    <t>Základné imanie ( 411 alebo +/-491 )</t>
  </si>
  <si>
    <t>Daň z príjmov</t>
  </si>
  <si>
    <t>531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</si>
  <si>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</si>
  <si>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</si>
  <si>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</si>
  <si>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</si>
  <si>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</si>
  <si>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</si>
  <si>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Účtovná hodnota</t>
  </si>
  <si>
    <t>Príjmy budúcich období krátkodobé ( 385A )</t>
  </si>
  <si>
    <t>33</t>
  </si>
  <si>
    <t>Opravy a udr. 1</t>
  </si>
  <si>
    <t>Zaokrúhlené
(sledované)</t>
  </si>
  <si>
    <t>335103</t>
  </si>
  <si>
    <t>501478</t>
  </si>
  <si>
    <t>547</t>
  </si>
  <si>
    <t>V.</t>
  </si>
  <si>
    <t>C.</t>
  </si>
  <si>
    <t>K.</t>
  </si>
  <si>
    <t>056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</si>
  <si>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</si>
  <si>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</si>
  <si>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</si>
  <si>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</si>
  <si>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</si>
  <si>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Výnosy z nehnuteľnosti na predaj</t>
  </si>
  <si>
    <t>Účty v bankách ( 221A, 22X +/-261 )</t>
  </si>
  <si>
    <t>Ostatné náklady -dph zahr.</t>
  </si>
  <si>
    <t>Krátkodobé záväzky spolu</t>
  </si>
  <si>
    <t>343810</t>
  </si>
  <si>
    <t>B.</t>
  </si>
  <si>
    <t>Majetok vykázaný v súvahe</t>
  </si>
  <si>
    <t>372</t>
  </si>
  <si>
    <t>Daň</t>
  </si>
  <si>
    <t>B. II. 1.</t>
  </si>
  <si>
    <t>Základné imanie</t>
  </si>
  <si>
    <t>19</t>
  </si>
  <si>
    <t>070</t>
  </si>
  <si>
    <t>B. I.</t>
  </si>
  <si>
    <t>Mesačný obrat
Má dať</t>
  </si>
  <si>
    <t>648</t>
  </si>
  <si>
    <t>032</t>
  </si>
  <si>
    <t>054</t>
  </si>
  <si>
    <t>710</t>
  </si>
  <si>
    <t>Daňové pohľadávky a dotácie</t>
  </si>
  <si>
    <t>Krátkodobé pohľadávky spolu</t>
  </si>
  <si>
    <t>10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</si>
  <si>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</si>
  <si>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</si>
  <si>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</si>
  <si>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</si>
  <si>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</si>
  <si>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Zákonný rezervný fond</t>
  </si>
  <si>
    <t>iný obchod</t>
  </si>
  <si>
    <t>604000</t>
  </si>
  <si>
    <t>012</t>
  </si>
  <si>
    <t>Základ dane</t>
  </si>
  <si>
    <t>548000</t>
  </si>
  <si>
    <t>Ostatné sl. 1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</si>
  <si>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</si>
  <si>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</si>
  <si>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</si>
  <si>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</si>
  <si>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</si>
  <si>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</si>
  <si>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</si>
  <si>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</si>
  <si>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</si>
  <si>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</si>
  <si>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</si>
  <si>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</si>
  <si>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</si>
  <si>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</si>
  <si>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</si>
  <si>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</si>
  <si>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</si>
  <si>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Ostatné výnosy z kratkodobého finančného majetku (666A)</t>
  </si>
  <si>
    <t>16</t>
  </si>
  <si>
    <t>J.</t>
  </si>
  <si>
    <t>Do splatnosti  od troch rokov do piatich rokov vrátane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</si>
  <si>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</si>
  <si>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</si>
  <si>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</si>
  <si>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</si>
  <si>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518101</t>
  </si>
  <si>
    <t>4.</t>
  </si>
  <si>
    <t>Rozdelenie účtovného zisku</t>
  </si>
  <si>
    <t>Výnosy z dlhodobého finančného majetku súčet (r.32 až r.34)</t>
  </si>
  <si>
    <t>Stav v minulom
účtovnom období</t>
  </si>
  <si>
    <t>Ostatné sl. 2</t>
  </si>
  <si>
    <t>13</t>
  </si>
  <si>
    <t>Účet</t>
  </si>
  <si>
    <t>088</t>
  </si>
  <si>
    <t>Odberatelia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</si>
  <si>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</si>
  <si>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</si>
  <si>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</si>
  <si>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</si>
  <si>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</si>
  <si>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</si>
  <si>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</si>
  <si>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</si>
  <si>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Mzdové náklady</t>
  </si>
  <si>
    <t>002</t>
  </si>
  <si>
    <t>Dlhodobé pohľadávky</t>
  </si>
  <si>
    <t>Pohľadávky voči zamestnancom</t>
  </si>
  <si>
    <t>Mzdové náklady ( 521, 522 )</t>
  </si>
  <si>
    <t>28</t>
  </si>
  <si>
    <t>18. Informácie k časti  F. písm. x) prílohy č. 3 o vývoji opravnej položky ku krátkodobému finančnému majetku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</si>
  <si>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</si>
  <si>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</si>
  <si>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</si>
  <si>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</si>
  <si>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- tuz.samozd. na vystupe</t>
  </si>
  <si>
    <t>Ostatné náklady na finančnú činnosť (568,569)</t>
  </si>
  <si>
    <t>Dlhodobý finančný majetok spolu</t>
  </si>
  <si>
    <t>-DDHM</t>
  </si>
  <si>
    <t>I.</t>
  </si>
  <si>
    <t>Tovar ( 132,133,13X,139 ) - /196,19X/</t>
  </si>
  <si>
    <t>06</t>
  </si>
  <si>
    <t>Výnosové úroky (r.40 + r.41)</t>
  </si>
  <si>
    <t>Odpisy dlhodob.nehmot.a hmot.majetku</t>
  </si>
  <si>
    <t>III.</t>
  </si>
  <si>
    <t>336200</t>
  </si>
  <si>
    <t>Suma odloženej dani z príjmov, ktorá sa vzťahuje na položky účtované priamo na účty vlastného imania bez účtovania na účty nákladov a výnosov</t>
  </si>
  <si>
    <t>365000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</si>
  <si>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</si>
  <si>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</si>
  <si>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</si>
  <si>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</si>
  <si>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</si>
  <si>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518002</t>
  </si>
  <si>
    <t>daňové poradenstvo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</si>
  <si>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</si>
  <si>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</si>
  <si>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</si>
  <si>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</si>
  <si>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</si>
  <si>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</si>
  <si>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Časové rozlíšenie súčet (r. 142 až r. 145)</t>
  </si>
  <si>
    <t>411000</t>
  </si>
  <si>
    <t>Zákonné sociálne nák.-str.l.</t>
  </si>
  <si>
    <t>Ostatné záväzky z obchodného styku (321A,475A,476A)</t>
  </si>
  <si>
    <t>Náklady na zákazkovú výrobu</t>
  </si>
  <si>
    <t>Stavby</t>
  </si>
  <si>
    <t>Prevod podielov na výsledku hospodárenia spoločníkom (+/-) (596)</t>
  </si>
  <si>
    <t>068</t>
  </si>
  <si>
    <t>121</t>
  </si>
  <si>
    <t>Presuny</t>
  </si>
  <si>
    <t>Dlhodobé rezervy, z toho:</t>
  </si>
  <si>
    <t>132</t>
  </si>
  <si>
    <t>Záväzky zo sociálneho poistenia ( 336A )</t>
  </si>
  <si>
    <t>568</t>
  </si>
  <si>
    <t>Obstarávaný DFM na účely vykonania vplyvu v inej ÚJ</t>
  </si>
  <si>
    <t>25</t>
  </si>
  <si>
    <t>Zaokrúhlené
(minulé)</t>
  </si>
  <si>
    <t>Pohľ.voči zam. - Hasoň</t>
  </si>
  <si>
    <t>1.c.</t>
  </si>
  <si>
    <t>Náklady na krátkodobý finančný majetok (566)</t>
  </si>
  <si>
    <t>Sumár od začiatku zákazkovej výroby až do konca bežného účtovného obdobia</t>
  </si>
  <si>
    <t>VII.</t>
  </si>
  <si>
    <t>5.</t>
  </si>
  <si>
    <t>Účtovná strata</t>
  </si>
  <si>
    <t>Spotreba mat. 2</t>
  </si>
  <si>
    <t>Náklady na precenenie cenných papierov a náklady na derivátové operácie (564,567)</t>
  </si>
  <si>
    <t>005</t>
  </si>
  <si>
    <t>531000</t>
  </si>
  <si>
    <t>Podiel ÚJ na hlasovacích právach v %</t>
  </si>
  <si>
    <t>Peniaze na ceste</t>
  </si>
  <si>
    <t>Opravy a udržovanie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</si>
  <si>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</si>
  <si>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</si>
  <si>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</si>
  <si>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</si>
  <si>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</si>
  <si>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</si>
  <si>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</si>
  <si>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</si>
  <si>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</si>
  <si>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</si>
  <si>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</si>
  <si>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</si>
  <si>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</si>
  <si>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</si>
  <si>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Ostatné sl.- najomne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</si>
  <si>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</si>
  <si>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</si>
  <si>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</si>
  <si>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</si>
  <si>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</si>
  <si>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</si>
  <si>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</si>
  <si>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</si>
  <si>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364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</si>
  <si>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</si>
  <si>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</si>
  <si>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</si>
  <si>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</si>
  <si>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</si>
  <si>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</si>
  <si>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</si>
  <si>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</si>
  <si>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</si>
  <si>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</si>
  <si>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</si>
  <si>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</si>
  <si>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</si>
  <si>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</si>
  <si>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</si>
  <si>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</si>
  <si>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</si>
  <si>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</si>
  <si>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</si>
  <si>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</si>
  <si>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</si>
  <si>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</si>
  <si>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336</t>
  </si>
  <si>
    <t>32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</si>
  <si>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</si>
  <si>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</si>
  <si>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</si>
  <si>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</si>
  <si>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</si>
  <si>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</si>
  <si>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</si>
  <si>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</si>
  <si>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504</t>
  </si>
  <si>
    <t>333</t>
  </si>
  <si>
    <t>Zásoby súčet (r. 035 až r.040)</t>
  </si>
  <si>
    <t>Možnosť umorovať daňovú stratu v budúcnosti</t>
  </si>
  <si>
    <t>512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</si>
  <si>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</si>
  <si>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</si>
  <si>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</si>
  <si>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</si>
  <si>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</si>
  <si>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</si>
  <si>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421000</t>
  </si>
  <si>
    <t>Záväzky z obch.styku v rámci pod.účasti okrem záv.voči prep.ÚJ (321A,475A,476A)</t>
  </si>
  <si>
    <t>V lehote splatnosti</t>
  </si>
  <si>
    <t>568000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</si>
  <si>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</si>
  <si>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</si>
  <si>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</si>
  <si>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</si>
  <si>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Ostatné služby</t>
  </si>
  <si>
    <t>Ostatné sl.- telef. 1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</si>
  <si>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</si>
  <si>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</si>
  <si>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</si>
  <si>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</si>
  <si>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r>
      <t>Krátkodobé finančné výpomoci</t>
    </r>
    <r>
      <rPr>
        <sz val="8"/>
        <color theme="1"/>
        <rFont val="Arial"/>
        <family val="2"/>
      </rPr>
      <t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</si>
  <si>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</si>
  <si>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</si>
  <si>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</si>
  <si>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</si>
  <si>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Spotreba mat. 1</t>
  </si>
  <si>
    <t>016</t>
  </si>
  <si>
    <t>Opravy a udr. - auta 1</t>
  </si>
  <si>
    <t>Cestovné</t>
  </si>
  <si>
    <t>527100</t>
  </si>
  <si>
    <t>58</t>
  </si>
  <si>
    <t>Časové rozlíšenie súčet r. 075 až r.078</t>
  </si>
  <si>
    <t>025</t>
  </si>
  <si>
    <t>45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</si>
  <si>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</si>
  <si>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</si>
  <si>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</si>
  <si>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</si>
  <si>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</si>
  <si>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</si>
  <si>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</si>
  <si>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</si>
  <si>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342100</t>
  </si>
  <si>
    <t>Krátkodobé rezervy r.137 +r.138</t>
  </si>
  <si>
    <t>47</t>
  </si>
  <si>
    <t>prij.zaloha MS</t>
  </si>
  <si>
    <t>Odpisy dlhodobého nehmot.a hmot.majetku</t>
  </si>
  <si>
    <t>Ostatné výnosy z hospodárskej činnosti</t>
  </si>
  <si>
    <t>Ostatné výnosy z cenných papierov a podielov (665 A)</t>
  </si>
  <si>
    <t>60</t>
  </si>
  <si>
    <t>Dlhodobé pohľadávky spolu</t>
  </si>
  <si>
    <t>428000</t>
  </si>
  <si>
    <t>120</t>
  </si>
  <si>
    <t>do jedného roka vrátane</t>
  </si>
  <si>
    <t>Možnosť previesť nevyužité daňové odpočty</t>
  </si>
  <si>
    <t>Poskytnuté preddavky</t>
  </si>
  <si>
    <t>Dlhodobé pohľadávky súčet (r.042 + r.046 až r.052)</t>
  </si>
  <si>
    <t>058</t>
  </si>
  <si>
    <t>221</t>
  </si>
  <si>
    <t>504101</t>
  </si>
  <si>
    <t>568101</t>
  </si>
  <si>
    <t>602000</t>
  </si>
  <si>
    <t>Odložená daňová pohľadávka</t>
  </si>
  <si>
    <t>073</t>
  </si>
  <si>
    <t>343922</t>
  </si>
  <si>
    <t>Výrobky ( 123 ) - /194/</t>
  </si>
  <si>
    <t>501000</t>
  </si>
  <si>
    <t>099</t>
  </si>
  <si>
    <t>140</t>
  </si>
  <si>
    <t>Dlhodobý nehmotný majetok  súčet (r.004 až 010)</t>
  </si>
  <si>
    <t>Poskytnuté preddavky na zásoby ( 314A ) - /391A/</t>
  </si>
  <si>
    <r>
      <t>Dlhodobé pôžičky</t>
    </r>
    <r>
      <rPr>
        <sz val="8"/>
        <color theme="1"/>
        <rFont val="Arial"/>
        <family val="2"/>
      </rPr>
      <t> </t>
    </r>
  </si>
  <si>
    <t>431000</t>
  </si>
  <si>
    <t>XI.</t>
  </si>
  <si>
    <t>úradom Slovenskej republiky.</t>
  </si>
  <si>
    <t>037</t>
  </si>
  <si>
    <t>Mesačný obrat
Dal</t>
  </si>
  <si>
    <t>Celkový obrat
Dal</t>
  </si>
  <si>
    <t>Tržby z predaja služieb</t>
  </si>
  <si>
    <t>kons. – konsolidovaný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</si>
  <si>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</si>
  <si>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</si>
  <si>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</si>
  <si>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</si>
  <si>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</si>
  <si>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</si>
  <si>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</si>
  <si>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</si>
  <si>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</si>
  <si>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</si>
  <si>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</si>
  <si>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</si>
  <si>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</si>
  <si>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511001</t>
  </si>
  <si>
    <t>Výstup nadobud. tovaru z EÚ 20%</t>
  </si>
  <si>
    <t>Úhrada straty spoločníkmi</t>
  </si>
  <si>
    <t>521000</t>
  </si>
  <si>
    <t>BS,015,B</t>
  </si>
  <si>
    <t>34. Informácie k časti I. prílohy č. 3 o nákladoch voči audítorovi, audítorskej spoločnosti</t>
  </si>
  <si>
    <t>Celkový obrat
Má dať</t>
  </si>
  <si>
    <t>Pohľadávky z obchodného styku súčet (r. 055 až r. 057)</t>
  </si>
  <si>
    <t>Spotreba materiálu,energie a ostatných neskladovateľných dodávok (501,502,503)</t>
  </si>
  <si>
    <t>Netto v minulom
účtovnom období</t>
  </si>
  <si>
    <t>Softvér</t>
  </si>
  <si>
    <t>Ost.záv.voči zam. - stravné</t>
  </si>
  <si>
    <t>512000</t>
  </si>
  <si>
    <t>Nerozdelený zisk minulých rokov</t>
  </si>
  <si>
    <t>472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</si>
  <si>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</si>
  <si>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</si>
  <si>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</si>
  <si>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</si>
  <si>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</si>
  <si>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</si>
  <si>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</si>
  <si>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</si>
  <si>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</si>
  <si>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</si>
  <si>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Použitie</t>
  </si>
  <si>
    <t>Zmena stavu vnútroorganizačných zásob</t>
  </si>
  <si>
    <t>Ostatné výnosy z hospodárskej činnosti (644,645,646,648,655,657)</t>
  </si>
  <si>
    <t>Do splatnosti viac ako päť rokov</t>
  </si>
  <si>
    <t>výpomoc</t>
  </si>
  <si>
    <t>A. I.1.</t>
  </si>
  <si>
    <t>511000</t>
  </si>
  <si>
    <t>Peniaze na ceste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</si>
  <si>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</si>
  <si>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</si>
  <si>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</si>
  <si>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</si>
  <si>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</si>
  <si>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</si>
  <si>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</si>
  <si>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</si>
  <si>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</si>
  <si>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551000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</si>
  <si>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</si>
  <si>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</si>
  <si>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</si>
  <si>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Výstup tuzemsko 20%</t>
  </si>
  <si>
    <t>Oceniteľné práva ( 014 ) - /074, 091A/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</si>
  <si>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</si>
  <si>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</si>
  <si>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</si>
  <si>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</si>
  <si>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</si>
  <si>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343200</t>
  </si>
  <si>
    <t>CP – cenný papier</t>
  </si>
  <si>
    <t>DDHM do 1.700,- €</t>
  </si>
  <si>
    <t>501001</t>
  </si>
  <si>
    <t>Začiatočný účet súvahový</t>
  </si>
  <si>
    <t>10.</t>
  </si>
  <si>
    <t>30. Informácie k časti G. písm. l) prílohy č. 3 o položkách zabezpečených derivátmi</t>
  </si>
  <si>
    <t>391000</t>
  </si>
  <si>
    <t>342000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</si>
  <si>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</si>
  <si>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</si>
  <si>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</si>
  <si>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</si>
  <si>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</si>
  <si>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</si>
  <si>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</si>
  <si>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</si>
  <si>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</si>
  <si>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</si>
  <si>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</si>
  <si>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</si>
  <si>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Zákonné sociálne poistenie</t>
  </si>
  <si>
    <t>063</t>
  </si>
  <si>
    <t>Poč.stav k 1.1.
Má dať</t>
  </si>
  <si>
    <t>26. Informácie k časti G. písm. g) prílohy č. 3 o záväzkoch zo sociálneho fondu</t>
  </si>
  <si>
    <t>Dodávatelia</t>
  </si>
  <si>
    <t>648000</t>
  </si>
  <si>
    <t>081</t>
  </si>
  <si>
    <t>087</t>
  </si>
  <si>
    <t>X.1.</t>
  </si>
  <si>
    <t>591000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</si>
  <si>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</si>
  <si>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</si>
  <si>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</si>
  <si>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</si>
  <si>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</si>
  <si>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</si>
  <si>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</si>
  <si>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710000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</si>
  <si>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</si>
  <si>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</si>
  <si>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</si>
  <si>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</si>
  <si>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</si>
  <si>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</si>
  <si>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Kurzové straty</t>
  </si>
  <si>
    <t>Vyfakturované nároky za vykonanú prácu na zákazkovej výrobe</t>
  </si>
  <si>
    <t>54</t>
  </si>
  <si>
    <t>1.a.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</si>
  <si>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</si>
  <si>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</si>
  <si>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</si>
  <si>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</si>
  <si>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</si>
  <si>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</si>
  <si>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</si>
  <si>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</si>
  <si>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</si>
  <si>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</si>
  <si>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527</t>
  </si>
  <si>
    <t>Goodwill (015) - /075,091A/</t>
  </si>
  <si>
    <t>Materiál</t>
  </si>
  <si>
    <t>Oprávky k samostat.hnut.veciam a súborom</t>
  </si>
  <si>
    <t>261000</t>
  </si>
  <si>
    <t>C.   1.</t>
  </si>
  <si>
    <t>Čistá hodnota zákazky (316A)</t>
  </si>
  <si>
    <t>A. IV.</t>
  </si>
  <si>
    <t>Bezprostredne predchádzajúce účtovné obdobie</t>
  </si>
  <si>
    <t>Mena</t>
  </si>
  <si>
    <t>Ostatné finančné náklady</t>
  </si>
  <si>
    <t>Dary</t>
  </si>
  <si>
    <t>221000</t>
  </si>
  <si>
    <t>Pohľadávky z obchodného styku</t>
  </si>
  <si>
    <t>A.VI.1.</t>
  </si>
  <si>
    <t>Tvorba OP</t>
  </si>
  <si>
    <t>428</t>
  </si>
  <si>
    <t>Tvorba 
OP</t>
  </si>
  <si>
    <t>027</t>
  </si>
  <si>
    <t>Stav  OP na konci účtovného obdobia</t>
  </si>
  <si>
    <t>OFN - poist.</t>
  </si>
  <si>
    <t>107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</si>
  <si>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</si>
  <si>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</si>
  <si>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</si>
  <si>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</si>
  <si>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Konečný zostatok sociálneho fondu</t>
  </si>
  <si>
    <t>343819</t>
  </si>
  <si>
    <t>F.</t>
  </si>
  <si>
    <t>Účty v bankách s dobou viazanosti dhšou ako 1 rok (22XA)</t>
  </si>
  <si>
    <t>115</t>
  </si>
  <si>
    <t>Spotreba materiálu</t>
  </si>
  <si>
    <t>30</t>
  </si>
  <si>
    <t>Zmena základného imania +/- 419</t>
  </si>
  <si>
    <t>17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</si>
  <si>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</si>
  <si>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</si>
  <si>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</si>
  <si>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</si>
  <si>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</si>
  <si>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</si>
  <si>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</si>
  <si>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</si>
  <si>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</si>
  <si>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</si>
  <si>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</si>
  <si>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</si>
  <si>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</si>
  <si>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Ostatné fondy ( 427, 42X )</t>
  </si>
  <si>
    <t>Výsledok hospodárenia pred  zdanením, z toho:</t>
  </si>
  <si>
    <t>Obchodné meno a sídlo spoločnosti, v ktorej má ÚJ umiestnený DFM</t>
  </si>
  <si>
    <t>040</t>
  </si>
  <si>
    <t>Ostatné dlhodobé zázäzky ( 479A, 47XA )</t>
  </si>
  <si>
    <t>Iné záväzky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</si>
  <si>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</si>
  <si>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</si>
  <si>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</si>
  <si>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</si>
  <si>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</si>
  <si>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</si>
  <si>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</si>
  <si>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</si>
  <si>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</si>
  <si>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</si>
  <si>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</si>
  <si>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311000</t>
  </si>
  <si>
    <t>Ostatné záväzky voči prepojeným ÚJ (361A,36XA,471A,47XA)</t>
  </si>
  <si>
    <t>381000</t>
  </si>
  <si>
    <t>11.</t>
  </si>
  <si>
    <t>Dlhodobé záväzky spolu</t>
  </si>
  <si>
    <t>321000</t>
  </si>
  <si>
    <t>E.</t>
  </si>
  <si>
    <t>045</t>
  </si>
  <si>
    <t>563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</si>
  <si>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</si>
  <si>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</si>
  <si>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</si>
  <si>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</si>
  <si>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</si>
  <si>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</si>
  <si>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</si>
  <si>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</si>
  <si>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343000</t>
  </si>
  <si>
    <t>548</t>
  </si>
  <si>
    <t>Krátkodobý fin.maj.bez krátkod.fin.maj. v prepojených ÚJ (251A,253A,256A,257A,25XA) - /291A,29XA/</t>
  </si>
  <si>
    <t>501674</t>
  </si>
  <si>
    <t>Samostat. hnuteľné veci a súbory h. vecí</t>
  </si>
  <si>
    <t>Do splatnosti do jedného roka vrátane</t>
  </si>
  <si>
    <t>Reprezentačné</t>
  </si>
  <si>
    <t>Str.lístky</t>
  </si>
  <si>
    <t>538</t>
  </si>
  <si>
    <t>Oceniteľné práva</t>
  </si>
  <si>
    <t>Ostatné priame dane</t>
  </si>
  <si>
    <t>E.1.</t>
  </si>
  <si>
    <t>B.IV. 1.</t>
  </si>
  <si>
    <t>Suma prijatých preddavkov</t>
  </si>
  <si>
    <t>61</t>
  </si>
  <si>
    <t>licencia</t>
  </si>
  <si>
    <t>022100</t>
  </si>
  <si>
    <t>11</t>
  </si>
  <si>
    <t>Vyradenie pôžičky z účtovníctva 
v účtovnom období</t>
  </si>
  <si>
    <t>sp</t>
  </si>
  <si>
    <t>091</t>
  </si>
  <si>
    <t>126</t>
  </si>
  <si>
    <t>048</t>
  </si>
  <si>
    <t>Prídel do štatutárnych a ostatných fondov</t>
  </si>
  <si>
    <t>022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</si>
  <si>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</si>
  <si>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</si>
  <si>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</si>
  <si>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</si>
  <si>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</si>
  <si>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</si>
  <si>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</si>
  <si>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342</t>
  </si>
  <si>
    <t>097</t>
  </si>
  <si>
    <t>Krátkodobé záväzky  súčet ( r. 123 + r. 127 až r. 135)</t>
  </si>
  <si>
    <t>604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</si>
  <si>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</si>
  <si>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</si>
  <si>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</si>
  <si>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</si>
  <si>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</si>
  <si>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</si>
  <si>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Predané cenné papiere a podiely (561)</t>
  </si>
  <si>
    <t>Hodnota za bežné účtovné obdobie</t>
  </si>
  <si>
    <t>Zabezpečovaná položka</t>
  </si>
  <si>
    <t>**</t>
  </si>
  <si>
    <t>Zúčtovanie OP z dôvodu zániku opodstatnenosti</t>
  </si>
  <si>
    <t>zp</t>
  </si>
  <si>
    <t>Emisný kurz</t>
  </si>
  <si>
    <t>39</t>
  </si>
  <si>
    <t>078</t>
  </si>
  <si>
    <t>331000</t>
  </si>
  <si>
    <t>075</t>
  </si>
  <si>
    <t>110</t>
  </si>
  <si>
    <t>Sadzba dane z príjmov ( v %)</t>
  </si>
  <si>
    <t>Zúčt. s inštitúciami soc. zabezpečenia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</si>
  <si>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</si>
  <si>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</si>
  <si>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</si>
  <si>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</si>
  <si>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</si>
  <si>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008</t>
  </si>
  <si>
    <t>počet vedúcich zamestnancov</t>
  </si>
  <si>
    <t>Dlhodobý hmotný majetok súčet (r. 012 až 020)</t>
  </si>
  <si>
    <t>***</t>
  </si>
  <si>
    <t>211000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</si>
  <si>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</si>
  <si>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</si>
  <si>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</si>
  <si>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</si>
  <si>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</si>
  <si>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</si>
  <si>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</si>
  <si>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</si>
  <si>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</si>
  <si>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</si>
  <si>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336100</t>
  </si>
  <si>
    <t>Pohľadávky voči dcérskej účtovnej jednotke a materskej účtovnej jednotke</t>
  </si>
  <si>
    <t>092</t>
  </si>
  <si>
    <t>518000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</si>
  <si>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</si>
  <si>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</si>
  <si>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</si>
  <si>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</si>
  <si>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</si>
  <si>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</si>
  <si>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Daň z príjmov z bež. čin. - splatná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</si>
  <si>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</si>
  <si>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</si>
  <si>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</si>
  <si>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</si>
  <si>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</si>
  <si>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</si>
  <si>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213100</t>
  </si>
  <si>
    <t>061</t>
  </si>
  <si>
    <t>Pozemky</t>
  </si>
  <si>
    <t>Podielové CP a podiely 
v spoločnosti
s podstatným
vplyvom</t>
  </si>
  <si>
    <t>Tržby za tovar</t>
  </si>
  <si>
    <t>524</t>
  </si>
  <si>
    <t>213</t>
  </si>
  <si>
    <t>Nákladové úroky na prepojené ÚJ ( 562A )</t>
  </si>
  <si>
    <t>001</t>
  </si>
  <si>
    <t>Pohľadávky voči spoločníkom,členom a združeniu (354A,355A,358A,35XA,398A) -/391A/</t>
  </si>
  <si>
    <t>563000</t>
  </si>
  <si>
    <t>IX.1.</t>
  </si>
  <si>
    <t>431</t>
  </si>
  <si>
    <t>501201</t>
  </si>
  <si>
    <t>44</t>
  </si>
  <si>
    <t>022200</t>
  </si>
  <si>
    <t>Záväzky voči spoločníkom a združeniu ( 364, 365, 366, 367, 368, 398A, 478A, 479A)</t>
  </si>
  <si>
    <t>Ostatné náklady na hosp.činnosť</t>
  </si>
  <si>
    <t>511101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</si>
  <si>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</si>
  <si>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</si>
  <si>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</si>
  <si>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</si>
  <si>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A. III.</t>
  </si>
  <si>
    <t>9. Informácie k časti F. písm. j) a l) prílohy č. 3 o dlhových CP držaných do splatnosti</t>
  </si>
  <si>
    <t>Záväzky z obchodného styku súčet (r. 124 až r. 126)</t>
  </si>
  <si>
    <t>022300</t>
  </si>
  <si>
    <t>311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</si>
  <si>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</si>
  <si>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</si>
  <si>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</si>
  <si>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</si>
  <si>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</si>
  <si>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</si>
  <si>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</si>
  <si>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</si>
  <si>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/>
  </si>
  <si>
    <t>341</t>
  </si>
  <si>
    <t>046</t>
  </si>
  <si>
    <t>Umorenie daňovej straty</t>
  </si>
  <si>
    <t>Sociálne poistenie</t>
  </si>
  <si>
    <t>343100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</si>
  <si>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</si>
  <si>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</si>
  <si>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</si>
  <si>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Ostatné náklady na hospodársku činnosť</t>
  </si>
  <si>
    <t>42</t>
  </si>
  <si>
    <t>Deriváty určené na obchodovanie, z toho:</t>
  </si>
  <si>
    <t>Zvýšenie hodnoty</t>
  </si>
  <si>
    <t>055</t>
  </si>
  <si>
    <t>Výnosy budúcich období krátkodobé ( 384A )</t>
  </si>
  <si>
    <t>047</t>
  </si>
  <si>
    <t>108</t>
  </si>
  <si>
    <t>Tvorba</t>
  </si>
  <si>
    <t>zaloha na stravovanie</t>
  </si>
  <si>
    <t>Záväzky voči spoloč. pri rozdel. zisku</t>
  </si>
  <si>
    <t>Zásoby spolu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</si>
  <si>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</si>
  <si>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</si>
  <si>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</si>
  <si>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</si>
  <si>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</si>
  <si>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</si>
  <si>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</si>
  <si>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343919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</si>
  <si>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</si>
  <si>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</si>
  <si>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</si>
  <si>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</si>
  <si>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</si>
  <si>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</si>
  <si>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</si>
  <si>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</si>
  <si>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</si>
  <si>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321</t>
  </si>
  <si>
    <t>Ostatné pohľadávky voči prepojeným ÚJ ( 351A )-/391A/</t>
  </si>
  <si>
    <t>Iné pohľadávky (335A,336A,33XA,371A,374A,375A,378A)-/391A/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</si>
  <si>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</si>
  <si>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</si>
  <si>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</si>
  <si>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</si>
  <si>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phm MA478 VW</t>
  </si>
  <si>
    <t>096</t>
  </si>
  <si>
    <t>Použité skratky:</t>
  </si>
  <si>
    <t>Opravná položka k nadobudnut.majetku  ( +/-097, +/-098 )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</si>
  <si>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</si>
  <si>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</si>
  <si>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</si>
  <si>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</si>
  <si>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</si>
  <si>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333100</t>
  </si>
  <si>
    <t>XIII.</t>
  </si>
  <si>
    <t>093</t>
  </si>
  <si>
    <t>G.1.</t>
  </si>
  <si>
    <t>Pohľ.z obch.styku v rámci pod.účasti okrem pohľ.voči prep.ÚJ (311A,312A,313A,314A,315A,31XA)-/391A/</t>
  </si>
  <si>
    <t>031</t>
  </si>
  <si>
    <t>023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</si>
  <si>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</si>
  <si>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</si>
  <si>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</si>
  <si>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</si>
  <si>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</si>
  <si>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>335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</si>
  <si>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</si>
  <si>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</si>
  <si>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</si>
  <si>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</si>
  <si>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</si>
  <si>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</si>
  <si>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</si>
  <si>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</si>
  <si>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</si>
  <si>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</si>
  <si>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</si>
  <si>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Výnosové úroky od prepojených ÚJ (662A)</t>
  </si>
  <si>
    <t>súvisiace audítorské služby</t>
  </si>
  <si>
    <t>122</t>
  </si>
  <si>
    <t>547000</t>
  </si>
  <si>
    <t>060</t>
  </si>
  <si>
    <t>Tvorba sociálneho fondu na ťarchu nákladov</t>
  </si>
  <si>
    <t>019</t>
  </si>
  <si>
    <t>090</t>
  </si>
  <si>
    <t>104</t>
  </si>
  <si>
    <t>Záväzky so zostatkovou dobou splatnosti 
jeden rok až päť rokov</t>
  </si>
  <si>
    <t>20</t>
  </si>
  <si>
    <t>411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</si>
  <si>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</si>
  <si>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</si>
  <si>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</si>
  <si>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</si>
  <si>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</si>
  <si>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314100</t>
  </si>
  <si>
    <t>phm MA674  ŠF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</si>
  <si>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</si>
  <si>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</si>
  <si>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</si>
  <si>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</si>
  <si>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</si>
  <si>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r>
      <t>Krátkodobé pôžičky</t>
    </r>
    <r>
      <rPr>
        <sz val="8"/>
        <color theme="1"/>
        <rFont val="Arial"/>
        <family val="2"/>
      </rPr>
      <t> </t>
    </r>
  </si>
  <si>
    <t>Záväzky z obchodného styku voči prepojeným ÚJ (321A,475A,476A)</t>
  </si>
  <si>
    <t>379000</t>
  </si>
  <si>
    <t xml:space="preserve">Výnosy zo zákazkovej výstavby nehnuteľnosti určenej na predaj </t>
  </si>
  <si>
    <t>Cestná daň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</si>
  <si>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</si>
  <si>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</si>
  <si>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</si>
  <si>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</si>
  <si>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</si>
  <si>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</si>
  <si>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DzMV</t>
  </si>
  <si>
    <t>Pestov. celky trvalých porastov ( 025 ) - / 085, 092A/</t>
  </si>
  <si>
    <t>Podielové CP a podiely v DÚJ</t>
  </si>
  <si>
    <t>Vlastné imanie r.081+r.085+r.086+r.087+r.090+r.093+r.097+r.100</t>
  </si>
  <si>
    <t>A.VI.</t>
  </si>
  <si>
    <t>Záväzky z kúpy podniku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</si>
  <si>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</si>
  <si>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</si>
  <si>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</si>
  <si>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</si>
  <si>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</si>
  <si>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527001</t>
  </si>
  <si>
    <t>Daňovo neuznané náklady</t>
  </si>
  <si>
    <t>Korekcia v bežnom
účtovnom období</t>
  </si>
  <si>
    <t>511</t>
  </si>
  <si>
    <t>518200</t>
  </si>
  <si>
    <t>Prírastky</t>
  </si>
  <si>
    <t>00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</si>
  <si>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</si>
  <si>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</si>
  <si>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</si>
  <si>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</si>
  <si>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</si>
  <si>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</si>
  <si>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538000</t>
  </si>
  <si>
    <t>028</t>
  </si>
  <si>
    <t>Názov syntetického účtu</t>
  </si>
  <si>
    <t>Rozdelenie podielu na zisku spoločníkom, členom</t>
  </si>
  <si>
    <t>372000</t>
  </si>
  <si>
    <t>nedan.nakl.</t>
  </si>
  <si>
    <t>55</t>
  </si>
  <si>
    <t>Opravné položky</t>
  </si>
  <si>
    <t>Ostatný DHM</t>
  </si>
  <si>
    <t>Skutočnosť v účtovnom
období minulom</t>
  </si>
  <si>
    <t>Iné pohľadávky</t>
  </si>
  <si>
    <t>IČO – identifikačné číslo organizácie</t>
  </si>
  <si>
    <t>B. VI.</t>
  </si>
  <si>
    <t>15</t>
  </si>
  <si>
    <t>Vstup nadobudn. tovaru z EÚ 20%</t>
  </si>
  <si>
    <t>071</t>
  </si>
  <si>
    <t>Náklady budúcich období</t>
  </si>
  <si>
    <t>331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</si>
  <si>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</si>
  <si>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</si>
  <si>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</si>
  <si>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</si>
  <si>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</si>
  <si>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Výsledok hospodárenia za účtovné obdobie pred zdanením (+/-) (r.27+r.55)</t>
  </si>
  <si>
    <t>Záväzok vykázaný v súvahe</t>
  </si>
  <si>
    <t>PSČ – poštové smerovacie číslo</t>
  </si>
  <si>
    <t>Nehnuteľnosť na predaj</t>
  </si>
  <si>
    <t>záväzku</t>
  </si>
  <si>
    <t>Tžby z predaja služieb ( 602, 606 )</t>
  </si>
  <si>
    <t>391</t>
  </si>
  <si>
    <t>043</t>
  </si>
  <si>
    <t>Záväzky z obchodného styku voči prepojeným ÚJ (321A,322A,324A,325A,326A,32XA,475A,476A,478A,47XA)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</si>
  <si>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</si>
  <si>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</si>
  <si>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</si>
  <si>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</si>
  <si>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</si>
  <si>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</si>
  <si>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</si>
  <si>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</si>
  <si>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</si>
  <si>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</si>
  <si>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</si>
  <si>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</si>
  <si>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</si>
  <si>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VIII.</t>
  </si>
  <si>
    <t>Výnosy z cenných papierov a podielov od prepojených ÚJ (665 A)</t>
  </si>
  <si>
    <t>VI.</t>
  </si>
  <si>
    <t>18</t>
  </si>
  <si>
    <t>Nerozdelený zisk z minulých rokov ( 428 )</t>
  </si>
  <si>
    <t>*</t>
  </si>
  <si>
    <t>Obstarávaný dlhodobý hmotný majetok ( 042 ) - /094/</t>
  </si>
  <si>
    <t>Iné dlhodobé záväzky ( 336A, 372A, 474A, 47XA)</t>
  </si>
  <si>
    <t>-dopravne prostriedky</t>
  </si>
  <si>
    <t>314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</si>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</sst>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>
  <numFmts count="1">
    <numFmt numFmtId="164" formatCode="#,##0.00\ [$€-1]"/>
  </numFmts>
  <fonts count="18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82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 applyBorder="1"/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 applyBorder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49" fontId="4" fillId="0" borderId="0" xfId="0" applyNumberFormat="1" applyFont="1" applyBorder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Border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Border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 applyBorder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Border="1" applyAlignment="1">
      <alignment horizontal="left" vertical="top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164" fontId="4" fillId="0" borderId="0" xfId="0" applyNumberFormat="1" applyFont="1" applyBorder="1"/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wrapText="1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 2" xfId="2"/>
    <cellStyle name="normálne" xfId="0" builtinId="0"/>
    <cellStyle name="percentá" xfId="1" builtinId="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37"/>
  <sheetViews>
    <sheetView showGridLines="0" topLeftCell="A31" zoomScaleSheetLayoutView="100" workbookViewId="0"/>
  </sheetViews>
  <sheetFormatPr defaultRowHeight="15"/>
  <cols>
    <col min="1" max="1" width="22" customWidth="1"/>
    <col min="2" max="2" width="21.5703125" customWidth="1"/>
  </cols>
  <sheetData>
    <row r="1" spans="1:2">
      <c r="A1" t="s">
        <v>262</v>
      </c>
    </row>
    <row r="2" spans="1:2">
      <c r="A2" t="s">
        <v>1035</v>
      </c>
    </row>
    <row r="3" spans="1:2">
      <c r="A3" t="s">
        <v>581</v>
      </c>
    </row>
    <row r="4" spans="1:2">
      <c r="A4" t="s">
        <v>644</v>
      </c>
    </row>
    <row r="5" spans="1:2">
      <c r="A5" t="s">
        <v>6</v>
      </c>
    </row>
    <row r="6" spans="1:2">
      <c r="A6" t="s">
        <v>339</v>
      </c>
    </row>
    <row r="7" spans="1:2">
      <c r="A7" t="s">
        <v>162</v>
      </c>
    </row>
    <row r="8" spans="1:2">
      <c r="A8" t="s">
        <v>593</v>
      </c>
    </row>
    <row r="9" spans="1:2">
      <c r="A9" t="s">
        <v>404</v>
      </c>
    </row>
    <row r="10" spans="1:2">
      <c r="A10" t="s">
        <v>706</v>
      </c>
    </row>
    <row r="11" spans="1:2">
      <c r="A11" s="39" t="s">
        <v>209</v>
      </c>
      <c r="B11" s="39" t="s">
        <v>176</v>
      </c>
    </row>
    <row r="12" spans="1:2">
      <c r="A12" s="149">
        <v>1</v>
      </c>
      <c r="B12" s="52" t="s">
        <v>476</v>
      </c>
    </row>
    <row r="13" spans="1:2">
      <c r="A13" s="149">
        <v>2</v>
      </c>
      <c r="B13" s="52" t="s">
        <v>102</v>
      </c>
    </row>
    <row r="14" spans="1:2">
      <c r="A14" s="149">
        <v>3</v>
      </c>
      <c r="B14" s="52" t="s">
        <v>748</v>
      </c>
    </row>
    <row r="15" spans="1:2">
      <c r="A15" s="149">
        <v>4</v>
      </c>
      <c r="B15" s="52" t="s">
        <v>592</v>
      </c>
    </row>
    <row r="16" spans="1:2">
      <c r="A16" s="149">
        <v>5</v>
      </c>
      <c r="B16" s="52" t="s">
        <v>809</v>
      </c>
    </row>
    <row r="17" spans="1:2">
      <c r="A17" s="149">
        <v>6</v>
      </c>
      <c r="B17" s="52" t="s">
        <v>141</v>
      </c>
    </row>
    <row r="18" spans="1:2">
      <c r="A18" s="149">
        <v>7</v>
      </c>
      <c r="B18" s="52" t="s">
        <v>862</v>
      </c>
    </row>
    <row r="19" spans="1:2">
      <c r="A19" s="149">
        <v>8</v>
      </c>
      <c r="B19" s="52" t="s">
        <v>76</v>
      </c>
    </row>
    <row r="20" spans="1:2">
      <c r="A20" s="149">
        <v>9</v>
      </c>
      <c r="B20" s="52" t="s">
        <v>629</v>
      </c>
    </row>
    <row r="21" spans="1:2">
      <c r="A21" s="149">
        <v>10</v>
      </c>
      <c r="B21" s="52" t="s">
        <v>231</v>
      </c>
    </row>
    <row r="22" spans="1:2">
      <c r="A22" s="149">
        <v>11</v>
      </c>
      <c r="B22" s="52" t="s">
        <v>329</v>
      </c>
    </row>
    <row r="24" spans="1:2">
      <c r="A24" t="s">
        <v>970</v>
      </c>
    </row>
    <row r="25" spans="1:2">
      <c r="A25" t="s">
        <v>586</v>
      </c>
    </row>
    <row r="26" spans="1:2">
      <c r="A26" t="s">
        <v>654</v>
      </c>
    </row>
    <row r="27" spans="1:2">
      <c r="A27" t="s">
        <v>88</v>
      </c>
    </row>
    <row r="28" spans="1:2">
      <c r="A28" t="s">
        <v>147</v>
      </c>
    </row>
    <row r="29" spans="1:2">
      <c r="A29" t="s">
        <v>24</v>
      </c>
    </row>
    <row r="30" spans="1:2">
      <c r="A30" t="s">
        <v>473</v>
      </c>
    </row>
    <row r="31" spans="1:2">
      <c r="A31" t="s">
        <v>82</v>
      </c>
    </row>
    <row r="32" spans="1:2">
      <c r="A32" t="s">
        <v>1071</v>
      </c>
    </row>
    <row r="33" spans="1:1">
      <c r="A33" t="s">
        <v>959</v>
      </c>
    </row>
    <row r="34" spans="1:1">
      <c r="A34" t="s">
        <v>1085</v>
      </c>
    </row>
    <row r="35" spans="1:1">
      <c r="A35" t="s">
        <v>1117</v>
      </c>
    </row>
    <row r="36" spans="1:1">
      <c r="A36" t="s">
        <v>789</v>
      </c>
    </row>
    <row r="37" spans="1:1">
      <c r="A37" t="s">
        <v>447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J8"/>
  <sheetViews>
    <sheetView showGridLines="0" zoomScaleSheetLayoutView="100" workbookViewId="0"/>
  </sheetViews>
  <sheetFormatPr defaultRowHeight="15"/>
  <cols>
    <col min="1" max="1" width="17.140625" customWidth="1"/>
    <col min="2" max="2" width="12.42578125" customWidth="1"/>
    <col min="3" max="7" width="11.42578125" customWidth="1"/>
  </cols>
  <sheetData>
    <row r="1" spans="1:10" ht="17.25" thickBot="1">
      <c r="A1" s="44" t="s">
        <v>911</v>
      </c>
    </row>
    <row r="2" spans="1:10" ht="74.25" customHeight="1" thickTop="1" thickBot="1">
      <c r="A2" s="211" t="s">
        <v>588</v>
      </c>
      <c r="B2" s="211" t="s">
        <v>249</v>
      </c>
      <c r="C2" s="47" t="s">
        <v>229</v>
      </c>
      <c r="D2" s="211" t="s">
        <v>935</v>
      </c>
      <c r="E2" s="211" t="s">
        <v>753</v>
      </c>
      <c r="F2" s="47" t="s">
        <v>478</v>
      </c>
      <c r="G2" s="211" t="s">
        <v>471</v>
      </c>
    </row>
    <row r="3" spans="1:10" ht="27" customHeight="1" thickTop="1" thickBot="1">
      <c r="A3" s="174" t="s">
        <v>628</v>
      </c>
      <c r="B3" s="31"/>
      <c r="C3" s="22"/>
      <c r="D3" s="22"/>
      <c r="E3" s="22"/>
      <c r="F3" s="22"/>
      <c r="G3" s="230">
        <f>SUM(C3:F3)</f>
        <v>0</v>
      </c>
    </row>
    <row r="4" spans="1:10" ht="34.5" thickBot="1">
      <c r="A4" s="174" t="s">
        <v>355</v>
      </c>
      <c r="B4" s="158"/>
      <c r="C4" s="41"/>
      <c r="D4" s="41"/>
      <c r="E4" s="41"/>
      <c r="F4" s="41"/>
      <c r="G4" s="128">
        <f>SUM(C4:F4)</f>
        <v>0</v>
      </c>
    </row>
    <row r="5" spans="1:10" ht="34.5" thickBot="1">
      <c r="A5" s="174" t="s">
        <v>788</v>
      </c>
      <c r="B5" s="158"/>
      <c r="C5" s="41"/>
      <c r="D5" s="41"/>
      <c r="E5" s="41"/>
      <c r="F5" s="41"/>
      <c r="G5" s="128">
        <f>SUM(C5:F5)</f>
        <v>0</v>
      </c>
    </row>
    <row r="6" spans="1:10" ht="27" customHeight="1" thickBot="1">
      <c r="A6" s="174" t="s">
        <v>799</v>
      </c>
      <c r="B6" s="158"/>
      <c r="C6" s="41"/>
      <c r="D6" s="41"/>
      <c r="E6" s="41"/>
      <c r="F6" s="41"/>
      <c r="G6" s="128">
        <f>SUM(C6:F6)</f>
        <v>0</v>
      </c>
    </row>
    <row r="7" spans="1:10" ht="27" customHeight="1" thickBot="1">
      <c r="A7" s="129" t="s">
        <v>685</v>
      </c>
      <c r="B7" s="204" t="s">
        <v>62</v>
      </c>
      <c r="C7" s="14"/>
      <c r="D7" s="14"/>
      <c r="E7" s="14"/>
      <c r="F7" s="14"/>
      <c r="G7" s="64">
        <f>SUMIF(HK!A:A,"065*",HK!K:K)-SUMIF(HK!A:A,"065*",HK!L:L)</f>
        <v>0</v>
      </c>
      <c r="J7" s="156"/>
    </row>
    <row r="8" spans="1:10" ht="15.75" thickTop="1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F8"/>
  <sheetViews>
    <sheetView showGridLines="0" zoomScaleSheetLayoutView="100" workbookViewId="0"/>
  </sheetViews>
  <sheetFormatPr defaultRowHeight="15"/>
  <cols>
    <col min="1" max="1" width="20.42578125" customWidth="1"/>
    <col min="2" max="6" width="13.28515625" customWidth="1"/>
    <col min="7" max="7" width="17.5703125" customWidth="1"/>
  </cols>
  <sheetData>
    <row r="1" spans="1:6" ht="17.25" thickBot="1">
      <c r="A1" s="44" t="s">
        <v>153</v>
      </c>
    </row>
    <row r="2" spans="1:6" ht="58.5" customHeight="1" thickTop="1" thickBot="1">
      <c r="A2" s="211" t="s">
        <v>618</v>
      </c>
      <c r="B2" s="47" t="s">
        <v>229</v>
      </c>
      <c r="C2" s="211" t="s">
        <v>935</v>
      </c>
      <c r="D2" s="211" t="s">
        <v>753</v>
      </c>
      <c r="E2" s="211" t="s">
        <v>812</v>
      </c>
      <c r="F2" s="47" t="s">
        <v>80</v>
      </c>
    </row>
    <row r="3" spans="1:6" ht="27" customHeight="1" thickTop="1" thickBot="1">
      <c r="A3" s="174" t="s">
        <v>628</v>
      </c>
      <c r="B3" s="41"/>
      <c r="C3" s="41"/>
      <c r="D3" s="41"/>
      <c r="E3" s="41"/>
      <c r="F3" s="128">
        <f>SUM(B3:E3)</f>
        <v>0</v>
      </c>
    </row>
    <row r="4" spans="1:6" ht="27" customHeight="1" thickBot="1">
      <c r="A4" s="174" t="s">
        <v>787</v>
      </c>
      <c r="B4" s="41"/>
      <c r="C4" s="41"/>
      <c r="D4" s="41"/>
      <c r="E4" s="41"/>
      <c r="F4" s="128">
        <f>SUM(B4:E4)</f>
        <v>0</v>
      </c>
    </row>
    <row r="5" spans="1:6" ht="27" customHeight="1" thickBot="1">
      <c r="A5" s="174" t="s">
        <v>770</v>
      </c>
      <c r="B5" s="41"/>
      <c r="C5" s="41"/>
      <c r="D5" s="41"/>
      <c r="E5" s="41"/>
      <c r="F5" s="128">
        <f>SUM(B5:E5)</f>
        <v>0</v>
      </c>
    </row>
    <row r="6" spans="1:6" ht="27" customHeight="1" thickBot="1">
      <c r="A6" s="174" t="s">
        <v>799</v>
      </c>
      <c r="B6" s="41"/>
      <c r="C6" s="41"/>
      <c r="D6" s="41"/>
      <c r="E6" s="41"/>
      <c r="F6" s="128">
        <f>SUM(B6:E6)</f>
        <v>0</v>
      </c>
    </row>
    <row r="7" spans="1:6" ht="27" customHeight="1" thickBot="1">
      <c r="A7" s="129" t="s">
        <v>180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22">
        <f>SUM(F3:F6)</f>
        <v>0</v>
      </c>
    </row>
    <row r="8" spans="1:6" ht="15.75" thickTop="1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50"/>
  </sheetPr>
  <dimension ref="A1:H13"/>
  <sheetViews>
    <sheetView showGridLines="0" zoomScaleSheetLayoutView="100" workbookViewId="0"/>
  </sheetViews>
  <sheetFormatPr defaultRowHeight="15"/>
  <cols>
    <col min="1" max="1" width="18.5703125" customWidth="1"/>
    <col min="2" max="6" width="13.5703125" customWidth="1"/>
    <col min="7" max="7" width="17.5703125" customWidth="1"/>
  </cols>
  <sheetData>
    <row r="1" spans="1:8" ht="16.5">
      <c r="A1" s="44" t="s">
        <v>414</v>
      </c>
    </row>
    <row r="2" spans="1:8" ht="17.25" thickBot="1">
      <c r="A2" s="251" t="s">
        <v>214</v>
      </c>
    </row>
    <row r="3" spans="1:8" ht="16.5" thickTop="1" thickBot="1">
      <c r="A3" s="252" t="s">
        <v>71</v>
      </c>
      <c r="B3" s="257" t="s">
        <v>115</v>
      </c>
      <c r="C3" s="258"/>
      <c r="D3" s="258"/>
      <c r="E3" s="258"/>
      <c r="F3" s="259"/>
    </row>
    <row r="4" spans="1:8" ht="60" customHeight="1" thickTop="1" thickBot="1">
      <c r="A4" s="266"/>
      <c r="B4" s="187" t="s">
        <v>931</v>
      </c>
      <c r="C4" s="184" t="s">
        <v>729</v>
      </c>
      <c r="D4" s="187" t="s">
        <v>55</v>
      </c>
      <c r="E4" s="184" t="s">
        <v>377</v>
      </c>
      <c r="F4" s="187" t="s">
        <v>497</v>
      </c>
    </row>
    <row r="5" spans="1:8" ht="23.25" customHeight="1" thickTop="1" thickBot="1">
      <c r="A5" s="174" t="s">
        <v>714</v>
      </c>
      <c r="B5" s="139">
        <f>SUMIF(HK!A:A,"191*",HK!D:D)-SUMIF(HK!A:A,"191*",HK!C:C)</f>
        <v>0</v>
      </c>
      <c r="C5" s="41"/>
      <c r="D5" s="41"/>
      <c r="E5" s="41"/>
      <c r="F5" s="139">
        <f>SUMIF(HK!A:A,"191*",HK!L:L)-SUMIF(HK!A:A,"191*",HK!K:K)</f>
        <v>0</v>
      </c>
      <c r="H5" s="156"/>
    </row>
    <row r="6" spans="1:8" ht="34.5" thickBot="1">
      <c r="A6" s="174" t="s">
        <v>186</v>
      </c>
      <c r="B6" s="139">
        <f>SUMIF(HK!A:A,"192*",HK!D:D)-SUMIF(HK!A:A,"192*",HK!C:C)+SUMIF(HK!A:A,"193*",HK!D:D)-SUMIF(HK!A:A,"193*",HK!C:C)</f>
        <v>0</v>
      </c>
      <c r="C6" s="41"/>
      <c r="D6" s="41"/>
      <c r="E6" s="41"/>
      <c r="F6" s="139">
        <f>SUMIF(HK!A:A,"192*",HK!L:L)-SUMIF(HK!A:A,"192*",HK!K:K)+SUMIF(HK!A:A,"193*",HK!L:L)-SUMIF(HK!A:A,"193*",HK!K:K)</f>
        <v>0</v>
      </c>
      <c r="H6" s="156"/>
    </row>
    <row r="7" spans="1:8" ht="23.25" customHeight="1" thickBot="1">
      <c r="A7" s="174" t="s">
        <v>37</v>
      </c>
      <c r="B7" s="139">
        <f>SUMIF(HK!A:A,"194*",HK!D:D)-SUMIF(HK!A:A,"194*",HK!C:C)</f>
        <v>0</v>
      </c>
      <c r="C7" s="241"/>
      <c r="D7" s="241"/>
      <c r="E7" s="241"/>
      <c r="F7" s="139">
        <f>SUMIF(HK!A:A,"194*",HK!L:L)-SUMIF(HK!A:A,"194*",HK!K:K)</f>
        <v>0</v>
      </c>
      <c r="H7" s="156"/>
    </row>
    <row r="8" spans="1:8" ht="23.25" customHeight="1" thickBot="1">
      <c r="A8" s="174" t="s">
        <v>206</v>
      </c>
      <c r="B8" s="139">
        <f>SUMIF(HK!A:A,"195*",HK!D:D)-SUMIF(HK!A:A,"195*",HK!C:C)</f>
        <v>0</v>
      </c>
      <c r="C8" s="241"/>
      <c r="D8" s="241"/>
      <c r="E8" s="241"/>
      <c r="F8" s="139">
        <f>SUMIF(HK!A:A,"195*",HK!L:L)-SUMIF(HK!A:A,"195*",HK!K:K)</f>
        <v>0</v>
      </c>
      <c r="H8" s="156"/>
    </row>
    <row r="9" spans="1:8" ht="23.25" customHeight="1" thickBot="1">
      <c r="A9" s="174" t="s">
        <v>61</v>
      </c>
      <c r="B9" s="139">
        <f>SUMIF(HK!A:A,"196*",HK!D:D)-SUMIF(HK!A:A,"196*",HK!C:C)</f>
        <v>0</v>
      </c>
      <c r="C9" s="241"/>
      <c r="D9" s="241"/>
      <c r="E9" s="241"/>
      <c r="F9" s="139">
        <f>SUMIF(HK!A:A,"196*",HK!L:L)-SUMIF(HK!A:A,"196*",HK!K:K)</f>
        <v>0</v>
      </c>
      <c r="H9" s="156"/>
    </row>
    <row r="10" spans="1:8" ht="23.25" customHeight="1" thickBot="1">
      <c r="A10" s="174" t="s">
        <v>1086</v>
      </c>
      <c r="B10" s="165"/>
      <c r="C10" s="165"/>
      <c r="D10" s="165"/>
      <c r="E10" s="165"/>
      <c r="F10" s="128">
        <f>SUM(B10:E10)</f>
        <v>0</v>
      </c>
    </row>
    <row r="11" spans="1:8" ht="23.25" customHeight="1" thickBot="1">
      <c r="A11" s="174" t="s">
        <v>215</v>
      </c>
      <c r="B11" s="165"/>
      <c r="C11" s="165"/>
      <c r="D11" s="165"/>
      <c r="E11" s="165"/>
      <c r="F11" s="128">
        <f>SUM(B11:E11)</f>
        <v>0</v>
      </c>
    </row>
    <row r="12" spans="1:8" ht="23.25" customHeight="1" thickBot="1">
      <c r="A12" s="129" t="s">
        <v>943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22">
        <f>SUM(F5:F11)</f>
        <v>0</v>
      </c>
    </row>
    <row r="13" spans="1:8" ht="17.25" thickTop="1">
      <c r="A13" s="251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B7"/>
  <sheetViews>
    <sheetView showGridLines="0" zoomScaleSheetLayoutView="100" workbookViewId="0"/>
  </sheetViews>
  <sheetFormatPr defaultRowHeight="1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>
      <c r="A1" s="44" t="s">
        <v>414</v>
      </c>
    </row>
    <row r="2" spans="1:2" ht="16.5">
      <c r="A2" s="251"/>
    </row>
    <row r="3" spans="1:2" ht="17.25" thickBot="1">
      <c r="A3" s="251" t="s">
        <v>5</v>
      </c>
    </row>
    <row r="4" spans="1:2" ht="24" customHeight="1" thickTop="1" thickBot="1">
      <c r="A4" s="196" t="s">
        <v>1086</v>
      </c>
      <c r="B4" s="32" t="s">
        <v>207</v>
      </c>
    </row>
    <row r="5" spans="1:2" ht="24" thickTop="1" thickBot="1">
      <c r="A5" s="195" t="s">
        <v>152</v>
      </c>
      <c r="B5" s="230"/>
    </row>
    <row r="6" spans="1:2" ht="24.75" customHeight="1" thickBot="1">
      <c r="A6" s="37" t="s">
        <v>834</v>
      </c>
      <c r="B6" s="218"/>
    </row>
    <row r="7" spans="1:2" ht="15.75" thickTop="1">
      <c r="A7" s="76"/>
      <c r="B7" s="197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1" width="44.42578125" customWidth="1"/>
    <col min="2" max="2" width="42.140625" customWidth="1"/>
    <col min="3" max="3" width="19.140625" customWidth="1"/>
  </cols>
  <sheetData>
    <row r="1" spans="1:2" ht="17.25" thickBot="1">
      <c r="A1" s="44" t="s">
        <v>234</v>
      </c>
    </row>
    <row r="2" spans="1:2" ht="16.5" thickTop="1" thickBot="1">
      <c r="A2" s="196" t="s">
        <v>71</v>
      </c>
      <c r="B2" s="32" t="s">
        <v>837</v>
      </c>
    </row>
    <row r="3" spans="1:2" ht="24" customHeight="1" thickTop="1" thickBot="1">
      <c r="A3" s="195" t="s">
        <v>244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B050"/>
  </sheetPr>
  <dimension ref="A1:G14"/>
  <sheetViews>
    <sheetView showGridLines="0" zoomScaleSheetLayoutView="100" workbookViewId="0"/>
  </sheetViews>
  <sheetFormatPr defaultRowHeight="15"/>
  <cols>
    <col min="1" max="1" width="22.140625" customWidth="1"/>
    <col min="2" max="4" width="21.42578125" customWidth="1"/>
  </cols>
  <sheetData>
    <row r="1" spans="1:7" ht="16.5">
      <c r="A1" s="44" t="s">
        <v>1102</v>
      </c>
    </row>
    <row r="2" spans="1:7" ht="17.25" thickBot="1">
      <c r="A2" s="251" t="s">
        <v>214</v>
      </c>
    </row>
    <row r="3" spans="1:7" ht="45" customHeight="1" thickTop="1" thickBot="1">
      <c r="A3" s="211" t="s">
        <v>121</v>
      </c>
      <c r="B3" s="47" t="s">
        <v>825</v>
      </c>
      <c r="C3" s="47" t="s">
        <v>376</v>
      </c>
      <c r="D3" s="47" t="s">
        <v>1021</v>
      </c>
    </row>
    <row r="4" spans="1:7" ht="20.25" customHeight="1" thickTop="1" thickBot="1">
      <c r="A4" s="174" t="s">
        <v>998</v>
      </c>
      <c r="B4" s="139">
        <f>SUMIF(HK!A:A,"606*",HK!L:L)-SUMIF(HK!A:A,"606*",HK!K:K)</f>
        <v>0</v>
      </c>
      <c r="C4" s="139">
        <f>SUMIF(HKM!A:A,"606*",HKM!L:L)-SUMIF(HKM!A:A,"606*",HKM!K:K)</f>
        <v>0</v>
      </c>
      <c r="D4" s="128"/>
      <c r="G4" s="156"/>
    </row>
    <row r="5" spans="1:7" ht="20.25" customHeight="1" thickBot="1">
      <c r="A5" s="174" t="s">
        <v>419</v>
      </c>
      <c r="B5" s="128"/>
      <c r="C5" s="128"/>
      <c r="D5" s="128"/>
    </row>
    <row r="6" spans="1:7" ht="20.25" customHeight="1" thickBot="1">
      <c r="A6" s="37" t="s">
        <v>501</v>
      </c>
      <c r="B6" s="218"/>
      <c r="C6" s="218"/>
      <c r="D6" s="218">
        <f>D4+D5</f>
        <v>0</v>
      </c>
    </row>
    <row r="7" spans="1:7" ht="15.75" thickTop="1">
      <c r="A7" s="54"/>
      <c r="B7" s="146"/>
      <c r="C7" s="146"/>
      <c r="D7" s="146"/>
    </row>
    <row r="8" spans="1:7">
      <c r="A8" s="54"/>
      <c r="B8" s="146"/>
      <c r="C8" s="146"/>
      <c r="D8" s="146"/>
    </row>
    <row r="9" spans="1:7" ht="15.75" thickBot="1">
      <c r="A9" s="54" t="s">
        <v>4</v>
      </c>
      <c r="B9" s="146"/>
      <c r="C9" s="146"/>
      <c r="D9" s="146"/>
    </row>
    <row r="10" spans="1:7" ht="45" customHeight="1" thickTop="1" thickBot="1">
      <c r="A10" s="211" t="s">
        <v>121</v>
      </c>
      <c r="B10" s="47" t="s">
        <v>825</v>
      </c>
      <c r="C10" s="47" t="s">
        <v>376</v>
      </c>
      <c r="D10" s="47" t="s">
        <v>860</v>
      </c>
    </row>
    <row r="11" spans="1:7" ht="35.25" thickTop="1" thickBot="1">
      <c r="A11" s="174" t="s">
        <v>1028</v>
      </c>
      <c r="B11" s="128"/>
      <c r="C11" s="128"/>
      <c r="D11" s="128"/>
    </row>
    <row r="12" spans="1:7" ht="34.5" thickBot="1">
      <c r="A12" s="174" t="s">
        <v>57</v>
      </c>
      <c r="B12" s="128"/>
      <c r="C12" s="128"/>
      <c r="D12" s="128"/>
    </row>
    <row r="13" spans="1:7" ht="15.75" thickBot="1">
      <c r="A13" s="37" t="s">
        <v>501</v>
      </c>
      <c r="B13" s="218">
        <f>B11+B12</f>
        <v>0</v>
      </c>
      <c r="C13" s="218">
        <f>C11+C12</f>
        <v>0</v>
      </c>
      <c r="D13" s="218">
        <f>D11+D12</f>
        <v>0</v>
      </c>
    </row>
    <row r="14" spans="1:7" ht="17.25" thickTop="1">
      <c r="A14" s="72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0000"/>
  </sheetPr>
  <dimension ref="A1:C17"/>
  <sheetViews>
    <sheetView showGridLines="0" zoomScaleSheetLayoutView="100" workbookViewId="0"/>
  </sheetViews>
  <sheetFormatPr defaultRowHeight="15"/>
  <cols>
    <col min="1" max="1" width="28.7109375" customWidth="1"/>
    <col min="2" max="3" width="28.85546875" customWidth="1"/>
    <col min="4" max="4" width="36.5703125" customWidth="1"/>
  </cols>
  <sheetData>
    <row r="1" spans="1:3" ht="16.5">
      <c r="A1" s="44" t="s">
        <v>1102</v>
      </c>
    </row>
    <row r="2" spans="1:3" ht="16.5">
      <c r="A2" s="251"/>
    </row>
    <row r="3" spans="1:3" ht="15.75" thickBot="1">
      <c r="A3" s="146" t="s">
        <v>5</v>
      </c>
      <c r="B3" s="146"/>
      <c r="C3" s="146"/>
    </row>
    <row r="4" spans="1:3" ht="45" customHeight="1" thickTop="1" thickBot="1">
      <c r="A4" s="211" t="s">
        <v>619</v>
      </c>
      <c r="B4" s="47" t="s">
        <v>342</v>
      </c>
      <c r="C4" s="47" t="s">
        <v>435</v>
      </c>
    </row>
    <row r="5" spans="1:3" ht="24" thickTop="1" thickBot="1">
      <c r="A5" s="174" t="s">
        <v>699</v>
      </c>
      <c r="B5" s="128"/>
      <c r="C5" s="128"/>
    </row>
    <row r="6" spans="1:3" ht="34.5" thickBot="1">
      <c r="A6" s="174" t="s">
        <v>985</v>
      </c>
      <c r="B6" s="128"/>
      <c r="C6" s="128"/>
    </row>
    <row r="7" spans="1:3" ht="20.25" customHeight="1" thickBot="1">
      <c r="A7" s="174" t="s">
        <v>652</v>
      </c>
      <c r="B7" s="128"/>
      <c r="C7" s="128"/>
    </row>
    <row r="8" spans="1:3" ht="20.25" customHeight="1" thickBot="1">
      <c r="A8" s="37" t="s">
        <v>45</v>
      </c>
      <c r="B8" s="218"/>
      <c r="C8" s="218"/>
    </row>
    <row r="9" spans="1:3" ht="15.75" thickTop="1">
      <c r="A9" s="146"/>
      <c r="B9" s="146"/>
      <c r="C9" s="146"/>
    </row>
    <row r="10" spans="1:3">
      <c r="A10" s="48"/>
      <c r="B10" s="146"/>
      <c r="C10" s="146"/>
    </row>
    <row r="11" spans="1:3" ht="15.75" thickBot="1">
      <c r="A11" s="48" t="s">
        <v>8</v>
      </c>
      <c r="B11" s="146"/>
      <c r="C11" s="146"/>
    </row>
    <row r="12" spans="1:3" ht="45" customHeight="1" thickTop="1" thickBot="1">
      <c r="A12" s="211" t="s">
        <v>950</v>
      </c>
      <c r="B12" s="47" t="s">
        <v>342</v>
      </c>
      <c r="C12" s="47" t="s">
        <v>860</v>
      </c>
    </row>
    <row r="13" spans="1:3" ht="35.25" thickTop="1" thickBot="1">
      <c r="A13" s="174" t="s">
        <v>131</v>
      </c>
      <c r="B13" s="128"/>
      <c r="C13" s="128"/>
    </row>
    <row r="14" spans="1:3" ht="34.5" thickBot="1">
      <c r="A14" s="174" t="s">
        <v>985</v>
      </c>
      <c r="B14" s="128"/>
      <c r="C14" s="128"/>
    </row>
    <row r="15" spans="1:3" ht="20.25" customHeight="1" thickBot="1">
      <c r="A15" s="174" t="s">
        <v>807</v>
      </c>
      <c r="B15" s="128"/>
      <c r="C15" s="128"/>
    </row>
    <row r="16" spans="1:3" ht="20.25" customHeight="1" thickBot="1">
      <c r="A16" s="37" t="s">
        <v>45</v>
      </c>
      <c r="B16" s="218"/>
      <c r="C16" s="218"/>
    </row>
    <row r="17" ht="15.75" thickTop="1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</sheetPr>
  <dimension ref="A1:K10"/>
  <sheetViews>
    <sheetView showGridLines="0" zoomScaleSheetLayoutView="100" workbookViewId="0"/>
  </sheetViews>
  <sheetFormatPr defaultRowHeight="15"/>
  <cols>
    <col min="1" max="1" width="25.28515625" customWidth="1"/>
    <col min="2" max="6" width="12.140625" customWidth="1"/>
  </cols>
  <sheetData>
    <row r="1" spans="1:11" ht="17.25" thickBot="1">
      <c r="A1" s="44" t="s">
        <v>42</v>
      </c>
    </row>
    <row r="2" spans="1:11" ht="16.5" thickTop="1" thickBot="1">
      <c r="A2" s="252" t="s">
        <v>1080</v>
      </c>
      <c r="B2" s="257" t="s">
        <v>115</v>
      </c>
      <c r="C2" s="258"/>
      <c r="D2" s="258"/>
      <c r="E2" s="258"/>
      <c r="F2" s="259"/>
    </row>
    <row r="3" spans="1:11" ht="62.25" customHeight="1" thickTop="1" thickBot="1">
      <c r="A3" s="266"/>
      <c r="B3" s="170" t="s">
        <v>136</v>
      </c>
      <c r="C3" s="160" t="s">
        <v>90</v>
      </c>
      <c r="D3" s="170" t="s">
        <v>55</v>
      </c>
      <c r="E3" s="160" t="s">
        <v>377</v>
      </c>
      <c r="F3" s="170" t="s">
        <v>497</v>
      </c>
    </row>
    <row r="4" spans="1:11" s="173" customFormat="1" ht="33" customHeight="1" thickTop="1" thickBot="1">
      <c r="A4" s="114" t="s">
        <v>990</v>
      </c>
      <c r="B4" s="82">
        <f>SUMIF(SUAM!C:C,"042",SUAM!E:E)+SUMIF(SUAM!C:C,"054",SUAM!E:E)</f>
        <v>994</v>
      </c>
      <c r="C4" s="29"/>
      <c r="D4" s="29"/>
      <c r="E4" s="29"/>
      <c r="F4" s="200">
        <f>SUMIF(SUA!C:C,"042",SUA!E:E)+SUMIF(SUA!C:C,"054",SUA!E:E)</f>
        <v>994</v>
      </c>
      <c r="G4" s="190"/>
      <c r="H4" s="190"/>
      <c r="I4" s="24"/>
      <c r="K4" s="232"/>
    </row>
    <row r="5" spans="1:11" s="173" customFormat="1" ht="33" customHeight="1" thickBot="1">
      <c r="A5" s="114" t="s">
        <v>871</v>
      </c>
      <c r="B5" s="30">
        <f>SUMIF(SUAM!C:C,"047",SUAM!E:E)+SUMIF(SUAM!C:C,"059",SUAM!E:E)</f>
        <v>0</v>
      </c>
      <c r="C5" s="241"/>
      <c r="D5" s="241"/>
      <c r="E5" s="241"/>
      <c r="F5" s="139">
        <f>SUMIF(SUA!C:C,"047",SUA!E:E)+SUMIF(SUA!C:C,"059",SUA!E:E)</f>
        <v>0</v>
      </c>
      <c r="G5" s="190"/>
      <c r="H5" s="190"/>
      <c r="I5" s="24"/>
      <c r="K5" s="232"/>
    </row>
    <row r="6" spans="1:11" s="173" customFormat="1" ht="33" customHeight="1" thickBot="1">
      <c r="A6" s="114" t="s">
        <v>347</v>
      </c>
      <c r="B6" s="30">
        <f>SUMIF(SUAM!C:C,"048",SUAM!E:E)+SUMIF(SUAM!C:C,"060",SUAM!E:E)</f>
        <v>0</v>
      </c>
      <c r="C6" s="241"/>
      <c r="D6" s="241"/>
      <c r="E6" s="241"/>
      <c r="F6" s="139">
        <f>SUMIF(SUA!C:C,"048",SUA!E:E)+SUMIF(SUA!C:C,"060",SUA!E:E)</f>
        <v>0</v>
      </c>
      <c r="G6" s="190"/>
      <c r="H6" s="190"/>
      <c r="I6" s="24"/>
      <c r="K6" s="232"/>
    </row>
    <row r="7" spans="1:11" s="173" customFormat="1" ht="33" customHeight="1" thickBot="1">
      <c r="A7" s="114" t="s">
        <v>1017</v>
      </c>
      <c r="B7" s="30">
        <f>SUMIF(SUAM!C:C,"049",SUAM!E:E)+SUMIF(SUAM!C:C,"061",SUAM!E:E)</f>
        <v>0</v>
      </c>
      <c r="C7" s="241"/>
      <c r="D7" s="241"/>
      <c r="E7" s="241"/>
      <c r="F7" s="139">
        <f>SUMIF(SUA!C:C,"049",SUA!E:E)+SUMIF(SUA!C:C,"061",SUA!E:E)</f>
        <v>0</v>
      </c>
      <c r="G7" s="190"/>
      <c r="H7" s="190"/>
      <c r="I7" s="24"/>
      <c r="K7" s="232"/>
    </row>
    <row r="8" spans="1:11" s="173" customFormat="1" ht="33" customHeight="1" thickBot="1">
      <c r="A8" s="114" t="s">
        <v>1070</v>
      </c>
      <c r="B8" s="30">
        <f>SUMIF(SUAM!C:C,"051",SUAM!E:E)+SUMIF(SUAM!C:C,"062",SUAM!E:E)+SUMIF(SUAM!C:C,"063",SUAM!E:E)</f>
        <v>0</v>
      </c>
      <c r="C8" s="241"/>
      <c r="D8" s="241"/>
      <c r="E8" s="241"/>
      <c r="F8" s="139">
        <f>SUMIF(SUA!C:C,"051",SUA!E:E)+SUMIF(SUA!C:C,"062",SUA!E:E)+SUMIF(SUA!C:C,"063",SUA!E:E)</f>
        <v>0</v>
      </c>
      <c r="G8" s="190"/>
      <c r="H8" s="190"/>
      <c r="I8" s="24"/>
      <c r="K8" s="232"/>
    </row>
    <row r="9" spans="1:11" s="173" customFormat="1" ht="33" customHeight="1" thickBot="1">
      <c r="A9" s="126" t="s">
        <v>967</v>
      </c>
      <c r="B9" s="92">
        <f>SUM(D4:D8)</f>
        <v>0</v>
      </c>
      <c r="C9" s="209"/>
      <c r="D9" s="209"/>
      <c r="E9" s="209"/>
      <c r="F9" s="209">
        <f>SUM(F4:F8)</f>
        <v>994</v>
      </c>
    </row>
    <row r="10" spans="1:11" ht="15.75" thickTop="1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zoomScaleSheetLayoutView="100" workbookViewId="0"/>
  </sheetViews>
  <sheetFormatPr defaultRowHeight="15"/>
  <cols>
    <col min="1" max="1" width="25.85546875" customWidth="1"/>
    <col min="2" max="4" width="20.140625" customWidth="1"/>
    <col min="5" max="6" width="20.42578125" customWidth="1"/>
  </cols>
  <sheetData>
    <row r="1" spans="1:6" ht="16.5">
      <c r="A1" s="44" t="s">
        <v>906</v>
      </c>
    </row>
    <row r="2" spans="1:6" ht="17.25" thickBot="1">
      <c r="A2" s="251" t="s">
        <v>214</v>
      </c>
    </row>
    <row r="3" spans="1:6" ht="22.5" customHeight="1" thickTop="1" thickBot="1">
      <c r="A3" s="196" t="s">
        <v>481</v>
      </c>
      <c r="B3" s="32" t="s">
        <v>515</v>
      </c>
      <c r="C3" s="32" t="s">
        <v>861</v>
      </c>
      <c r="D3" s="32" t="s">
        <v>967</v>
      </c>
    </row>
    <row r="4" spans="1:6" ht="22.5" customHeight="1" thickTop="1" thickBot="1">
      <c r="A4" s="107" t="s">
        <v>380</v>
      </c>
      <c r="B4" s="8"/>
      <c r="C4" s="8"/>
      <c r="D4" s="20"/>
    </row>
    <row r="5" spans="1:6" ht="22.5" customHeight="1" thickTop="1" thickBot="1">
      <c r="A5" s="174" t="s">
        <v>991</v>
      </c>
      <c r="B5" s="41"/>
      <c r="C5" s="41"/>
      <c r="D5" s="238">
        <f>SUMIF(SUA!C:C,"042",SUA!F:F)</f>
        <v>0</v>
      </c>
      <c r="E5" s="222"/>
      <c r="F5" s="24"/>
    </row>
    <row r="6" spans="1:6" ht="22.5" customHeight="1" thickBot="1">
      <c r="A6" s="174" t="s">
        <v>871</v>
      </c>
      <c r="B6" s="41"/>
      <c r="C6" s="41"/>
      <c r="D6" s="238">
        <f>SUMIF(SUA!C:C,"047",SUA!F:F)</f>
        <v>0</v>
      </c>
      <c r="E6" s="222"/>
      <c r="F6" s="24"/>
    </row>
    <row r="7" spans="1:6" ht="22.5" customHeight="1" thickBot="1">
      <c r="A7" s="174" t="s">
        <v>347</v>
      </c>
      <c r="B7" s="41"/>
      <c r="C7" s="41"/>
      <c r="D7" s="238">
        <f>SUMIF(SUA!C:C,"048",SUA!F:F)</f>
        <v>0</v>
      </c>
      <c r="E7" s="222"/>
      <c r="F7" s="24"/>
    </row>
    <row r="8" spans="1:6" ht="22.5" customHeight="1" thickBot="1">
      <c r="A8" s="174" t="s">
        <v>1017</v>
      </c>
      <c r="B8" s="41"/>
      <c r="C8" s="41"/>
      <c r="D8" s="238">
        <f>SUMIF(SUA!C:C,"049",SUA!F:F)</f>
        <v>0</v>
      </c>
      <c r="E8" s="222"/>
      <c r="F8" s="24"/>
    </row>
    <row r="9" spans="1:6" ht="22.5" customHeight="1" thickBot="1">
      <c r="A9" s="174" t="s">
        <v>1070</v>
      </c>
      <c r="B9" s="41"/>
      <c r="C9" s="41"/>
      <c r="D9" s="238">
        <f>SUMIF(SUA!C:C,"051",SUA!F:F)</f>
        <v>0</v>
      </c>
      <c r="E9" s="222"/>
      <c r="F9" s="24"/>
    </row>
    <row r="10" spans="1:6" ht="22.5" customHeight="1" thickBot="1">
      <c r="A10" s="129" t="s">
        <v>557</v>
      </c>
      <c r="B10" s="14">
        <f>SUM(B5:B9)</f>
        <v>0</v>
      </c>
      <c r="C10" s="14">
        <f>SUM(C5:C9)</f>
        <v>0</v>
      </c>
      <c r="D10" s="64">
        <f>SUM(D5:D9)</f>
        <v>0</v>
      </c>
      <c r="E10" s="222"/>
      <c r="F10" s="222"/>
    </row>
    <row r="11" spans="1:6" ht="22.5" customHeight="1" thickTop="1" thickBot="1">
      <c r="A11" s="107" t="s">
        <v>208</v>
      </c>
      <c r="B11" s="8"/>
      <c r="C11" s="8"/>
      <c r="D11" s="235"/>
      <c r="E11" s="222"/>
      <c r="F11" s="222"/>
    </row>
    <row r="12" spans="1:6" ht="22.5" customHeight="1" thickTop="1" thickBot="1">
      <c r="A12" s="174" t="s">
        <v>725</v>
      </c>
      <c r="B12" s="41"/>
      <c r="C12" s="41"/>
      <c r="D12" s="238">
        <f>SUMIF(SUA!C:C,"054",SUA!F:F)</f>
        <v>13202</v>
      </c>
      <c r="E12" s="222"/>
      <c r="F12" s="24"/>
    </row>
    <row r="13" spans="1:6" ht="22.5" customHeight="1" thickBot="1">
      <c r="A13" s="174" t="s">
        <v>871</v>
      </c>
      <c r="B13" s="41"/>
      <c r="C13" s="41"/>
      <c r="D13" s="238">
        <f>SUMIF(SUA!C:C,"059",SUA!F:F)</f>
        <v>0</v>
      </c>
      <c r="E13" s="222"/>
      <c r="F13" s="24"/>
    </row>
    <row r="14" spans="1:6" ht="22.5" customHeight="1" thickBot="1">
      <c r="A14" s="174" t="s">
        <v>347</v>
      </c>
      <c r="B14" s="41"/>
      <c r="C14" s="41"/>
      <c r="D14" s="238">
        <f>SUMIF(SUA!C:C,"060",SUA!F:F)</f>
        <v>0</v>
      </c>
      <c r="E14" s="222"/>
      <c r="F14" s="24"/>
    </row>
    <row r="15" spans="1:6" ht="22.5" customHeight="1" thickBot="1">
      <c r="A15" s="174" t="s">
        <v>1017</v>
      </c>
      <c r="B15" s="41"/>
      <c r="C15" s="41"/>
      <c r="D15" s="238">
        <f>SUMIF(SUA!C:C,"061",SUA!F:F)</f>
        <v>0</v>
      </c>
      <c r="E15" s="222"/>
      <c r="F15" s="24"/>
    </row>
    <row r="16" spans="1:6" ht="22.5" customHeight="1" thickBot="1">
      <c r="A16" s="174" t="s">
        <v>927</v>
      </c>
      <c r="B16" s="41"/>
      <c r="C16" s="41"/>
      <c r="D16" s="238">
        <f>SUMIF(SUA!C:C,"062",SUA!F:F)</f>
        <v>0</v>
      </c>
      <c r="E16" s="222"/>
      <c r="F16" s="24"/>
    </row>
    <row r="17" spans="1:6" ht="22.5" customHeight="1" thickBot="1">
      <c r="A17" s="174" t="s">
        <v>320</v>
      </c>
      <c r="B17" s="41"/>
      <c r="C17" s="41"/>
      <c r="D17" s="238">
        <f>SUMIF(SUA!C:C,"063",SUA!F:F)</f>
        <v>0</v>
      </c>
      <c r="E17" s="222"/>
      <c r="F17" s="24"/>
    </row>
    <row r="18" spans="1:6" ht="22.5" customHeight="1" thickBot="1">
      <c r="A18" s="174" t="s">
        <v>1070</v>
      </c>
      <c r="B18" s="41"/>
      <c r="C18" s="41"/>
      <c r="D18" s="238">
        <f>SUMIF(SUA!C:C,"065",SUA!F:F)</f>
        <v>170</v>
      </c>
      <c r="E18" s="222"/>
      <c r="F18" s="24"/>
    </row>
    <row r="19" spans="1:6" ht="22.5" customHeight="1" thickBot="1">
      <c r="A19" s="129" t="s">
        <v>321</v>
      </c>
      <c r="B19" s="14">
        <f>SUM(B12:B18)</f>
        <v>0</v>
      </c>
      <c r="C19" s="14">
        <f>SUM(C12:C18)</f>
        <v>0</v>
      </c>
      <c r="D19" s="122">
        <f>SUM(D12:D18)</f>
        <v>13372</v>
      </c>
    </row>
    <row r="20" spans="1:6" ht="17.25" thickTop="1">
      <c r="A20" s="85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0000"/>
  </sheetPr>
  <dimension ref="A1:C5"/>
  <sheetViews>
    <sheetView showGridLines="0" zoomScaleSheetLayoutView="100" workbookViewId="0"/>
  </sheetViews>
  <sheetFormatPr defaultRowHeight="1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>
      <c r="A1" s="270" t="s">
        <v>140</v>
      </c>
      <c r="B1" s="270"/>
      <c r="C1" s="270"/>
    </row>
    <row r="2" spans="1:3" ht="16.5" thickTop="1" thickBot="1">
      <c r="A2" s="252" t="s">
        <v>68</v>
      </c>
      <c r="B2" s="271" t="s">
        <v>115</v>
      </c>
      <c r="C2" s="272"/>
    </row>
    <row r="3" spans="1:3" ht="16.5" thickTop="1" thickBot="1">
      <c r="A3" s="266"/>
      <c r="B3" s="32" t="s">
        <v>996</v>
      </c>
      <c r="C3" s="211" t="s">
        <v>170</v>
      </c>
    </row>
    <row r="4" spans="1:3" ht="24" thickTop="1" thickBot="1">
      <c r="A4" s="195" t="s">
        <v>952</v>
      </c>
      <c r="B4" s="22"/>
      <c r="C4" s="230"/>
    </row>
    <row r="5" spans="1:3" ht="23.25" thickBot="1">
      <c r="A5" s="174" t="s">
        <v>507</v>
      </c>
      <c r="B5" s="9" t="s">
        <v>62</v>
      </c>
      <c r="C5" s="128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C6"/>
  <sheetViews>
    <sheetView showGridLines="0" zoomScaleSheetLayoutView="100" workbookViewId="0"/>
  </sheetViews>
  <sheetFormatPr defaultRowHeight="15"/>
  <cols>
    <col min="1" max="1" width="33.28515625" customWidth="1"/>
    <col min="2" max="3" width="26.140625" customWidth="1"/>
  </cols>
  <sheetData>
    <row r="1" spans="1:3" ht="17.25" thickBot="1">
      <c r="A1" s="44" t="s">
        <v>345</v>
      </c>
    </row>
    <row r="2" spans="1:3" ht="21.75" customHeight="1" thickTop="1" thickBot="1">
      <c r="A2" s="196" t="s">
        <v>121</v>
      </c>
      <c r="B2" s="32" t="s">
        <v>115</v>
      </c>
      <c r="C2" s="32" t="s">
        <v>720</v>
      </c>
    </row>
    <row r="3" spans="1:3" ht="22.5" customHeight="1" thickTop="1" thickBot="1">
      <c r="A3" s="195" t="s">
        <v>212</v>
      </c>
      <c r="B3" s="230"/>
      <c r="C3" s="230"/>
    </row>
    <row r="4" spans="1:3" ht="22.5" customHeight="1" thickBot="1">
      <c r="A4" s="174" t="s">
        <v>256</v>
      </c>
      <c r="B4" s="128"/>
      <c r="C4" s="128"/>
    </row>
    <row r="5" spans="1:3" ht="22.5" customHeight="1" thickBot="1">
      <c r="A5" s="37" t="s">
        <v>856</v>
      </c>
      <c r="B5" s="218"/>
      <c r="C5" s="218"/>
    </row>
    <row r="6" spans="1:3" ht="15.75" thickTop="1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</sheetPr>
  <dimension ref="A1:C9"/>
  <sheetViews>
    <sheetView showGridLines="0" zoomScaleSheetLayoutView="100" workbookViewId="0"/>
  </sheetViews>
  <sheetFormatPr defaultRowHeight="15"/>
  <cols>
    <col min="1" max="1" width="32.42578125" customWidth="1"/>
    <col min="2" max="3" width="27" customWidth="1"/>
    <col min="4" max="6" width="20.42578125" customWidth="1"/>
  </cols>
  <sheetData>
    <row r="1" spans="1:3" ht="16.5">
      <c r="A1" s="44" t="s">
        <v>133</v>
      </c>
    </row>
    <row r="2" spans="1:3" ht="17.25" thickBot="1">
      <c r="A2" s="72" t="s">
        <v>22</v>
      </c>
    </row>
    <row r="3" spans="1:3" ht="24" thickTop="1" thickBot="1">
      <c r="A3" s="196" t="s">
        <v>481</v>
      </c>
      <c r="B3" s="32" t="s">
        <v>115</v>
      </c>
      <c r="C3" s="32" t="s">
        <v>720</v>
      </c>
    </row>
    <row r="4" spans="1:3" ht="16.5" thickTop="1" thickBot="1">
      <c r="A4" s="127" t="s">
        <v>668</v>
      </c>
      <c r="B4" s="120">
        <f>SUMIF(SUA!C:C,"072",SUA!F:F)</f>
        <v>2229</v>
      </c>
      <c r="C4" s="201">
        <f>SUMIF(SUA!C:C,"072",SUA!G:G)</f>
        <v>1442</v>
      </c>
    </row>
    <row r="5" spans="1:3" ht="15.75" thickBot="1">
      <c r="A5" s="114" t="s">
        <v>168</v>
      </c>
      <c r="B5" s="245">
        <f>SUMIF(SUA!C:C,"073",SUA!F:F)-(SUMIF(HK!A:A,"261*",HK!K:K)+SUMIF(HK!A:A,"261*",HK!L:L))</f>
        <v>112172</v>
      </c>
      <c r="C5" s="60">
        <f>SUMIF(SUA!C:C,"073",SUA!G:G)-(SUMIF(HK!A:A,"261*",HK!C:C)+SUMIF(HK!A:A,"261*",HK!D:D))</f>
        <v>102579</v>
      </c>
    </row>
    <row r="6" spans="1:3" ht="15.75" thickBot="1">
      <c r="A6" s="114" t="s">
        <v>279</v>
      </c>
      <c r="B6" s="245">
        <f>SUMIF(SUA!C:C,"030",SUA!F:F)</f>
        <v>0</v>
      </c>
      <c r="C6" s="60">
        <f>SUMIF(SUA!C:C,"030",SUA!G:G)</f>
        <v>0</v>
      </c>
    </row>
    <row r="7" spans="1:3" ht="15.75" thickBot="1">
      <c r="A7" s="114" t="s">
        <v>632</v>
      </c>
      <c r="B7" s="245">
        <f>SUMIF(HK!A:A,"261*",HK!K:K)-SUMIF(HK!A:A,"261*",HK!L:L)</f>
        <v>0</v>
      </c>
      <c r="C7" s="60">
        <f>SUMIF(HK!A:A,"261*",HK!C:C)-SUMIF(HK!A:A,"261*",HK!D:D)</f>
        <v>0</v>
      </c>
    </row>
    <row r="8" spans="1:3" ht="15.75" thickBot="1">
      <c r="A8" s="126" t="s">
        <v>854</v>
      </c>
      <c r="B8" s="142">
        <f>SUM(B4:B7)</f>
        <v>114401</v>
      </c>
      <c r="C8" s="122">
        <f>SUM(C4:C7)</f>
        <v>104021</v>
      </c>
    </row>
    <row r="9" spans="1:3" ht="15.75" thickTop="1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</sheetPr>
  <dimension ref="A1:G13"/>
  <sheetViews>
    <sheetView showGridLines="0" zoomScaleSheetLayoutView="100" workbookViewId="0"/>
  </sheetViews>
  <sheetFormatPr defaultRowHeight="15"/>
  <cols>
    <col min="1" max="1" width="24.5703125" customWidth="1"/>
    <col min="2" max="5" width="15.42578125" customWidth="1"/>
    <col min="6" max="6" width="20.42578125" customWidth="1"/>
  </cols>
  <sheetData>
    <row r="1" spans="1:7" ht="16.5">
      <c r="A1" s="44" t="s">
        <v>133</v>
      </c>
    </row>
    <row r="2" spans="1:7" ht="17.25" thickBot="1">
      <c r="A2" s="72" t="s">
        <v>5</v>
      </c>
    </row>
    <row r="3" spans="1:7" ht="16.5" thickTop="1" thickBot="1">
      <c r="A3" s="252" t="s">
        <v>649</v>
      </c>
      <c r="B3" s="257" t="s">
        <v>115</v>
      </c>
      <c r="C3" s="258"/>
      <c r="D3" s="258"/>
      <c r="E3" s="259"/>
    </row>
    <row r="4" spans="1:7" ht="18" customHeight="1" thickTop="1">
      <c r="A4" s="253"/>
      <c r="B4" s="253" t="s">
        <v>51</v>
      </c>
      <c r="C4" s="253" t="s">
        <v>1052</v>
      </c>
      <c r="D4" s="253" t="s">
        <v>13</v>
      </c>
      <c r="E4" s="253" t="s">
        <v>80</v>
      </c>
    </row>
    <row r="5" spans="1:7" ht="17.25" customHeight="1" thickBot="1">
      <c r="A5" s="266"/>
      <c r="B5" s="266"/>
      <c r="C5" s="266"/>
      <c r="D5" s="266"/>
      <c r="E5" s="266"/>
    </row>
    <row r="6" spans="1:7" ht="21.75" customHeight="1" thickTop="1" thickBot="1">
      <c r="A6" s="174" t="s">
        <v>876</v>
      </c>
      <c r="B6" s="139">
        <f>SUMIF(HK!A:A,"251*",HK!C:C)-SUMIF(HK!A:A,"251*",HK!D:D)</f>
        <v>0</v>
      </c>
      <c r="C6" s="241"/>
      <c r="D6" s="241"/>
      <c r="E6" s="238">
        <f>SUMIF(HK!A:A,"251*",HK!K:K)-SUMIF(HK!A:A,"251*",HK!L:L)</f>
        <v>0</v>
      </c>
      <c r="F6" s="222"/>
      <c r="G6" s="24"/>
    </row>
    <row r="7" spans="1:7" ht="21.75" customHeight="1" thickBot="1">
      <c r="A7" s="174" t="s">
        <v>177</v>
      </c>
      <c r="B7" s="139">
        <f>SUMIF(HK!A:A,"253*",HK!C:C)-SUMIF(HK!A:A,"253*",HK!D:D)</f>
        <v>0</v>
      </c>
      <c r="C7" s="241"/>
      <c r="D7" s="241"/>
      <c r="E7" s="238">
        <f>SUMIF(HK!A:A,"253*",HK!K:K)-SUMIF(HK!A:A,"253*",HK!L:L)</f>
        <v>0</v>
      </c>
      <c r="F7" s="222"/>
      <c r="G7" s="24"/>
    </row>
    <row r="8" spans="1:7" ht="21.75" customHeight="1" thickBot="1">
      <c r="A8" s="174" t="s">
        <v>109</v>
      </c>
      <c r="B8" s="139"/>
      <c r="C8" s="241"/>
      <c r="D8" s="241"/>
      <c r="E8" s="238"/>
      <c r="F8" s="222"/>
      <c r="G8" s="222"/>
    </row>
    <row r="9" spans="1:7" ht="21.75" customHeight="1" thickBot="1">
      <c r="A9" s="174" t="s">
        <v>15</v>
      </c>
      <c r="B9" s="139">
        <f>SUMIF(HK!A:A,"256*",HK!C:C)-SUMIF(HK!A:A,"256*",HK!D:D)</f>
        <v>0</v>
      </c>
      <c r="C9" s="241"/>
      <c r="D9" s="241"/>
      <c r="E9" s="238">
        <f>SUMIF(HK!A:A,"256*",HK!K:K)-SUMIF(HK!A:A,"256*",HK!L:L)</f>
        <v>0</v>
      </c>
      <c r="F9" s="222"/>
      <c r="G9" s="24"/>
    </row>
    <row r="10" spans="1:7" ht="21.75" customHeight="1" thickBot="1">
      <c r="A10" s="174" t="s">
        <v>997</v>
      </c>
      <c r="B10" s="139">
        <f>SUMIF(HK!A:A,"257*",HK!C:C)-SUMIF(HK!A:A,"257*",HK!D:D)</f>
        <v>0</v>
      </c>
      <c r="C10" s="241"/>
      <c r="D10" s="241"/>
      <c r="E10" s="238">
        <f>SUMIF(HK!A:A,"257*",HK!K:K)-SUMIF(HK!A:A,"257*",HK!L:L)</f>
        <v>0</v>
      </c>
      <c r="F10" s="222"/>
      <c r="G10" s="24"/>
    </row>
    <row r="11" spans="1:7" ht="21.75" customHeight="1" thickBot="1">
      <c r="A11" s="174" t="s">
        <v>130</v>
      </c>
      <c r="B11" s="139">
        <f>SUMIF(HK!A:A,"259*",HK!C:C)-SUMIF(HK!A:A,"259*",HK!D:D)</f>
        <v>0</v>
      </c>
      <c r="C11" s="241"/>
      <c r="D11" s="241"/>
      <c r="E11" s="238">
        <f>SUMIF(HK!A:A,"259*",HK!K:K)-SUMIF(HK!A:A,"259*",HK!L:L)</f>
        <v>0</v>
      </c>
      <c r="F11" s="222"/>
      <c r="G11" s="24"/>
    </row>
    <row r="12" spans="1:7" ht="21.75" customHeight="1" thickBot="1">
      <c r="A12" s="129" t="s">
        <v>44</v>
      </c>
      <c r="B12" s="14">
        <f>SUM(B6:B11)</f>
        <v>0</v>
      </c>
      <c r="C12" s="14">
        <f>SUM(C6:C11)</f>
        <v>0</v>
      </c>
      <c r="D12" s="14">
        <f>SUM(D6:D11)</f>
        <v>0</v>
      </c>
      <c r="E12" s="122">
        <f>SUM(E6:E11)</f>
        <v>0</v>
      </c>
    </row>
    <row r="13" spans="1:7" ht="15.75" thickTop="1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</sheetPr>
  <dimension ref="A1:J10"/>
  <sheetViews>
    <sheetView showGridLines="0" zoomScaleSheetLayoutView="100" workbookViewId="0"/>
  </sheetViews>
  <sheetFormatPr defaultRowHeight="15"/>
  <cols>
    <col min="1" max="1" width="21.42578125" customWidth="1"/>
    <col min="2" max="6" width="13" customWidth="1"/>
  </cols>
  <sheetData>
    <row r="1" spans="1:10" ht="33.75" customHeight="1" thickBot="1">
      <c r="A1" s="270" t="s">
        <v>384</v>
      </c>
      <c r="B1" s="270"/>
      <c r="C1" s="270"/>
      <c r="D1" s="270"/>
      <c r="E1" s="270"/>
      <c r="F1" s="270"/>
      <c r="G1" s="173"/>
    </row>
    <row r="2" spans="1:10" ht="55.5" customHeight="1" thickTop="1" thickBot="1">
      <c r="A2" s="211" t="s">
        <v>146</v>
      </c>
      <c r="B2" s="211" t="s">
        <v>128</v>
      </c>
      <c r="C2" s="211" t="s">
        <v>727</v>
      </c>
      <c r="D2" s="211" t="s">
        <v>840</v>
      </c>
      <c r="E2" s="211" t="s">
        <v>377</v>
      </c>
      <c r="F2" s="211" t="s">
        <v>731</v>
      </c>
    </row>
    <row r="3" spans="1:10" ht="23.25" customHeight="1" thickTop="1" thickBot="1">
      <c r="A3" s="17" t="s">
        <v>997</v>
      </c>
      <c r="B3" s="139">
        <f>SUMIF(SUAM!C:C,"069",SUAM!E:E)</f>
        <v>0</v>
      </c>
      <c r="C3" s="140"/>
      <c r="D3" s="140"/>
      <c r="E3" s="140"/>
      <c r="F3" s="75">
        <f>SUMIF(SUA!C:C,"069",SUA!E:E)</f>
        <v>0</v>
      </c>
      <c r="G3" s="222"/>
      <c r="H3" s="24"/>
      <c r="J3" s="232"/>
    </row>
    <row r="4" spans="1:10" ht="23.25" customHeight="1" thickBot="1">
      <c r="A4" s="174" t="s">
        <v>130</v>
      </c>
      <c r="B4" s="139">
        <f>SUMIF(SUAM!C:C,"070",SUAM!E:E)</f>
        <v>0</v>
      </c>
      <c r="C4" s="140"/>
      <c r="D4" s="140"/>
      <c r="E4" s="140"/>
      <c r="F4" s="75">
        <f>SUMIF(SUA!C:C,"070",SUA!E:E)</f>
        <v>0</v>
      </c>
      <c r="G4" s="222"/>
      <c r="H4" s="24"/>
      <c r="J4" s="232"/>
    </row>
    <row r="5" spans="1:10" ht="23.25" customHeight="1" thickBot="1">
      <c r="A5" s="129" t="s">
        <v>44</v>
      </c>
      <c r="B5" s="106">
        <f>SUM(B3:B4)</f>
        <v>0</v>
      </c>
      <c r="C5" s="106">
        <f>SUM(C3:C4)</f>
        <v>0</v>
      </c>
      <c r="D5" s="106">
        <f>SUM(D3:D4)</f>
        <v>0</v>
      </c>
      <c r="E5" s="106">
        <f>SUM(E3:E4)</f>
        <v>0</v>
      </c>
      <c r="F5" s="219">
        <f>SUM(B5:E5)</f>
        <v>0</v>
      </c>
    </row>
    <row r="6" spans="1:10" ht="15.75" thickTop="1"/>
    <row r="10" spans="1:10">
      <c r="B10" s="14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FF0000"/>
  </sheetPr>
  <dimension ref="A1:C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3" ht="31.5" customHeight="1" thickBot="1">
      <c r="A1" s="270" t="s">
        <v>255</v>
      </c>
      <c r="B1" s="270"/>
      <c r="C1" s="173"/>
    </row>
    <row r="2" spans="1:3" ht="16.5" thickTop="1" thickBot="1">
      <c r="A2" s="98" t="s">
        <v>481</v>
      </c>
      <c r="B2" s="203" t="s">
        <v>837</v>
      </c>
    </row>
    <row r="3" spans="1:3" ht="24" thickTop="1" thickBot="1">
      <c r="A3" s="195" t="s">
        <v>705</v>
      </c>
      <c r="B3" s="133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FF0000"/>
  </sheetPr>
  <dimension ref="A1:D8"/>
  <sheetViews>
    <sheetView showGridLines="0" zoomScaleSheetLayoutView="100" workbookViewId="0"/>
  </sheetViews>
  <sheetFormatPr defaultRowHeight="15"/>
  <cols>
    <col min="1" max="1" width="26.140625" customWidth="1"/>
    <col min="2" max="4" width="20.140625" customWidth="1"/>
  </cols>
  <sheetData>
    <row r="1" spans="1:4" s="173" customFormat="1" ht="36.75" customHeight="1" thickBot="1">
      <c r="A1" s="270" t="s">
        <v>1078</v>
      </c>
      <c r="B1" s="270"/>
      <c r="C1" s="270"/>
      <c r="D1" s="270"/>
    </row>
    <row r="2" spans="1:4" ht="44.25" customHeight="1" thickTop="1" thickBot="1">
      <c r="A2" s="109" t="s">
        <v>146</v>
      </c>
      <c r="B2" s="47" t="s">
        <v>243</v>
      </c>
      <c r="C2" s="47" t="s">
        <v>187</v>
      </c>
      <c r="D2" s="47" t="s">
        <v>955</v>
      </c>
    </row>
    <row r="3" spans="1:4" ht="16.5" thickTop="1" thickBot="1">
      <c r="A3" s="17" t="s">
        <v>876</v>
      </c>
      <c r="B3" s="208"/>
      <c r="C3" s="208"/>
      <c r="D3" s="35"/>
    </row>
    <row r="4" spans="1:4" ht="15.75" thickBot="1">
      <c r="A4" s="17" t="s">
        <v>177</v>
      </c>
      <c r="B4" s="208"/>
      <c r="C4" s="208"/>
      <c r="D4" s="35"/>
    </row>
    <row r="5" spans="1:4" ht="15.75" thickBot="1">
      <c r="A5" s="17" t="s">
        <v>67</v>
      </c>
      <c r="B5" s="208"/>
      <c r="C5" s="208"/>
      <c r="D5" s="35"/>
    </row>
    <row r="6" spans="1:4" ht="15.75" thickBot="1">
      <c r="A6" s="17" t="s">
        <v>997</v>
      </c>
      <c r="B6" s="208"/>
      <c r="C6" s="208"/>
      <c r="D6" s="35"/>
    </row>
    <row r="7" spans="1:4" ht="26.25" customHeight="1" thickBot="1">
      <c r="A7" s="68" t="s">
        <v>44</v>
      </c>
      <c r="B7" s="13"/>
      <c r="C7" s="13"/>
      <c r="D7" s="121"/>
    </row>
    <row r="8" spans="1:4" ht="15.75" thickTop="1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</sheetPr>
  <dimension ref="A1:G8"/>
  <sheetViews>
    <sheetView showGridLines="0" zoomScaleSheetLayoutView="100" workbookViewId="0"/>
  </sheetViews>
  <sheetFormatPr defaultRowHeight="15"/>
  <cols>
    <col min="1" max="1" width="14.42578125" customWidth="1"/>
    <col min="2" max="7" width="12" customWidth="1"/>
  </cols>
  <sheetData>
    <row r="1" spans="1:7" ht="17.25" thickBot="1">
      <c r="A1" s="44" t="s">
        <v>953</v>
      </c>
    </row>
    <row r="2" spans="1:7" ht="36.75" customHeight="1" thickTop="1" thickBot="1">
      <c r="A2" s="273" t="s">
        <v>121</v>
      </c>
      <c r="B2" s="276" t="s">
        <v>115</v>
      </c>
      <c r="C2" s="277"/>
      <c r="D2" s="278"/>
      <c r="E2" s="257" t="s">
        <v>164</v>
      </c>
      <c r="F2" s="258"/>
      <c r="G2" s="259"/>
    </row>
    <row r="3" spans="1:7" ht="16.5" thickTop="1" thickBot="1">
      <c r="A3" s="274"/>
      <c r="B3" s="276" t="s">
        <v>500</v>
      </c>
      <c r="C3" s="277"/>
      <c r="D3" s="278"/>
      <c r="E3" s="276" t="s">
        <v>500</v>
      </c>
      <c r="F3" s="277"/>
      <c r="G3" s="278"/>
    </row>
    <row r="4" spans="1:7" ht="46.5" thickTop="1" thickBot="1">
      <c r="A4" s="275"/>
      <c r="B4" s="184" t="s">
        <v>560</v>
      </c>
      <c r="C4" s="184" t="s">
        <v>1115</v>
      </c>
      <c r="D4" s="184" t="s">
        <v>233</v>
      </c>
      <c r="E4" s="184" t="s">
        <v>560</v>
      </c>
      <c r="F4" s="184" t="s">
        <v>1115</v>
      </c>
      <c r="G4" s="184" t="s">
        <v>233</v>
      </c>
    </row>
    <row r="5" spans="1:7" ht="16.5" customHeight="1" thickTop="1" thickBot="1">
      <c r="A5" s="17" t="s">
        <v>1020</v>
      </c>
      <c r="B5" s="208"/>
      <c r="C5" s="208"/>
      <c r="D5" s="208"/>
      <c r="E5" s="208"/>
      <c r="F5" s="208"/>
      <c r="G5" s="35"/>
    </row>
    <row r="6" spans="1:7" ht="15.75" thickBot="1">
      <c r="A6" s="17" t="s">
        <v>271</v>
      </c>
      <c r="B6" s="208"/>
      <c r="C6" s="208"/>
      <c r="D6" s="208"/>
      <c r="E6" s="208"/>
      <c r="F6" s="208"/>
      <c r="G6" s="35"/>
    </row>
    <row r="7" spans="1:7" ht="15.75" thickBot="1">
      <c r="A7" s="36" t="s">
        <v>854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</sheetPr>
  <dimension ref="A1:B27"/>
  <sheetViews>
    <sheetView showGridLines="0" zoomScaleSheetLayoutView="100" workbookViewId="0"/>
  </sheetViews>
  <sheetFormatPr defaultRowHeight="15"/>
  <cols>
    <col min="1" max="1" width="41" customWidth="1"/>
    <col min="2" max="2" width="45.42578125" customWidth="1"/>
    <col min="3" max="7" width="12" customWidth="1"/>
  </cols>
  <sheetData>
    <row r="1" spans="1:2" ht="16.5" customHeight="1">
      <c r="A1" s="279" t="s">
        <v>776</v>
      </c>
      <c r="B1" s="279"/>
    </row>
    <row r="2" spans="1:2" ht="15.75" thickBot="1">
      <c r="A2" s="146" t="s">
        <v>214</v>
      </c>
      <c r="B2" s="146"/>
    </row>
    <row r="3" spans="1:2" ht="16.5" thickTop="1" thickBot="1">
      <c r="A3" s="109" t="s">
        <v>481</v>
      </c>
      <c r="B3" s="212" t="s">
        <v>720</v>
      </c>
    </row>
    <row r="4" spans="1:2" ht="16.5" thickTop="1" thickBot="1">
      <c r="A4" s="36" t="s">
        <v>77</v>
      </c>
      <c r="B4" s="23">
        <f>IF(SUMIF(SUP!C:C,"100",SUP!E:E)&gt; 0,SUMIF(SUP!C:C,"100",SUP!E:E), 0)</f>
        <v>7560</v>
      </c>
    </row>
    <row r="5" spans="1:2" ht="16.5" thickTop="1" thickBot="1">
      <c r="A5" s="36" t="s">
        <v>362</v>
      </c>
      <c r="B5" s="141" t="s">
        <v>115</v>
      </c>
    </row>
    <row r="6" spans="1:2" ht="16.5" thickTop="1" thickBot="1">
      <c r="A6" s="17" t="s">
        <v>18</v>
      </c>
      <c r="B6" s="237"/>
    </row>
    <row r="7" spans="1:2" ht="15.75" thickBot="1">
      <c r="A7" s="17" t="s">
        <v>817</v>
      </c>
      <c r="B7" s="237"/>
    </row>
    <row r="8" spans="1:2" ht="15.75" thickBot="1">
      <c r="A8" s="17" t="s">
        <v>483</v>
      </c>
      <c r="B8" s="237"/>
    </row>
    <row r="9" spans="1:2" ht="15.75" thickBot="1">
      <c r="A9" s="17" t="s">
        <v>852</v>
      </c>
      <c r="B9" s="237"/>
    </row>
    <row r="10" spans="1:2" ht="15.75" thickBot="1">
      <c r="A10" s="17" t="s">
        <v>881</v>
      </c>
      <c r="B10" s="237"/>
    </row>
    <row r="11" spans="1:2" ht="15.75" thickBot="1">
      <c r="A11" s="17" t="s">
        <v>14</v>
      </c>
      <c r="B11" s="237"/>
    </row>
    <row r="12" spans="1:2" ht="15.75" thickBot="1">
      <c r="A12" s="17" t="s">
        <v>1063</v>
      </c>
      <c r="B12" s="237"/>
    </row>
    <row r="13" spans="1:2" ht="15.75" thickBot="1">
      <c r="A13" s="17" t="s">
        <v>463</v>
      </c>
      <c r="B13" s="237"/>
    </row>
    <row r="14" spans="1:2" ht="15.75" thickBot="1">
      <c r="A14" s="36" t="s">
        <v>854</v>
      </c>
      <c r="B14" s="65">
        <f>SUM(B6:B13)</f>
        <v>0</v>
      </c>
    </row>
    <row r="15" spans="1:2" ht="15.75" thickTop="1">
      <c r="A15" s="146"/>
      <c r="B15" s="7"/>
    </row>
    <row r="16" spans="1:2" ht="15.75" thickBot="1">
      <c r="A16" s="146" t="s">
        <v>5</v>
      </c>
      <c r="B16" s="7"/>
    </row>
    <row r="17" spans="1:2" ht="16.5" thickTop="1" thickBot="1">
      <c r="A17" s="109" t="s">
        <v>481</v>
      </c>
      <c r="B17" s="10" t="s">
        <v>720</v>
      </c>
    </row>
    <row r="18" spans="1:2" ht="16.5" thickTop="1" thickBot="1">
      <c r="A18" s="36" t="s">
        <v>438</v>
      </c>
      <c r="B18" s="23">
        <f>IF(SUMIF(SUP!C:C,"100",SUP!E:E)&gt; 0,0,SUMIF(SUP!C:C,"100",SUP!E:E))</f>
        <v>0</v>
      </c>
    </row>
    <row r="19" spans="1:2" ht="16.5" thickTop="1" thickBot="1">
      <c r="A19" s="36" t="s">
        <v>192</v>
      </c>
      <c r="B19" s="141" t="s">
        <v>115</v>
      </c>
    </row>
    <row r="20" spans="1:2" ht="16.5" thickTop="1" thickBot="1">
      <c r="A20" s="17" t="s">
        <v>221</v>
      </c>
      <c r="B20" s="237"/>
    </row>
    <row r="21" spans="1:2" ht="15.75" thickBot="1">
      <c r="A21" s="17" t="s">
        <v>665</v>
      </c>
      <c r="B21" s="35"/>
    </row>
    <row r="22" spans="1:2" ht="15.75" thickBot="1">
      <c r="A22" s="17" t="s">
        <v>85</v>
      </c>
      <c r="B22" s="35"/>
    </row>
    <row r="23" spans="1:2" ht="15.75" thickBot="1">
      <c r="A23" s="17" t="s">
        <v>602</v>
      </c>
      <c r="B23" s="35"/>
    </row>
    <row r="24" spans="1:2" ht="15.75" thickBot="1">
      <c r="A24" s="17" t="s">
        <v>1116</v>
      </c>
      <c r="B24" s="35"/>
    </row>
    <row r="25" spans="1:2" ht="15.75" thickBot="1">
      <c r="A25" s="17" t="s">
        <v>463</v>
      </c>
      <c r="B25" s="35"/>
    </row>
    <row r="26" spans="1:2" ht="15.75" thickBot="1">
      <c r="A26" s="36" t="s">
        <v>1015</v>
      </c>
      <c r="B26" s="121">
        <f>SUM(B20:B25)</f>
        <v>0</v>
      </c>
    </row>
    <row r="27" spans="1:2" ht="15.75" thickTop="1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</sheetPr>
  <dimension ref="A1:I36"/>
  <sheetViews>
    <sheetView showGridLines="0" zoomScaleSheetLayoutView="100" workbookViewId="0"/>
  </sheetViews>
  <sheetFormatPr defaultRowHeight="1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>
      <c r="A1" s="134" t="s">
        <v>267</v>
      </c>
      <c r="B1" s="146"/>
      <c r="C1" s="146"/>
      <c r="D1" s="146"/>
      <c r="E1" s="146"/>
      <c r="F1" s="146"/>
    </row>
    <row r="2" spans="1:9" ht="15.75" thickBot="1">
      <c r="A2" s="146" t="s">
        <v>214</v>
      </c>
      <c r="B2" s="146"/>
      <c r="C2" s="146"/>
      <c r="D2" s="146"/>
      <c r="E2" s="146"/>
      <c r="F2" s="146"/>
    </row>
    <row r="3" spans="1:9" ht="16.5" thickTop="1" thickBot="1">
      <c r="A3" s="273" t="s">
        <v>481</v>
      </c>
      <c r="B3" s="276" t="s">
        <v>115</v>
      </c>
      <c r="C3" s="277"/>
      <c r="D3" s="277"/>
      <c r="E3" s="277"/>
      <c r="F3" s="278"/>
    </row>
    <row r="4" spans="1:9" s="173" customFormat="1" ht="33" customHeight="1" thickTop="1" thickBot="1">
      <c r="A4" s="275"/>
      <c r="B4" s="184" t="s">
        <v>51</v>
      </c>
      <c r="C4" s="184" t="s">
        <v>940</v>
      </c>
      <c r="D4" s="198" t="s">
        <v>625</v>
      </c>
      <c r="E4" s="187" t="s">
        <v>636</v>
      </c>
      <c r="F4" s="184" t="s">
        <v>80</v>
      </c>
    </row>
    <row r="5" spans="1:9" ht="21" customHeight="1" thickTop="1" thickBot="1">
      <c r="A5" s="68" t="s">
        <v>425</v>
      </c>
      <c r="B5" s="26">
        <f>SUMIF(HK!A:A,"459*",HK!D:D)-SUMIF(HK!A:A,"459*",HK!C:C)</f>
        <v>0</v>
      </c>
      <c r="C5" s="227">
        <f>SUM(C6:C10)</f>
        <v>0</v>
      </c>
      <c r="D5" s="227">
        <f>SUM(D6:D10)</f>
        <v>0</v>
      </c>
      <c r="E5" s="227">
        <f>SUM(E6:E10)</f>
        <v>0</v>
      </c>
      <c r="F5" s="40">
        <f>SUMIF(HK!A:A,"459*",HK!L:L)-SUMIF(HK!A:A,"459*",HK!K:K)</f>
        <v>0</v>
      </c>
      <c r="G5" s="222"/>
      <c r="H5" s="24"/>
      <c r="I5" s="222"/>
    </row>
    <row r="6" spans="1:9" ht="21" customHeight="1" thickTop="1" thickBot="1">
      <c r="A6" s="185"/>
      <c r="B6" s="244"/>
      <c r="C6" s="140"/>
      <c r="D6" s="125"/>
      <c r="E6" s="125"/>
      <c r="F6" s="53">
        <f>SUM(B6:E6)</f>
        <v>0</v>
      </c>
      <c r="G6" s="222"/>
      <c r="H6" s="222"/>
      <c r="I6" s="222"/>
    </row>
    <row r="7" spans="1:9" ht="21" customHeight="1" thickBot="1">
      <c r="A7" s="185"/>
      <c r="B7" s="244"/>
      <c r="C7" s="140"/>
      <c r="D7" s="199"/>
      <c r="E7" s="199"/>
      <c r="F7" s="53">
        <f>SUM(B7:E7)</f>
        <v>0</v>
      </c>
      <c r="G7" s="222"/>
      <c r="H7" s="222"/>
      <c r="I7" s="222"/>
    </row>
    <row r="8" spans="1:9" ht="21" customHeight="1" thickBot="1">
      <c r="A8" s="185"/>
      <c r="B8" s="244"/>
      <c r="C8" s="140"/>
      <c r="D8" s="199"/>
      <c r="E8" s="199"/>
      <c r="F8" s="53">
        <f>SUM(B8:E8)</f>
        <v>0</v>
      </c>
      <c r="G8" s="222"/>
      <c r="H8" s="222"/>
      <c r="I8" s="222"/>
    </row>
    <row r="9" spans="1:9" ht="21" customHeight="1" thickBot="1">
      <c r="A9" s="185"/>
      <c r="B9" s="244"/>
      <c r="C9" s="140"/>
      <c r="D9" s="199"/>
      <c r="E9" s="199"/>
      <c r="F9" s="53">
        <f>SUM(B9:E9)</f>
        <v>0</v>
      </c>
      <c r="G9" s="222"/>
      <c r="H9" s="222"/>
      <c r="I9" s="222"/>
    </row>
    <row r="10" spans="1:9" ht="21" customHeight="1" thickBot="1">
      <c r="A10" s="229"/>
      <c r="B10" s="87"/>
      <c r="C10" s="215"/>
      <c r="D10" s="25"/>
      <c r="E10" s="25"/>
      <c r="F10" s="177">
        <f>SUM(B10:E10)</f>
        <v>0</v>
      </c>
      <c r="G10" s="222"/>
      <c r="H10" s="222"/>
      <c r="I10" s="222"/>
    </row>
    <row r="11" spans="1:9" ht="21" customHeight="1" thickTop="1" thickBot="1">
      <c r="A11" s="68" t="s">
        <v>160</v>
      </c>
      <c r="B11" s="183">
        <f>SUMIF(HK!A:A,"323*",HK!D:D)-SUMIF(HK!A:A,"323*",HK!C:C)</f>
        <v>0</v>
      </c>
      <c r="C11" s="215">
        <f>SUM(C12:C16)</f>
        <v>0</v>
      </c>
      <c r="D11" s="215">
        <f>SUM(D12:D16)</f>
        <v>0</v>
      </c>
      <c r="E11" s="215">
        <f>SUM(E12:E16)</f>
        <v>0</v>
      </c>
      <c r="F11" s="153">
        <f>SUMIF(HK!A:A,"323*",HK!L:L)-SUMIF(HK!A:A,"323*",HK!K:K)</f>
        <v>0</v>
      </c>
      <c r="G11" s="222"/>
      <c r="H11" s="24"/>
      <c r="I11" s="222"/>
    </row>
    <row r="12" spans="1:9" ht="21" customHeight="1" thickTop="1" thickBot="1">
      <c r="A12" s="185"/>
      <c r="B12" s="244"/>
      <c r="C12" s="140"/>
      <c r="D12" s="125"/>
      <c r="E12" s="125"/>
      <c r="F12" s="53">
        <f t="shared" ref="F12:F17" si="0">SUM(B12:E12)</f>
        <v>0</v>
      </c>
      <c r="G12" s="222"/>
      <c r="H12" s="222"/>
      <c r="I12" s="222"/>
    </row>
    <row r="13" spans="1:9" ht="21" customHeight="1" thickBot="1">
      <c r="A13" s="185"/>
      <c r="B13" s="43"/>
      <c r="C13" s="208"/>
      <c r="D13" s="249"/>
      <c r="E13" s="249"/>
      <c r="F13" s="113">
        <f t="shared" si="0"/>
        <v>0</v>
      </c>
    </row>
    <row r="14" spans="1:9" ht="21" customHeight="1" thickBot="1">
      <c r="A14" s="185"/>
      <c r="B14" s="43"/>
      <c r="C14" s="208"/>
      <c r="D14" s="249"/>
      <c r="E14" s="249"/>
      <c r="F14" s="113">
        <f t="shared" si="0"/>
        <v>0</v>
      </c>
    </row>
    <row r="15" spans="1:9" ht="21" customHeight="1" thickBot="1">
      <c r="A15" s="185"/>
      <c r="B15" s="43"/>
      <c r="C15" s="208"/>
      <c r="D15" s="249"/>
      <c r="E15" s="249"/>
      <c r="F15" s="113">
        <f t="shared" si="0"/>
        <v>0</v>
      </c>
    </row>
    <row r="16" spans="1:9" ht="21" customHeight="1" thickBot="1">
      <c r="A16" s="185"/>
      <c r="B16" s="43"/>
      <c r="C16" s="208"/>
      <c r="D16" s="249"/>
      <c r="E16" s="249"/>
      <c r="F16" s="113">
        <f t="shared" si="0"/>
        <v>0</v>
      </c>
    </row>
    <row r="17" spans="1:9" ht="21" customHeight="1" thickBot="1">
      <c r="A17" s="229"/>
      <c r="B17" s="239"/>
      <c r="C17" s="106"/>
      <c r="D17" s="169"/>
      <c r="E17" s="169"/>
      <c r="F17" s="71">
        <f t="shared" si="0"/>
        <v>0</v>
      </c>
    </row>
    <row r="18" spans="1:9" ht="15.75" thickTop="1">
      <c r="A18" s="173"/>
      <c r="B18" s="173"/>
      <c r="C18" s="173"/>
      <c r="D18" s="173"/>
      <c r="E18" s="173"/>
      <c r="F18" s="173"/>
    </row>
    <row r="19" spans="1:9" ht="16.5">
      <c r="A19" s="251"/>
    </row>
    <row r="20" spans="1:9" ht="15.75" thickBot="1">
      <c r="A20" s="146" t="s">
        <v>5</v>
      </c>
      <c r="B20" s="146"/>
      <c r="C20" s="146"/>
      <c r="D20" s="146"/>
      <c r="E20" s="146"/>
      <c r="F20" s="146"/>
    </row>
    <row r="21" spans="1:9" ht="16.5" thickTop="1" thickBot="1">
      <c r="A21" s="273" t="s">
        <v>481</v>
      </c>
      <c r="B21" s="276" t="s">
        <v>720</v>
      </c>
      <c r="C21" s="277"/>
      <c r="D21" s="277"/>
      <c r="E21" s="277"/>
      <c r="F21" s="278"/>
    </row>
    <row r="22" spans="1:9" s="173" customFormat="1" ht="24" thickTop="1" thickBot="1">
      <c r="A22" s="275"/>
      <c r="B22" s="184" t="s">
        <v>51</v>
      </c>
      <c r="C22" s="184" t="s">
        <v>940</v>
      </c>
      <c r="D22" s="198" t="s">
        <v>625</v>
      </c>
      <c r="E22" s="187" t="s">
        <v>636</v>
      </c>
      <c r="F22" s="184" t="s">
        <v>80</v>
      </c>
    </row>
    <row r="23" spans="1:9" ht="21" customHeight="1" thickTop="1" thickBot="1">
      <c r="A23" s="229" t="s">
        <v>425</v>
      </c>
      <c r="B23" s="26">
        <f>SUMIF(HKM!A:A,"459*",HKM!D:D)-SUMIF(HKM!A:A,"459*",HKM!C:C)</f>
        <v>0</v>
      </c>
      <c r="C23" s="227">
        <f>SUM(C24:C28)</f>
        <v>0</v>
      </c>
      <c r="D23" s="227">
        <f>SUM(D24:D28)</f>
        <v>0</v>
      </c>
      <c r="E23" s="227">
        <f>SUM(E24:E28)</f>
        <v>0</v>
      </c>
      <c r="F23" s="40">
        <f>SUMIF(HKM!A:A,"459*",HKM!L:L)-SUMIF(HKM!A:A,"459*",HKM!K:K)</f>
        <v>0</v>
      </c>
      <c r="G23" s="222"/>
      <c r="H23" s="24"/>
      <c r="I23" s="222"/>
    </row>
    <row r="24" spans="1:9" ht="21" customHeight="1" thickTop="1" thickBot="1">
      <c r="A24" s="185"/>
      <c r="B24" s="244"/>
      <c r="C24" s="140"/>
      <c r="D24" s="125"/>
      <c r="E24" s="125"/>
      <c r="F24" s="53">
        <f>SUM(B24:E24)</f>
        <v>0</v>
      </c>
      <c r="G24" s="222"/>
      <c r="H24" s="222"/>
      <c r="I24" s="222"/>
    </row>
    <row r="25" spans="1:9" ht="21" customHeight="1" thickBot="1">
      <c r="A25" s="185"/>
      <c r="B25" s="244"/>
      <c r="C25" s="140"/>
      <c r="D25" s="199"/>
      <c r="E25" s="199"/>
      <c r="F25" s="53">
        <f>SUM(B25:E25)</f>
        <v>0</v>
      </c>
      <c r="G25" s="222"/>
      <c r="H25" s="222"/>
      <c r="I25" s="222"/>
    </row>
    <row r="26" spans="1:9" ht="21" customHeight="1" thickBot="1">
      <c r="A26" s="185"/>
      <c r="B26" s="244"/>
      <c r="C26" s="140"/>
      <c r="D26" s="199"/>
      <c r="E26" s="199"/>
      <c r="F26" s="53">
        <f>SUM(B26:E26)</f>
        <v>0</v>
      </c>
      <c r="G26" s="222"/>
      <c r="H26" s="222"/>
      <c r="I26" s="222"/>
    </row>
    <row r="27" spans="1:9" ht="21" customHeight="1" thickBot="1">
      <c r="A27" s="185"/>
      <c r="B27" s="244"/>
      <c r="C27" s="140"/>
      <c r="D27" s="199"/>
      <c r="E27" s="199"/>
      <c r="F27" s="53">
        <f>SUM(B27:E27)</f>
        <v>0</v>
      </c>
      <c r="G27" s="222"/>
      <c r="H27" s="222"/>
      <c r="I27" s="222"/>
    </row>
    <row r="28" spans="1:9" ht="21" customHeight="1" thickBot="1">
      <c r="A28" s="229"/>
      <c r="B28" s="87"/>
      <c r="C28" s="215"/>
      <c r="D28" s="25"/>
      <c r="E28" s="25"/>
      <c r="F28" s="177">
        <f>SUM(B28:E28)</f>
        <v>0</v>
      </c>
      <c r="G28" s="222"/>
      <c r="H28" s="222"/>
      <c r="I28" s="222"/>
    </row>
    <row r="29" spans="1:9" ht="21" customHeight="1" thickTop="1" thickBot="1">
      <c r="A29" s="229" t="s">
        <v>160</v>
      </c>
      <c r="B29" s="183">
        <f>SUMIF(HKM!A:A,"323*",HKM!D:D)-SUMIF(HKM!A:A,"323*",HKM!C:C)</f>
        <v>0</v>
      </c>
      <c r="C29" s="215">
        <f>SUM(C30:C34)</f>
        <v>0</v>
      </c>
      <c r="D29" s="215">
        <f>SUM(D30:D34)</f>
        <v>0</v>
      </c>
      <c r="E29" s="215">
        <f>SUM(E30:E34)</f>
        <v>0</v>
      </c>
      <c r="F29" s="153">
        <f>SUMIF(HKM!A:A,"323*",HKM!L:L)-SUMIF(HKM!A:A,"323*",HKM!K:K)</f>
        <v>0</v>
      </c>
      <c r="G29" s="222"/>
      <c r="H29" s="24"/>
      <c r="I29" s="222"/>
    </row>
    <row r="30" spans="1:9" ht="21" customHeight="1" thickTop="1" thickBot="1">
      <c r="A30" s="185"/>
      <c r="B30" s="244"/>
      <c r="C30" s="140"/>
      <c r="D30" s="125"/>
      <c r="E30" s="125"/>
      <c r="F30" s="53">
        <f t="shared" ref="F30:F35" si="1">SUM(B30:E30)</f>
        <v>0</v>
      </c>
      <c r="G30" s="222"/>
      <c r="H30" s="222"/>
      <c r="I30" s="222"/>
    </row>
    <row r="31" spans="1:9" ht="21" customHeight="1" thickBot="1">
      <c r="A31" s="185"/>
      <c r="B31" s="43"/>
      <c r="C31" s="208"/>
      <c r="D31" s="249"/>
      <c r="E31" s="249"/>
      <c r="F31" s="113">
        <f t="shared" si="1"/>
        <v>0</v>
      </c>
    </row>
    <row r="32" spans="1:9" ht="21" customHeight="1" thickBot="1">
      <c r="A32" s="185"/>
      <c r="B32" s="43"/>
      <c r="C32" s="208"/>
      <c r="D32" s="249"/>
      <c r="E32" s="249"/>
      <c r="F32" s="113">
        <f t="shared" si="1"/>
        <v>0</v>
      </c>
    </row>
    <row r="33" spans="1:6" ht="21" customHeight="1" thickBot="1">
      <c r="A33" s="185"/>
      <c r="B33" s="43"/>
      <c r="C33" s="208"/>
      <c r="D33" s="249"/>
      <c r="E33" s="249"/>
      <c r="F33" s="113">
        <f t="shared" si="1"/>
        <v>0</v>
      </c>
    </row>
    <row r="34" spans="1:6" ht="21" customHeight="1" thickBot="1">
      <c r="A34" s="185"/>
      <c r="B34" s="43"/>
      <c r="C34" s="208"/>
      <c r="D34" s="249"/>
      <c r="E34" s="249"/>
      <c r="F34" s="113">
        <f t="shared" si="1"/>
        <v>0</v>
      </c>
    </row>
    <row r="35" spans="1:6" ht="21" customHeight="1" thickBot="1">
      <c r="A35" s="229"/>
      <c r="B35" s="239"/>
      <c r="C35" s="106"/>
      <c r="D35" s="169"/>
      <c r="E35" s="169"/>
      <c r="F35" s="71">
        <f t="shared" si="1"/>
        <v>0</v>
      </c>
    </row>
    <row r="36" spans="1:6" ht="15.75" thickTop="1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SheetLayoutView="100" workbookViewId="0"/>
  </sheetViews>
  <sheetFormatPr defaultRowHeight="1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>
      <c r="A1" s="44" t="s">
        <v>119</v>
      </c>
    </row>
    <row r="2" spans="1:3" ht="26.25" customHeight="1" thickTop="1" thickBot="1">
      <c r="A2" s="109" t="s">
        <v>481</v>
      </c>
      <c r="B2" s="47" t="s">
        <v>115</v>
      </c>
      <c r="C2" s="47" t="s">
        <v>720</v>
      </c>
    </row>
    <row r="3" spans="1:3" ht="26.25" customHeight="1" thickTop="1" thickBot="1">
      <c r="A3" s="129" t="s">
        <v>781</v>
      </c>
      <c r="B3" s="131"/>
      <c r="C3" s="130"/>
    </row>
    <row r="4" spans="1:3" ht="26.25" customHeight="1" thickTop="1" thickBot="1">
      <c r="A4" s="174" t="s">
        <v>346</v>
      </c>
      <c r="B4" s="19"/>
      <c r="C4" s="231"/>
    </row>
    <row r="5" spans="1:3" ht="31.5" customHeight="1" thickBot="1">
      <c r="A5" s="174" t="s">
        <v>1010</v>
      </c>
      <c r="B5" s="131"/>
      <c r="C5" s="130"/>
    </row>
    <row r="6" spans="1:3" ht="20.25" customHeight="1" thickBot="1">
      <c r="A6" s="18" t="s">
        <v>304</v>
      </c>
      <c r="B6" s="131"/>
      <c r="C6" s="130"/>
    </row>
    <row r="7" spans="1:3" ht="26.25" customHeight="1" thickBot="1">
      <c r="A7" s="174" t="s">
        <v>248</v>
      </c>
      <c r="B7" s="43"/>
      <c r="C7" s="35"/>
    </row>
    <row r="8" spans="1:3" ht="27.75" customHeight="1" thickBot="1">
      <c r="A8" s="174" t="s">
        <v>235</v>
      </c>
      <c r="B8" s="43"/>
      <c r="C8" s="35"/>
    </row>
    <row r="9" spans="1:3" ht="20.25" customHeight="1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00B050"/>
  </sheetPr>
  <dimension ref="A1:E20"/>
  <sheetViews>
    <sheetView showGridLines="0" zoomScaleSheetLayoutView="100" workbookViewId="0"/>
  </sheetViews>
  <sheetFormatPr defaultRowHeight="1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73" customFormat="1" ht="40.5" customHeight="1" thickBot="1">
      <c r="A1" s="270" t="s">
        <v>999</v>
      </c>
      <c r="B1" s="270"/>
      <c r="C1" s="270"/>
    </row>
    <row r="2" spans="1:5" ht="24" thickTop="1" thickBot="1">
      <c r="A2" s="109" t="s">
        <v>481</v>
      </c>
      <c r="B2" s="47" t="s">
        <v>115</v>
      </c>
      <c r="C2" s="47" t="s">
        <v>720</v>
      </c>
    </row>
    <row r="3" spans="1:5" ht="35.25" thickTop="1" thickBot="1">
      <c r="A3" s="18" t="s">
        <v>103</v>
      </c>
      <c r="B3" s="208"/>
      <c r="C3" s="35"/>
    </row>
    <row r="4" spans="1:5" ht="23.25" customHeight="1" thickBot="1">
      <c r="A4" s="174" t="s">
        <v>689</v>
      </c>
      <c r="B4" s="208"/>
      <c r="C4" s="35"/>
    </row>
    <row r="5" spans="1:5" ht="23.25" customHeight="1" thickBot="1">
      <c r="A5" s="174" t="s">
        <v>32</v>
      </c>
      <c r="B5" s="208"/>
      <c r="C5" s="35"/>
    </row>
    <row r="6" spans="1:5" ht="45.75" thickBot="1">
      <c r="A6" s="18" t="s">
        <v>348</v>
      </c>
      <c r="B6" s="208"/>
      <c r="C6" s="35"/>
    </row>
    <row r="7" spans="1:5" ht="23.25" customHeight="1" thickBot="1">
      <c r="A7" s="174" t="s">
        <v>689</v>
      </c>
      <c r="B7" s="208"/>
      <c r="C7" s="35"/>
    </row>
    <row r="8" spans="1:5" ht="23.25" customHeight="1" thickBot="1">
      <c r="A8" s="174" t="s">
        <v>32</v>
      </c>
      <c r="B8" s="208"/>
      <c r="C8" s="35"/>
    </row>
    <row r="9" spans="1:5" ht="23.25" customHeight="1" thickBot="1">
      <c r="A9" s="18" t="s">
        <v>505</v>
      </c>
      <c r="B9" s="208"/>
      <c r="C9" s="35"/>
    </row>
    <row r="10" spans="1:5" ht="23.25" customHeight="1" thickBot="1">
      <c r="A10" s="18" t="s">
        <v>561</v>
      </c>
      <c r="B10" s="208"/>
      <c r="C10" s="35"/>
    </row>
    <row r="11" spans="1:5" ht="23.25" customHeight="1" thickBot="1">
      <c r="A11" s="18" t="s">
        <v>848</v>
      </c>
      <c r="B11" s="154">
        <v>0.22</v>
      </c>
      <c r="C11" s="3">
        <v>0.23</v>
      </c>
    </row>
    <row r="12" spans="1:5" ht="23.25" customHeight="1" thickBot="1">
      <c r="A12" s="18" t="s">
        <v>569</v>
      </c>
      <c r="B12" s="242">
        <f>SUMIF(SUA!C:C,"052",SUA!F:F)</f>
        <v>0</v>
      </c>
      <c r="C12" s="75">
        <f>SUMIF(SUA!C:C,"052",SUA!G:G)</f>
        <v>0</v>
      </c>
      <c r="D12" s="222"/>
      <c r="E12" s="95"/>
    </row>
    <row r="13" spans="1:5" ht="23.25" customHeight="1" thickBot="1">
      <c r="A13" s="18" t="s">
        <v>883</v>
      </c>
      <c r="B13" s="140"/>
      <c r="C13" s="237"/>
      <c r="D13" s="222"/>
      <c r="E13" s="222"/>
    </row>
    <row r="14" spans="1:5" ht="23.25" customHeight="1" thickBot="1">
      <c r="A14" s="174" t="s">
        <v>634</v>
      </c>
      <c r="B14" s="140"/>
      <c r="C14" s="237"/>
      <c r="D14" s="222"/>
      <c r="E14" s="222"/>
    </row>
    <row r="15" spans="1:5" ht="23.25" customHeight="1" thickBot="1">
      <c r="A15" s="174" t="s">
        <v>337</v>
      </c>
      <c r="B15" s="140"/>
      <c r="C15" s="237"/>
      <c r="D15" s="222"/>
      <c r="E15" s="222"/>
    </row>
    <row r="16" spans="1:5" ht="23.25" customHeight="1" thickBot="1">
      <c r="A16" s="143" t="s">
        <v>597</v>
      </c>
      <c r="B16" s="242">
        <f>SUMIF(SUA!C:C,"117",SUA!F:F)</f>
        <v>0</v>
      </c>
      <c r="C16" s="75">
        <f>SUMIF(SUA!C:C,"117",SUA!G:G)</f>
        <v>0</v>
      </c>
      <c r="D16" s="222"/>
      <c r="E16" s="95"/>
    </row>
    <row r="17" spans="1:3" ht="23.25" customHeight="1" thickBot="1">
      <c r="A17" s="81" t="s">
        <v>116</v>
      </c>
      <c r="B17" s="208"/>
      <c r="C17" s="35"/>
    </row>
    <row r="18" spans="1:3" ht="23.25" customHeight="1" thickBot="1">
      <c r="A18" s="174" t="s">
        <v>650</v>
      </c>
      <c r="B18" s="208"/>
      <c r="C18" s="35"/>
    </row>
    <row r="19" spans="1:3" ht="23.25" customHeight="1" thickBot="1">
      <c r="A19" s="59" t="s">
        <v>337</v>
      </c>
      <c r="B19" s="45"/>
      <c r="C19" s="132"/>
    </row>
    <row r="20" spans="1:3" ht="18.75" customHeight="1" thickBot="1">
      <c r="A20" s="4" t="s">
        <v>673</v>
      </c>
      <c r="B20" s="83"/>
      <c r="C20" s="83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M53"/>
  <sheetViews>
    <sheetView showGridLines="0" zoomScaleSheetLayoutView="100" workbookViewId="0"/>
  </sheetViews>
  <sheetFormatPr defaultRowHeight="15"/>
  <cols>
    <col min="1" max="1" width="29.42578125" customWidth="1"/>
    <col min="2" max="9" width="12.5703125" customWidth="1"/>
  </cols>
  <sheetData>
    <row r="1" spans="1:12" ht="16.5">
      <c r="A1" s="44" t="s">
        <v>81</v>
      </c>
    </row>
    <row r="2" spans="1:12" ht="17.25" thickBot="1">
      <c r="A2" s="251" t="s">
        <v>214</v>
      </c>
    </row>
    <row r="3" spans="1:12" ht="15" customHeight="1" thickTop="1" thickBot="1">
      <c r="A3" s="252" t="s">
        <v>92</v>
      </c>
      <c r="B3" s="257" t="s">
        <v>115</v>
      </c>
      <c r="C3" s="258"/>
      <c r="D3" s="258"/>
      <c r="E3" s="258"/>
      <c r="F3" s="258"/>
      <c r="G3" s="258"/>
      <c r="H3" s="258"/>
      <c r="I3" s="259"/>
    </row>
    <row r="4" spans="1:12" ht="35.25" customHeight="1" thickTop="1" thickBot="1">
      <c r="A4" s="253"/>
      <c r="B4" s="160" t="s">
        <v>198</v>
      </c>
      <c r="C4" s="32" t="s">
        <v>610</v>
      </c>
      <c r="D4" s="32" t="s">
        <v>803</v>
      </c>
      <c r="E4" s="196" t="s">
        <v>820</v>
      </c>
      <c r="F4" s="160" t="s">
        <v>197</v>
      </c>
      <c r="G4" s="32" t="s">
        <v>491</v>
      </c>
      <c r="H4" s="32" t="s">
        <v>358</v>
      </c>
      <c r="I4" s="32" t="s">
        <v>854</v>
      </c>
    </row>
    <row r="5" spans="1:12" ht="15" customHeight="1" thickTop="1" thickBot="1">
      <c r="A5" s="15" t="s">
        <v>1079</v>
      </c>
      <c r="B5" s="163"/>
      <c r="C5" s="163"/>
      <c r="D5" s="163"/>
      <c r="E5" s="163"/>
      <c r="F5" s="163"/>
      <c r="G5" s="163"/>
      <c r="H5" s="163"/>
      <c r="I5" s="179"/>
    </row>
    <row r="6" spans="1:12" ht="16.5" thickTop="1" thickBot="1">
      <c r="A6" s="18" t="s">
        <v>921</v>
      </c>
      <c r="B6" s="139">
        <f>SUMIF(HK!A:A,"012*",HK!C:C)-SUMIF(HK!A:A,"012*",HK!D:D)</f>
        <v>0</v>
      </c>
      <c r="C6" s="139">
        <f>SUMIF(HK!A:A,"013*",HK!C:C)-SUMIF(HK!A:A,"013*",HK!D:D)</f>
        <v>0</v>
      </c>
      <c r="D6" s="139">
        <f>SUMIF(HK!A:A,"014*",HK!C:C)-SUMIF(HK!A:A,"014*",HK!D:D)</f>
        <v>0</v>
      </c>
      <c r="E6" s="139">
        <f>SUMIF(HK!A:A,"015*",HK!C:C)-SUMIF(HK!A:A,"015*",HK!D:D)</f>
        <v>0</v>
      </c>
      <c r="F6" s="139">
        <f>SUMIF(HK!A:A,"019*",HK!C:C)-SUMIF(HK!A:A,"019*",HK!D:D)</f>
        <v>0</v>
      </c>
      <c r="G6" s="139">
        <f>SUMIF(HK!A:A,"041*",HK!C:C)-SUMIF(HK!A:A,"041*",HK!D:D)</f>
        <v>0</v>
      </c>
      <c r="H6" s="139">
        <f>SUMIF(HK!A:A,"051*",HK!C:C)-SUMIF(HK!A:A,"051*",HK!D:D)</f>
        <v>0</v>
      </c>
      <c r="I6" s="73">
        <f>SUM(B6:H6)</f>
        <v>0</v>
      </c>
      <c r="J6" s="78"/>
      <c r="K6" s="38"/>
      <c r="L6" s="78"/>
    </row>
    <row r="7" spans="1:12" ht="25.5" customHeight="1" thickBot="1">
      <c r="A7" s="174" t="s">
        <v>1052</v>
      </c>
      <c r="B7" s="241"/>
      <c r="C7" s="139"/>
      <c r="D7" s="139"/>
      <c r="E7" s="139"/>
      <c r="F7" s="139"/>
      <c r="G7" s="139"/>
      <c r="H7" s="139"/>
      <c r="I7" s="73">
        <f>SUM(B7:H7)</f>
        <v>0</v>
      </c>
      <c r="J7" s="78"/>
      <c r="K7" s="78"/>
      <c r="L7" s="78"/>
    </row>
    <row r="8" spans="1:12" ht="15" customHeight="1" thickBot="1">
      <c r="A8" s="174" t="s">
        <v>13</v>
      </c>
      <c r="B8" s="241"/>
      <c r="C8" s="241"/>
      <c r="D8" s="241"/>
      <c r="E8" s="241"/>
      <c r="F8" s="29"/>
      <c r="G8" s="241"/>
      <c r="H8" s="241"/>
      <c r="I8" s="73">
        <f>SUM(B8:H8)</f>
        <v>0</v>
      </c>
      <c r="J8" s="78"/>
      <c r="K8" s="78"/>
      <c r="L8" s="78"/>
    </row>
    <row r="9" spans="1:12" ht="23.25" customHeight="1" thickBot="1">
      <c r="A9" s="174" t="s">
        <v>424</v>
      </c>
      <c r="B9" s="241"/>
      <c r="C9" s="139"/>
      <c r="D9" s="139"/>
      <c r="E9" s="139"/>
      <c r="F9" s="139"/>
      <c r="G9" s="139"/>
      <c r="H9" s="139"/>
      <c r="I9" s="73">
        <f>SUM(B9:H9)</f>
        <v>0</v>
      </c>
      <c r="J9" s="78"/>
      <c r="K9" s="78"/>
      <c r="L9" s="78"/>
    </row>
    <row r="10" spans="1:12" ht="15.75" thickBot="1">
      <c r="A10" s="129" t="s">
        <v>80</v>
      </c>
      <c r="B10" s="139">
        <f>SUMIF(HK!A:A,"012*",HK!K:K)-SUMIF(HK!A:A,"012*",HK!L:L)</f>
        <v>0</v>
      </c>
      <c r="C10" s="139">
        <f>SUMIF(HK!A:A,"013*",HK!K:K)-SUMIF(HK!A:A,"013*",HK!L:L)</f>
        <v>0</v>
      </c>
      <c r="D10" s="139">
        <f>SUMIF(HK!A:A,"014*",HK!K:K)-SUMIF(HK!A:A,"014*",HK!L:L)</f>
        <v>0</v>
      </c>
      <c r="E10" s="139">
        <f>SUMIF(HK!A:A,"015*",HK!K:K)-SUMIF(HK!A:A,"015*",HK!L:L)</f>
        <v>0</v>
      </c>
      <c r="F10" s="139">
        <f>SUMIF(HK!A:A,"019*",HK!K:K)-SUMIF(HK!A:A,"019*",HK!L:L)</f>
        <v>0</v>
      </c>
      <c r="G10" s="139">
        <f>SUMIF(HK!A:A,"041*",HK!K:K)-SUMIF(HK!A:A,"041*",HK!L:L)</f>
        <v>0</v>
      </c>
      <c r="H10" s="139">
        <f>SUMIF(HK!A:A,"051*",HK!K:K)-SUMIF(HK!A:A,"051*",HK!L:L)</f>
        <v>0</v>
      </c>
      <c r="I10" s="152">
        <f>I6+I7-I8+I9</f>
        <v>0</v>
      </c>
      <c r="J10" s="78"/>
      <c r="K10" s="38"/>
      <c r="L10" s="78"/>
    </row>
    <row r="11" spans="1:12" ht="15" customHeight="1" thickTop="1" thickBot="1">
      <c r="A11" s="15" t="s">
        <v>252</v>
      </c>
      <c r="B11" s="145"/>
      <c r="C11" s="145"/>
      <c r="D11" s="191"/>
      <c r="E11" s="145"/>
      <c r="F11" s="145"/>
      <c r="G11" s="145"/>
      <c r="H11" s="145"/>
      <c r="I11" s="118"/>
      <c r="J11" s="78"/>
      <c r="K11" s="78"/>
      <c r="L11" s="78"/>
    </row>
    <row r="12" spans="1:12" ht="16.5" thickTop="1" thickBot="1">
      <c r="A12" s="18" t="s">
        <v>51</v>
      </c>
      <c r="B12" s="139">
        <f>SUMIF(HK!A:A,"071*",HK!D:D)-SUMIF(HK!A:A,"071*",HK!C:C)</f>
        <v>0</v>
      </c>
      <c r="C12" s="139">
        <f>SUMIF(HK!A:A,"073*",HK!D:D)-SUMIF(HK!A:A,"073*",HK!C:C)</f>
        <v>0</v>
      </c>
      <c r="D12" s="99">
        <f>SUMIF(HK!A:A,"074*",HK!D:D)-SUMIF(HK!A:A,"074*",HK!C:C)</f>
        <v>0</v>
      </c>
      <c r="E12" s="139">
        <f>SUMIF(HK!A:A,"075*",HK!D:D)-SUMIF(HK!A:A,"075*",HK!C:C)</f>
        <v>0</v>
      </c>
      <c r="F12" s="139">
        <f>SUMIF(HK!A:A,"079*",HK!D:D)-SUMIF(HK!A:A,"079*",HK!C:C)</f>
        <v>0</v>
      </c>
      <c r="G12" s="155"/>
      <c r="H12" s="155"/>
      <c r="I12" s="73">
        <f>SUM(B12:H12)</f>
        <v>0</v>
      </c>
      <c r="J12" s="78"/>
      <c r="K12" s="38"/>
      <c r="L12" s="78"/>
    </row>
    <row r="13" spans="1:12" ht="22.5" customHeight="1" thickBot="1">
      <c r="A13" s="174" t="s">
        <v>1052</v>
      </c>
      <c r="B13" s="241"/>
      <c r="C13" s="139"/>
      <c r="D13" s="139"/>
      <c r="E13" s="139"/>
      <c r="F13" s="139"/>
      <c r="G13" s="241"/>
      <c r="H13" s="241"/>
      <c r="I13" s="73">
        <f>SUM(B13:H13)</f>
        <v>0</v>
      </c>
      <c r="J13" s="78"/>
      <c r="K13" s="78"/>
      <c r="L13" s="78"/>
    </row>
    <row r="14" spans="1:12" ht="21.75" customHeight="1" thickBot="1">
      <c r="A14" s="174" t="s">
        <v>13</v>
      </c>
      <c r="B14" s="139"/>
      <c r="C14" s="139"/>
      <c r="D14" s="139"/>
      <c r="E14" s="139"/>
      <c r="F14" s="139"/>
      <c r="G14" s="241"/>
      <c r="H14" s="241"/>
      <c r="I14" s="73">
        <f>SUM(B14:H14)</f>
        <v>0</v>
      </c>
      <c r="J14" s="78"/>
      <c r="K14" s="78"/>
      <c r="L14" s="78"/>
    </row>
    <row r="15" spans="1:12" ht="21.75" customHeight="1" thickBot="1">
      <c r="A15" s="243" t="s">
        <v>424</v>
      </c>
      <c r="B15" s="139"/>
      <c r="C15" s="139"/>
      <c r="D15" s="139"/>
      <c r="E15" s="139"/>
      <c r="F15" s="139"/>
      <c r="G15" s="172"/>
      <c r="H15" s="29"/>
      <c r="I15" s="137"/>
      <c r="J15" s="78"/>
      <c r="K15" s="78"/>
      <c r="L15" s="78"/>
    </row>
    <row r="16" spans="1:12" ht="15.75" thickBot="1">
      <c r="A16" s="129" t="s">
        <v>80</v>
      </c>
      <c r="B16" s="139">
        <f>SUMIF(HK!A:A,"071*",HK!L:L)-SUMIF(HK!A:A,"071*",HK!K:K)</f>
        <v>0</v>
      </c>
      <c r="C16" s="139">
        <f>SUMIF(HK!A:A,"073*",HK!L:L)-SUMIF(HK!A:A,"073*",HK!K:K)</f>
        <v>0</v>
      </c>
      <c r="D16" s="139">
        <f>SUMIF(HK!A:A,"074*",HK!L:L)-SUMIF(HK!A:A,"074*",HK!K:K)</f>
        <v>0</v>
      </c>
      <c r="E16" s="139">
        <f>SUMIF(HK!A:A,"075*",HK!L:L)-SUMIF(HK!A:A,"075*",HK!K:K)</f>
        <v>0</v>
      </c>
      <c r="F16" s="139">
        <f>SUMIF(HK!A:A,"079*",HK!L:L)-SUMIF(HK!A:A,"079*",HK!K:K)</f>
        <v>0</v>
      </c>
      <c r="G16" s="49"/>
      <c r="H16" s="49"/>
      <c r="I16" s="152">
        <f>I12+I13-I14</f>
        <v>0</v>
      </c>
      <c r="J16" s="78"/>
      <c r="K16" s="38"/>
      <c r="L16" s="78"/>
    </row>
    <row r="17" spans="1:13" ht="15" customHeight="1" thickTop="1" thickBot="1">
      <c r="A17" s="15" t="s">
        <v>1067</v>
      </c>
      <c r="B17" s="145"/>
      <c r="C17" s="145"/>
      <c r="D17" s="145"/>
      <c r="E17" s="145"/>
      <c r="F17" s="145"/>
      <c r="G17" s="145"/>
      <c r="H17" s="145"/>
      <c r="I17" s="118"/>
      <c r="J17" s="78"/>
      <c r="K17" s="78"/>
      <c r="L17" s="78"/>
    </row>
    <row r="18" spans="1:13" ht="16.5" thickTop="1" thickBot="1">
      <c r="A18" s="18" t="s">
        <v>51</v>
      </c>
      <c r="B18" s="139"/>
      <c r="C18" s="139"/>
      <c r="D18" s="139"/>
      <c r="E18" s="139"/>
      <c r="F18" s="139"/>
      <c r="G18" s="139">
        <f>SUMIF(HK!A:A,"093*",HK!D:D)-SUMIF(HK!A:A,"093*",HK!C:C)</f>
        <v>0</v>
      </c>
      <c r="H18" s="139">
        <f>SUMIF(SUAM!C:C,"010",SUAM!E:E)</f>
        <v>0</v>
      </c>
      <c r="I18" s="73">
        <f>SUM(B18:H18)</f>
        <v>0</v>
      </c>
      <c r="J18" s="78"/>
      <c r="K18" s="38"/>
      <c r="L18" s="207"/>
      <c r="M18" s="232"/>
    </row>
    <row r="19" spans="1:13" ht="15" customHeight="1" thickBot="1">
      <c r="A19" s="174" t="s">
        <v>1052</v>
      </c>
      <c r="B19" s="241"/>
      <c r="C19" s="241"/>
      <c r="D19" s="241"/>
      <c r="E19" s="241"/>
      <c r="F19" s="241"/>
      <c r="G19" s="241"/>
      <c r="H19" s="241"/>
      <c r="I19" s="73">
        <f>SUM(B19:H19)</f>
        <v>0</v>
      </c>
      <c r="J19" s="78"/>
      <c r="K19" s="124"/>
      <c r="L19" s="78"/>
    </row>
    <row r="20" spans="1:13" ht="15" customHeight="1" thickBot="1">
      <c r="A20" s="174" t="s">
        <v>13</v>
      </c>
      <c r="B20" s="241"/>
      <c r="C20" s="241"/>
      <c r="D20" s="241"/>
      <c r="E20" s="241"/>
      <c r="F20" s="241"/>
      <c r="G20" s="241"/>
      <c r="H20" s="241"/>
      <c r="I20" s="73">
        <f>SUM(B20:H20)</f>
        <v>0</v>
      </c>
      <c r="J20" s="78"/>
      <c r="K20" s="124"/>
      <c r="L20" s="78"/>
    </row>
    <row r="21" spans="1:13" ht="15" customHeight="1" thickBot="1">
      <c r="A21" s="243" t="s">
        <v>424</v>
      </c>
      <c r="B21" s="241"/>
      <c r="C21" s="241"/>
      <c r="D21" s="241"/>
      <c r="E21" s="241"/>
      <c r="F21" s="241"/>
      <c r="G21" s="241"/>
      <c r="H21" s="241"/>
      <c r="I21" s="223"/>
      <c r="J21" s="78"/>
      <c r="K21" s="124"/>
      <c r="L21" s="78"/>
    </row>
    <row r="22" spans="1:13" ht="15.75" thickBot="1">
      <c r="A22" s="129" t="s">
        <v>80</v>
      </c>
      <c r="B22" s="139"/>
      <c r="C22" s="139"/>
      <c r="D22" s="139"/>
      <c r="E22" s="139"/>
      <c r="F22" s="139"/>
      <c r="G22" s="139">
        <f>SUMIF(HK!A:A,"093*",HK!L:L)-SUMIF(HK!A:A,"093*",HK!K:K)</f>
        <v>0</v>
      </c>
      <c r="H22" s="139">
        <f>SUMIF(SUA!C:C,"010",SUA!E:E)</f>
        <v>0</v>
      </c>
      <c r="I22" s="152">
        <f>I18+I19-I20</f>
        <v>0</v>
      </c>
      <c r="J22" s="78"/>
      <c r="K22" s="38"/>
      <c r="L22" s="207"/>
      <c r="M22" s="232"/>
    </row>
    <row r="23" spans="1:13" ht="15" customHeight="1" thickTop="1" thickBot="1">
      <c r="A23" s="15" t="s">
        <v>587</v>
      </c>
      <c r="B23" s="145"/>
      <c r="C23" s="145"/>
      <c r="D23" s="145"/>
      <c r="E23" s="145"/>
      <c r="F23" s="145"/>
      <c r="G23" s="145"/>
      <c r="H23" s="145"/>
      <c r="I23" s="118"/>
      <c r="J23" s="78"/>
      <c r="K23" s="78"/>
      <c r="L23" s="78"/>
    </row>
    <row r="24" spans="1:13" ht="15" customHeight="1" thickTop="1" thickBot="1">
      <c r="A24" s="18" t="s">
        <v>51</v>
      </c>
      <c r="B24" s="241"/>
      <c r="C24" s="241"/>
      <c r="D24" s="241"/>
      <c r="E24" s="241"/>
      <c r="F24" s="241"/>
      <c r="G24" s="241"/>
      <c r="H24" s="241"/>
      <c r="I24" s="73">
        <f>I6-I12-I18</f>
        <v>0</v>
      </c>
      <c r="J24" s="78"/>
      <c r="K24" s="78"/>
      <c r="L24" s="78"/>
    </row>
    <row r="25" spans="1:13" ht="15" customHeight="1" thickBot="1">
      <c r="A25" s="129" t="s">
        <v>80</v>
      </c>
      <c r="B25" s="49"/>
      <c r="C25" s="49"/>
      <c r="D25" s="49"/>
      <c r="E25" s="49"/>
      <c r="F25" s="49"/>
      <c r="G25" s="49"/>
      <c r="H25" s="49"/>
      <c r="I25" s="152">
        <f>I10-I16-I22</f>
        <v>0</v>
      </c>
      <c r="J25" s="78"/>
      <c r="K25" s="78"/>
      <c r="L25" s="78"/>
    </row>
    <row r="26" spans="1:13" ht="15.75" thickTop="1">
      <c r="A26" s="54"/>
      <c r="B26" s="161"/>
      <c r="C26" s="161"/>
      <c r="D26" s="161"/>
      <c r="E26" s="161"/>
      <c r="F26" s="161"/>
      <c r="G26" s="161"/>
      <c r="H26" s="161"/>
      <c r="I26" s="161"/>
      <c r="J26" s="78"/>
      <c r="K26" s="78"/>
      <c r="L26" s="78"/>
    </row>
    <row r="27" spans="1:13">
      <c r="A27" s="48"/>
      <c r="B27" s="7"/>
      <c r="C27" s="7"/>
      <c r="D27" s="7"/>
      <c r="E27" s="7"/>
      <c r="F27" s="7"/>
      <c r="G27" s="7"/>
      <c r="H27" s="7"/>
      <c r="I27" s="7"/>
      <c r="J27" s="78"/>
      <c r="K27" s="78"/>
      <c r="L27" s="78"/>
    </row>
    <row r="28" spans="1:13">
      <c r="A28" s="48" t="s">
        <v>5</v>
      </c>
      <c r="B28" s="7"/>
      <c r="C28" s="7"/>
      <c r="D28" s="7"/>
      <c r="E28" s="7"/>
      <c r="F28" s="7"/>
      <c r="G28" s="7"/>
      <c r="H28" s="7"/>
      <c r="I28" s="7"/>
      <c r="J28" s="78"/>
      <c r="K28" s="78"/>
      <c r="L28" s="78"/>
    </row>
    <row r="29" spans="1:13" ht="15.75" thickBot="1">
      <c r="A29" s="54"/>
      <c r="B29" s="161"/>
      <c r="C29" s="161"/>
      <c r="D29" s="161"/>
      <c r="E29" s="161"/>
      <c r="F29" s="161"/>
      <c r="G29" s="161"/>
      <c r="H29" s="161"/>
      <c r="I29" s="7"/>
      <c r="J29" s="78"/>
      <c r="K29" s="78"/>
      <c r="L29" s="78"/>
    </row>
    <row r="30" spans="1:13" ht="15" customHeight="1" thickTop="1" thickBot="1">
      <c r="A30" s="252" t="s">
        <v>92</v>
      </c>
      <c r="B30" s="254" t="s">
        <v>720</v>
      </c>
      <c r="C30" s="255"/>
      <c r="D30" s="255"/>
      <c r="E30" s="255"/>
      <c r="F30" s="255"/>
      <c r="G30" s="255"/>
      <c r="H30" s="255"/>
      <c r="I30" s="256"/>
      <c r="J30" s="78"/>
      <c r="K30" s="78"/>
      <c r="L30" s="78"/>
    </row>
    <row r="31" spans="1:13" ht="35.25" thickTop="1" thickBot="1">
      <c r="A31" s="253"/>
      <c r="B31" s="225" t="s">
        <v>198</v>
      </c>
      <c r="C31" s="89" t="s">
        <v>610</v>
      </c>
      <c r="D31" s="89" t="s">
        <v>803</v>
      </c>
      <c r="E31" s="247" t="s">
        <v>820</v>
      </c>
      <c r="F31" s="225" t="s">
        <v>197</v>
      </c>
      <c r="G31" s="89" t="s">
        <v>491</v>
      </c>
      <c r="H31" s="89" t="s">
        <v>358</v>
      </c>
      <c r="I31" s="89" t="s">
        <v>854</v>
      </c>
      <c r="J31" s="78"/>
      <c r="K31" s="78"/>
      <c r="L31" s="78"/>
    </row>
    <row r="32" spans="1:13" ht="15" customHeight="1" thickTop="1" thickBot="1">
      <c r="A32" s="15" t="s">
        <v>1079</v>
      </c>
      <c r="B32" s="111"/>
      <c r="C32" s="111"/>
      <c r="D32" s="111"/>
      <c r="E32" s="111"/>
      <c r="F32" s="111"/>
      <c r="G32" s="111"/>
      <c r="H32" s="111"/>
      <c r="I32" s="118"/>
      <c r="J32" s="78"/>
      <c r="K32" s="78"/>
      <c r="L32" s="78"/>
    </row>
    <row r="33" spans="1:13" ht="16.5" thickTop="1" thickBot="1">
      <c r="A33" s="18" t="s">
        <v>921</v>
      </c>
      <c r="B33" s="139">
        <f>SUMIF(HKM!A:A,"012*",HKM!C:C)-SUMIF(HKM!A:A,"012*",HKM!D:D)</f>
        <v>0</v>
      </c>
      <c r="C33" s="139">
        <f>SUMIF(HKM!A:A,"013*",HKM!C:C)-SUMIF(HKM!A:A,"013*",HKM!D:D)</f>
        <v>0</v>
      </c>
      <c r="D33" s="139">
        <f>SUMIF(HKM!A:A,"014*",HKM!C:C)-SUMIF(HKM!A:A,"014*",HKM!D:D)</f>
        <v>0</v>
      </c>
      <c r="E33" s="139">
        <f>SUMIF(HKM!A:A,"015*",HKM!C:C)-SUMIF(HKM!A:A,"015*",HKM!D:D)</f>
        <v>0</v>
      </c>
      <c r="F33" s="139">
        <f>SUMIF(HKM!A:A,"019*",HKM!C:C)-SUMIF(HKM!A:A,"019*",HKM!D:D)</f>
        <v>0</v>
      </c>
      <c r="G33" s="139">
        <f>SUMIF(HKM!A:A,"041*",HKM!C:C)-SUMIF(HKM!A:A,"041*",HKM!D:D)</f>
        <v>0</v>
      </c>
      <c r="H33" s="139">
        <f>SUMIF(HKM!A:A,"051*",HKM!C:C)-SUMIF(HKM!A:A,"051*",HKM!D:D)</f>
        <v>0</v>
      </c>
      <c r="I33" s="73">
        <f>SUM(B33:H33)</f>
        <v>0</v>
      </c>
      <c r="J33" s="78"/>
      <c r="K33" s="38"/>
      <c r="L33" s="78"/>
    </row>
    <row r="34" spans="1:13" ht="15" customHeight="1" thickBot="1">
      <c r="A34" s="174" t="s">
        <v>1052</v>
      </c>
      <c r="B34" s="241"/>
      <c r="C34" s="241"/>
      <c r="D34" s="241"/>
      <c r="E34" s="241"/>
      <c r="F34" s="29"/>
      <c r="G34" s="241"/>
      <c r="H34" s="241"/>
      <c r="I34" s="73">
        <f>SUM(B34:H34)</f>
        <v>0</v>
      </c>
      <c r="J34" s="78"/>
      <c r="K34" s="78"/>
      <c r="L34" s="78"/>
    </row>
    <row r="35" spans="1:13" ht="15" customHeight="1" thickBot="1">
      <c r="A35" s="174" t="s">
        <v>13</v>
      </c>
      <c r="B35" s="241"/>
      <c r="C35" s="241"/>
      <c r="D35" s="241"/>
      <c r="E35" s="241"/>
      <c r="F35" s="29"/>
      <c r="G35" s="241"/>
      <c r="H35" s="241"/>
      <c r="I35" s="73">
        <f>SUM(B35:H35)</f>
        <v>0</v>
      </c>
      <c r="J35" s="78"/>
      <c r="K35" s="78"/>
      <c r="L35" s="78"/>
    </row>
    <row r="36" spans="1:13" ht="15" customHeight="1" thickBot="1">
      <c r="A36" s="174" t="s">
        <v>424</v>
      </c>
      <c r="B36" s="241"/>
      <c r="C36" s="241"/>
      <c r="D36" s="241"/>
      <c r="E36" s="241"/>
      <c r="F36" s="29"/>
      <c r="G36" s="241"/>
      <c r="H36" s="241"/>
      <c r="I36" s="73">
        <f>SUM(B36:H36)</f>
        <v>0</v>
      </c>
      <c r="J36" s="78"/>
      <c r="K36" s="78"/>
      <c r="L36" s="78"/>
    </row>
    <row r="37" spans="1:13" ht="15.75" thickBot="1">
      <c r="A37" s="129" t="s">
        <v>80</v>
      </c>
      <c r="B37" s="139">
        <f>SUMIF(HKM!A:A,"012*",HKM!K:K)-SUMIF(HKM!A:A,"012*",HKM!L:L)</f>
        <v>0</v>
      </c>
      <c r="C37" s="139">
        <f>SUMIF(HKM!A:A,"013*",HKM!K:K)-SUMIF(HKM!A:A,"013*",HKM!L:L)</f>
        <v>0</v>
      </c>
      <c r="D37" s="139">
        <f>SUMIF(HKM!A:A,"014*",HKM!K:K)-SUMIF(HKM!A:A,"014*",HKM!L:L)</f>
        <v>0</v>
      </c>
      <c r="E37" s="139">
        <f>SUMIF(HKM!A:A,"015*",HKM!K:K)-SUMIF(HKM!A:A,"015*",HKM!L:L)</f>
        <v>0</v>
      </c>
      <c r="F37" s="139">
        <f>SUMIF(HKM!A:A,"019*",HKM!K:K)-SUMIF(HKM!A:A,"019*",HKM!L:L)</f>
        <v>0</v>
      </c>
      <c r="G37" s="139">
        <f>SUMIF(HKM!A:A,"041*",HKM!K:K)-SUMIF(HKM!A:A,"041*",HKM!L:L)</f>
        <v>0</v>
      </c>
      <c r="H37" s="139">
        <f>SUMIF(HKM!A:A,"051*",HKM!K:K)-SUMIF(HKM!A:A,"051*",HKM!L:L)</f>
        <v>0</v>
      </c>
      <c r="I37" s="152">
        <f>I33+I34-I35+I36</f>
        <v>0</v>
      </c>
      <c r="J37" s="78"/>
      <c r="K37" s="38"/>
      <c r="L37" s="78"/>
    </row>
    <row r="38" spans="1:13" ht="15" customHeight="1" thickTop="1" thickBot="1">
      <c r="A38" s="15" t="s">
        <v>252</v>
      </c>
      <c r="B38" s="145"/>
      <c r="C38" s="145"/>
      <c r="D38" s="145"/>
      <c r="E38" s="145"/>
      <c r="F38" s="145"/>
      <c r="G38" s="145"/>
      <c r="H38" s="145"/>
      <c r="I38" s="118"/>
      <c r="J38" s="78"/>
      <c r="K38" s="78"/>
      <c r="L38" s="78"/>
    </row>
    <row r="39" spans="1:13" ht="16.5" thickTop="1" thickBot="1">
      <c r="A39" s="18" t="s">
        <v>51</v>
      </c>
      <c r="B39" s="139">
        <f>SUMIF(HKM!A:A,"071*",HKM!D:D)-SUMIF(HKM!A:A,"071*",HKM!C:C)</f>
        <v>0</v>
      </c>
      <c r="C39" s="139">
        <f>SUMIF(HKM!A:A,"073*",HKM!D:D)-SUMIF(HKM!A:A,"073*",HKM!C:C)</f>
        <v>0</v>
      </c>
      <c r="D39" s="139">
        <f>SUMIF(HKM!A:A,"074*",HKM!D:D)-SUMIF(HKM!A:A,"074*",HKM!C:C)</f>
        <v>0</v>
      </c>
      <c r="E39" s="139">
        <f>SUMIF(HKM!A:A,"075*",HKM!D:D)-SUMIF(HKM!A:A,"075*",HKM!C:C)</f>
        <v>0</v>
      </c>
      <c r="F39" s="139">
        <f>SUMIF(HKM!A:A,"079*",HKM!D:D)-SUMIF(HKM!A:A,"079*",HKM!C:C)</f>
        <v>0</v>
      </c>
      <c r="G39" s="139"/>
      <c r="H39" s="139"/>
      <c r="I39" s="73">
        <f>SUM(B39:H39)</f>
        <v>0</v>
      </c>
      <c r="J39" s="78"/>
      <c r="K39" s="38"/>
      <c r="L39" s="78"/>
    </row>
    <row r="40" spans="1:13" ht="15" customHeight="1" thickBot="1">
      <c r="A40" s="174" t="s">
        <v>1052</v>
      </c>
      <c r="B40" s="241"/>
      <c r="C40" s="241"/>
      <c r="D40" s="241"/>
      <c r="E40" s="241"/>
      <c r="F40" s="241"/>
      <c r="G40" s="241"/>
      <c r="H40" s="241"/>
      <c r="I40" s="73">
        <f>SUM(B40:H40)</f>
        <v>0</v>
      </c>
      <c r="J40" s="78"/>
      <c r="K40" s="78"/>
      <c r="L40" s="78"/>
    </row>
    <row r="41" spans="1:13" ht="15" customHeight="1" thickBot="1">
      <c r="A41" s="59" t="s">
        <v>13</v>
      </c>
      <c r="B41" s="61"/>
      <c r="C41" s="61"/>
      <c r="D41" s="61"/>
      <c r="E41" s="61"/>
      <c r="F41" s="61"/>
      <c r="G41" s="61"/>
      <c r="H41" s="61"/>
      <c r="I41" s="171">
        <f>SUM(B41:H41)</f>
        <v>0</v>
      </c>
      <c r="J41" s="78"/>
      <c r="K41" s="78"/>
      <c r="L41" s="78"/>
    </row>
    <row r="42" spans="1:13" s="112" customFormat="1" ht="15" customHeight="1" thickBot="1">
      <c r="A42" s="57" t="s">
        <v>424</v>
      </c>
      <c r="B42" s="172"/>
      <c r="C42" s="172"/>
      <c r="D42" s="172"/>
      <c r="E42" s="172"/>
      <c r="F42" s="172"/>
      <c r="G42" s="172"/>
      <c r="H42" s="172"/>
      <c r="I42" s="172"/>
      <c r="J42" s="224"/>
      <c r="K42" s="224"/>
      <c r="L42" s="224"/>
    </row>
    <row r="43" spans="1:13" ht="15.75" thickBot="1">
      <c r="A43" s="129" t="s">
        <v>80</v>
      </c>
      <c r="B43" s="139">
        <f>SUMIF(HKM!A:A,"071*",HKM!L:L)-SUMIF(HKM!A:A,"071*",HKM!K:K)</f>
        <v>0</v>
      </c>
      <c r="C43" s="139">
        <f>SUMIF(HKM!A:A,"073*",HKM!L:L)-SUMIF(HKM!A:A,"073*",HKM!K:K)</f>
        <v>0</v>
      </c>
      <c r="D43" s="139">
        <f>SUMIF(HKM!A:A,"074*",HKM!L:L)-SUMIF(HKM!A:A,"074*",HKM!K:K)</f>
        <v>0</v>
      </c>
      <c r="E43" s="139">
        <f>SUMIF(HKM!A:A,"075*",HKM!L:L)-SUMIF(HKM!A:A,"075*",HKM!K:K)</f>
        <v>0</v>
      </c>
      <c r="F43" s="139">
        <f>SUMIF(HKM!A:A,"079*",HKM!L:L)-SUMIF(HKM!A:A,"079*",HKM!K:K)</f>
        <v>0</v>
      </c>
      <c r="G43" s="49"/>
      <c r="H43" s="49"/>
      <c r="I43" s="152">
        <f>I39+I40-I41</f>
        <v>0</v>
      </c>
      <c r="J43" s="78"/>
      <c r="K43" s="38"/>
      <c r="L43" s="78"/>
    </row>
    <row r="44" spans="1:13" ht="15" customHeight="1" thickTop="1" thickBot="1">
      <c r="A44" s="15" t="s">
        <v>1067</v>
      </c>
      <c r="B44" s="145"/>
      <c r="C44" s="145"/>
      <c r="D44" s="145"/>
      <c r="E44" s="145"/>
      <c r="F44" s="145"/>
      <c r="G44" s="145"/>
      <c r="H44" s="145"/>
      <c r="I44" s="118"/>
      <c r="J44" s="78"/>
      <c r="K44" s="78"/>
      <c r="L44" s="78"/>
    </row>
    <row r="45" spans="1:13" ht="16.5" thickTop="1" thickBot="1">
      <c r="A45" s="18" t="s">
        <v>51</v>
      </c>
      <c r="B45" s="139"/>
      <c r="C45" s="139"/>
      <c r="D45" s="139"/>
      <c r="E45" s="139"/>
      <c r="F45" s="139"/>
      <c r="G45" s="139">
        <f>SUMIF(HKM!A:A,"093*",HKM!D:D)-SUMIF(HKM!A:A,"093*",HKM!C:C)</f>
        <v>0</v>
      </c>
      <c r="H45" s="139"/>
      <c r="I45" s="73">
        <f>SUM(B45:H45)</f>
        <v>0</v>
      </c>
      <c r="J45" s="78"/>
      <c r="K45" s="38"/>
      <c r="L45" s="213"/>
      <c r="M45" s="232"/>
    </row>
    <row r="46" spans="1:13" ht="15" customHeight="1" thickBot="1">
      <c r="A46" s="174" t="s">
        <v>1052</v>
      </c>
      <c r="B46" s="241"/>
      <c r="C46" s="241"/>
      <c r="D46" s="241"/>
      <c r="E46" s="241"/>
      <c r="F46" s="241"/>
      <c r="G46" s="241"/>
      <c r="H46" s="241"/>
      <c r="I46" s="73">
        <f>SUM(B46:H46)</f>
        <v>0</v>
      </c>
      <c r="J46" s="78"/>
      <c r="K46" s="124"/>
      <c r="L46" s="78"/>
    </row>
    <row r="47" spans="1:13" ht="15" customHeight="1" thickBot="1">
      <c r="A47" s="174" t="s">
        <v>13</v>
      </c>
      <c r="B47" s="241"/>
      <c r="C47" s="241"/>
      <c r="D47" s="241"/>
      <c r="E47" s="241"/>
      <c r="F47" s="241"/>
      <c r="G47" s="241"/>
      <c r="H47" s="241"/>
      <c r="I47" s="73">
        <f>SUM(B47:H47)</f>
        <v>0</v>
      </c>
      <c r="J47" s="78"/>
      <c r="K47" s="124"/>
      <c r="L47" s="78"/>
    </row>
    <row r="48" spans="1:13" ht="15" customHeight="1" thickBot="1">
      <c r="A48" s="57" t="s">
        <v>424</v>
      </c>
      <c r="B48" s="241"/>
      <c r="C48" s="241"/>
      <c r="D48" s="241"/>
      <c r="E48" s="241"/>
      <c r="F48" s="241"/>
      <c r="G48" s="241"/>
      <c r="H48" s="241"/>
      <c r="I48" s="172"/>
      <c r="J48" s="78"/>
      <c r="K48" s="124"/>
      <c r="L48" s="78"/>
    </row>
    <row r="49" spans="1:13" ht="15.75" thickBot="1">
      <c r="A49" s="129" t="s">
        <v>80</v>
      </c>
      <c r="B49" s="139"/>
      <c r="C49" s="139"/>
      <c r="D49" s="139"/>
      <c r="E49" s="139"/>
      <c r="F49" s="139"/>
      <c r="G49" s="139">
        <f>SUMIF(HKM!A:A,"093*",HKM!L:L)-SUMIF(HKM!A:A,"093*",HKM!K:K)</f>
        <v>0</v>
      </c>
      <c r="H49" s="139">
        <f>SUMIF(SUAM!C:C,"010",SUAM!E:E)</f>
        <v>0</v>
      </c>
      <c r="I49" s="152">
        <f>I45+I46-I47</f>
        <v>0</v>
      </c>
      <c r="J49" s="78"/>
      <c r="K49" s="38"/>
      <c r="L49" s="207"/>
      <c r="M49" s="232"/>
    </row>
    <row r="50" spans="1:13" ht="15" customHeight="1" thickTop="1" thickBot="1">
      <c r="A50" s="15" t="s">
        <v>587</v>
      </c>
      <c r="B50" s="145"/>
      <c r="C50" s="145"/>
      <c r="D50" s="145"/>
      <c r="E50" s="145"/>
      <c r="F50" s="145"/>
      <c r="G50" s="145"/>
      <c r="H50" s="145"/>
      <c r="I50" s="118"/>
      <c r="J50" s="78"/>
      <c r="K50" s="78"/>
      <c r="L50" s="78"/>
    </row>
    <row r="51" spans="1:13" ht="15" customHeight="1" thickTop="1" thickBot="1">
      <c r="A51" s="18" t="s">
        <v>51</v>
      </c>
      <c r="B51" s="241"/>
      <c r="C51" s="241"/>
      <c r="D51" s="241"/>
      <c r="E51" s="241"/>
      <c r="F51" s="241"/>
      <c r="G51" s="241"/>
      <c r="H51" s="241"/>
      <c r="I51" s="73">
        <f>I33-I39-I45</f>
        <v>0</v>
      </c>
      <c r="J51" s="78"/>
      <c r="K51" s="78"/>
      <c r="L51" s="78"/>
    </row>
    <row r="52" spans="1:13" ht="15" customHeight="1" thickBot="1">
      <c r="A52" s="129" t="s">
        <v>80</v>
      </c>
      <c r="B52" s="49"/>
      <c r="C52" s="49"/>
      <c r="D52" s="49"/>
      <c r="E52" s="49"/>
      <c r="F52" s="49"/>
      <c r="G52" s="49"/>
      <c r="H52" s="49"/>
      <c r="I52" s="152">
        <f>I37-I43-I49</f>
        <v>0</v>
      </c>
      <c r="J52" s="78"/>
      <c r="K52" s="78"/>
      <c r="L52" s="78"/>
    </row>
    <row r="53" spans="1:13" ht="15.75" thickTop="1"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50"/>
  </sheetPr>
  <dimension ref="A1:F10"/>
  <sheetViews>
    <sheetView showGridLines="0" zoomScaleSheetLayoutView="100" workbookViewId="0"/>
  </sheetViews>
  <sheetFormatPr defaultRowHeight="1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>
      <c r="A1" s="44" t="s">
        <v>677</v>
      </c>
    </row>
    <row r="2" spans="1:6" ht="21.75" customHeight="1" thickTop="1" thickBot="1">
      <c r="A2" s="211" t="s">
        <v>481</v>
      </c>
      <c r="B2" s="47" t="s">
        <v>115</v>
      </c>
      <c r="C2" s="47" t="s">
        <v>720</v>
      </c>
    </row>
    <row r="3" spans="1:6" ht="21.75" customHeight="1" thickTop="1" thickBot="1">
      <c r="A3" s="175" t="s">
        <v>1032</v>
      </c>
      <c r="B3" s="242">
        <f>SUMIF(HK!A:A,"472*",HK!D:D)-SUMIF(HK!A:A,"472*",HK!C:C)</f>
        <v>710.02</v>
      </c>
      <c r="C3" s="75">
        <f>SUMIF(HKM!A:A,"472*",HKM!D:D)-SUMIF(HKM!A:A,"472*",HKM!C:C)</f>
        <v>617.76</v>
      </c>
      <c r="D3" s="222"/>
      <c r="E3" s="189"/>
      <c r="F3" s="222"/>
    </row>
    <row r="4" spans="1:6" ht="21.75" customHeight="1" thickBot="1">
      <c r="A4" s="17" t="s">
        <v>1006</v>
      </c>
      <c r="B4" s="140"/>
      <c r="C4" s="237"/>
      <c r="D4" s="222"/>
      <c r="E4" s="222"/>
      <c r="F4" s="222"/>
    </row>
    <row r="5" spans="1:6" ht="21.75" customHeight="1" thickBot="1">
      <c r="A5" s="17" t="s">
        <v>1022</v>
      </c>
      <c r="B5" s="140"/>
      <c r="C5" s="237"/>
      <c r="D5" s="222"/>
      <c r="E5" s="222"/>
      <c r="F5" s="222"/>
    </row>
    <row r="6" spans="1:6" ht="21.75" customHeight="1" thickBot="1">
      <c r="A6" s="17" t="s">
        <v>373</v>
      </c>
      <c r="B6" s="140"/>
      <c r="C6" s="237"/>
      <c r="D6" s="222"/>
      <c r="E6" s="222"/>
      <c r="F6" s="222"/>
    </row>
    <row r="7" spans="1:6" ht="21.75" customHeight="1" thickBot="1">
      <c r="A7" s="175" t="s">
        <v>1033</v>
      </c>
      <c r="B7" s="140">
        <f>SUM(B4:B6)</f>
        <v>0</v>
      </c>
      <c r="C7" s="237">
        <f>SUM(C4:C6)</f>
        <v>0</v>
      </c>
      <c r="D7" s="222"/>
      <c r="E7" s="222"/>
      <c r="F7" s="222"/>
    </row>
    <row r="8" spans="1:6" ht="21.75" customHeight="1" thickBot="1">
      <c r="A8" s="175" t="s">
        <v>482</v>
      </c>
      <c r="B8" s="140"/>
      <c r="C8" s="237"/>
      <c r="D8" s="222"/>
      <c r="E8" s="222"/>
      <c r="F8" s="222"/>
    </row>
    <row r="9" spans="1:6" ht="21.75" customHeight="1" thickBot="1">
      <c r="A9" s="36" t="s">
        <v>738</v>
      </c>
      <c r="B9" s="50">
        <f>SUMIF(HK!A:A,"472*",HK!L:L)-SUMIF(HK!A:A,"472*",HK!K:K)</f>
        <v>852.99</v>
      </c>
      <c r="C9" s="153">
        <f>SUMIF(HKM!A:A,"472*",HKM!L:L)-SUMIF(HKM!A:A,"472*",HKM!K:K)</f>
        <v>710.02</v>
      </c>
      <c r="D9" s="222"/>
      <c r="E9" s="189"/>
      <c r="F9" s="222"/>
    </row>
    <row r="10" spans="1:6" ht="17.25" thickTop="1">
      <c r="A10" s="251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FF0000"/>
  </sheetPr>
  <dimension ref="A1:F7"/>
  <sheetViews>
    <sheetView showGridLines="0" zoomScaleSheetLayoutView="100" workbookViewId="0"/>
  </sheetViews>
  <sheetFormatPr defaultRowHeight="15"/>
  <cols>
    <col min="1" max="6" width="14.42578125" customWidth="1"/>
    <col min="7" max="7" width="23.28515625" customWidth="1"/>
  </cols>
  <sheetData>
    <row r="1" spans="1:6" ht="23.25" customHeight="1" thickBot="1">
      <c r="A1" s="44" t="s">
        <v>786</v>
      </c>
    </row>
    <row r="2" spans="1:6" s="173" customFormat="1" ht="21.75" customHeight="1" thickTop="1" thickBot="1">
      <c r="A2" s="211" t="s">
        <v>851</v>
      </c>
      <c r="B2" s="47" t="s">
        <v>143</v>
      </c>
      <c r="C2" s="47" t="s">
        <v>259</v>
      </c>
      <c r="D2" s="47" t="s">
        <v>842</v>
      </c>
      <c r="E2" s="47" t="s">
        <v>824</v>
      </c>
      <c r="F2" s="47" t="s">
        <v>500</v>
      </c>
    </row>
    <row r="3" spans="1:6" ht="21.75" customHeight="1" thickTop="1" thickBot="1">
      <c r="A3" s="185"/>
      <c r="B3" s="77"/>
      <c r="C3" s="208"/>
      <c r="D3" s="208"/>
      <c r="E3" s="208"/>
      <c r="F3" s="35"/>
    </row>
    <row r="4" spans="1:6" ht="21.75" customHeight="1" thickBot="1">
      <c r="A4" s="185"/>
      <c r="B4" s="77"/>
      <c r="C4" s="208"/>
      <c r="D4" s="208"/>
      <c r="E4" s="208"/>
      <c r="F4" s="35"/>
    </row>
    <row r="5" spans="1:6" ht="21.75" customHeight="1" thickBot="1">
      <c r="A5" s="185"/>
      <c r="B5" s="77"/>
      <c r="C5" s="208"/>
      <c r="D5" s="208"/>
      <c r="E5" s="208"/>
      <c r="F5" s="35"/>
    </row>
    <row r="6" spans="1:6" ht="21.75" customHeight="1" thickBot="1">
      <c r="A6" s="67"/>
      <c r="B6" s="138"/>
      <c r="C6" s="13"/>
      <c r="D6" s="13"/>
      <c r="E6" s="13"/>
      <c r="F6" s="121"/>
    </row>
    <row r="7" spans="1:6" ht="15.75" thickTop="1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00B050"/>
  </sheetPr>
  <dimension ref="A1:I26"/>
  <sheetViews>
    <sheetView showGridLines="0" topLeftCell="A10" zoomScaleSheetLayoutView="100" workbookViewId="0"/>
  </sheetViews>
  <sheetFormatPr defaultColWidth="9.140625" defaultRowHeight="11.25"/>
  <cols>
    <col min="1" max="1" width="23" style="146" customWidth="1"/>
    <col min="2" max="2" width="8.28515625" style="146" customWidth="1"/>
    <col min="3" max="6" width="13.85546875" style="146" customWidth="1"/>
    <col min="7" max="7" width="23.28515625" style="146" customWidth="1"/>
    <col min="8" max="16384" width="9.140625" style="146"/>
  </cols>
  <sheetData>
    <row r="1" spans="1:9" ht="18.75" customHeight="1">
      <c r="A1" s="280" t="s">
        <v>771</v>
      </c>
      <c r="B1" s="280"/>
      <c r="C1" s="280"/>
      <c r="D1" s="280"/>
      <c r="E1" s="280"/>
      <c r="F1" s="280"/>
      <c r="G1" s="280"/>
    </row>
    <row r="2" spans="1:9" ht="12" thickBot="1">
      <c r="A2" s="146" t="s">
        <v>214</v>
      </c>
    </row>
    <row r="3" spans="1:9" ht="66.75" customHeight="1" thickTop="1" thickBot="1">
      <c r="A3" s="196" t="s">
        <v>481</v>
      </c>
      <c r="B3" s="196" t="s">
        <v>721</v>
      </c>
      <c r="C3" s="32" t="s">
        <v>793</v>
      </c>
      <c r="D3" s="196" t="s">
        <v>224</v>
      </c>
      <c r="E3" s="196" t="s">
        <v>410</v>
      </c>
      <c r="F3" s="196" t="s">
        <v>1059</v>
      </c>
    </row>
    <row r="4" spans="1:9" ht="21.75" customHeight="1" thickTop="1" thickBot="1">
      <c r="A4" s="16" t="s">
        <v>227</v>
      </c>
      <c r="B4" s="164"/>
      <c r="C4" s="164"/>
      <c r="D4" s="164"/>
      <c r="E4" s="164"/>
      <c r="F4" s="180"/>
    </row>
    <row r="5" spans="1:9" ht="21.75" customHeight="1" thickTop="1" thickBot="1">
      <c r="A5" s="27"/>
      <c r="B5" s="123"/>
      <c r="C5" s="178"/>
      <c r="D5" s="12"/>
      <c r="E5" s="182"/>
      <c r="F5" s="133"/>
    </row>
    <row r="6" spans="1:9" ht="21.75" customHeight="1" thickBot="1">
      <c r="A6" s="17"/>
      <c r="B6" s="104"/>
      <c r="C6" s="154"/>
      <c r="D6" s="234"/>
      <c r="E6" s="208"/>
      <c r="F6" s="35"/>
    </row>
    <row r="7" spans="1:9" ht="21.75" customHeight="1" thickBot="1">
      <c r="A7" s="17"/>
      <c r="B7" s="104"/>
      <c r="C7" s="154"/>
      <c r="D7" s="234"/>
      <c r="E7" s="242">
        <f>SUMIF(SUP!C:C,"121",SUP!D:D)</f>
        <v>0</v>
      </c>
      <c r="F7" s="75">
        <f>SUMIF(SUP!C:C,"121",SUP!E:E)</f>
        <v>0</v>
      </c>
      <c r="G7" s="188"/>
      <c r="H7" s="95"/>
      <c r="I7" s="188"/>
    </row>
    <row r="8" spans="1:9" ht="21.75" customHeight="1" thickBot="1">
      <c r="A8" s="100" t="s">
        <v>144</v>
      </c>
      <c r="B8" s="28"/>
      <c r="C8" s="150"/>
      <c r="D8" s="150"/>
      <c r="E8" s="220"/>
      <c r="F8" s="226"/>
      <c r="G8" s="188"/>
      <c r="H8" s="188"/>
      <c r="I8" s="188"/>
    </row>
    <row r="9" spans="1:9" ht="21.75" customHeight="1" thickTop="1" thickBot="1">
      <c r="A9" s="17"/>
      <c r="B9" s="104"/>
      <c r="C9" s="154"/>
      <c r="D9" s="234"/>
      <c r="E9" s="140"/>
      <c r="F9" s="237"/>
      <c r="G9" s="188"/>
      <c r="H9" s="188"/>
      <c r="I9" s="188"/>
    </row>
    <row r="10" spans="1:9" ht="21.75" customHeight="1" thickBot="1">
      <c r="A10" s="17"/>
      <c r="B10" s="104"/>
      <c r="C10" s="154"/>
      <c r="D10" s="234"/>
      <c r="E10" s="140"/>
      <c r="F10" s="237"/>
      <c r="G10" s="188"/>
      <c r="H10" s="188"/>
      <c r="I10" s="188"/>
    </row>
    <row r="11" spans="1:9" ht="21.75" customHeight="1" thickBot="1">
      <c r="A11" s="36"/>
      <c r="B11" s="34"/>
      <c r="C11" s="79"/>
      <c r="D11" s="159"/>
      <c r="E11" s="50">
        <f>SUMIF(SUP!C:C,"139",SUP!D:D)</f>
        <v>0</v>
      </c>
      <c r="F11" s="153">
        <f>SUMIF(SUP!C:C,"139",SUP!E:E)</f>
        <v>0</v>
      </c>
      <c r="G11" s="188"/>
      <c r="H11" s="95"/>
      <c r="I11" s="188"/>
    </row>
    <row r="12" spans="1:9" ht="12" thickTop="1">
      <c r="A12" s="55"/>
    </row>
    <row r="13" spans="1:9" ht="12" thickBot="1">
      <c r="A13" s="146" t="s">
        <v>5</v>
      </c>
    </row>
    <row r="14" spans="1:9" ht="66.75" customHeight="1" thickTop="1" thickBot="1">
      <c r="A14" s="196" t="s">
        <v>481</v>
      </c>
      <c r="B14" s="196" t="s">
        <v>721</v>
      </c>
      <c r="C14" s="32" t="s">
        <v>793</v>
      </c>
      <c r="D14" s="196" t="s">
        <v>224</v>
      </c>
      <c r="E14" s="196" t="s">
        <v>410</v>
      </c>
      <c r="F14" s="196" t="s">
        <v>1059</v>
      </c>
    </row>
    <row r="15" spans="1:9" ht="21.75" customHeight="1" thickTop="1" thickBot="1">
      <c r="A15" s="16" t="s">
        <v>578</v>
      </c>
      <c r="B15" s="164"/>
      <c r="C15" s="164"/>
      <c r="D15" s="164"/>
      <c r="E15" s="164"/>
      <c r="F15" s="180"/>
    </row>
    <row r="16" spans="1:9" ht="21.75" customHeight="1" thickTop="1" thickBot="1">
      <c r="A16" s="17"/>
      <c r="B16" s="104"/>
      <c r="C16" s="154"/>
      <c r="D16" s="234"/>
      <c r="E16" s="208"/>
      <c r="F16" s="35"/>
    </row>
    <row r="17" spans="1:8" ht="21.75" customHeight="1" thickBot="1">
      <c r="A17" s="17"/>
      <c r="B17" s="104"/>
      <c r="C17" s="154"/>
      <c r="D17" s="234"/>
      <c r="E17" s="208"/>
      <c r="F17" s="35"/>
    </row>
    <row r="18" spans="1:8" ht="21.75" customHeight="1" thickBot="1">
      <c r="A18" s="17"/>
      <c r="B18" s="104"/>
      <c r="C18" s="154"/>
      <c r="D18" s="234"/>
      <c r="E18" s="208"/>
      <c r="F18" s="35"/>
    </row>
    <row r="19" spans="1:8" ht="21.75" customHeight="1" thickBot="1">
      <c r="A19" s="100" t="s">
        <v>1025</v>
      </c>
      <c r="B19" s="28"/>
      <c r="C19" s="150"/>
      <c r="D19" s="150"/>
      <c r="E19" s="150"/>
      <c r="F19" s="166"/>
    </row>
    <row r="20" spans="1:8" ht="21.75" customHeight="1" thickTop="1" thickBot="1">
      <c r="A20" s="17"/>
      <c r="B20" s="104"/>
      <c r="C20" s="154"/>
      <c r="D20" s="234"/>
      <c r="E20" s="208"/>
      <c r="F20" s="35"/>
    </row>
    <row r="21" spans="1:8" ht="21.75" customHeight="1" thickBot="1">
      <c r="A21" s="17"/>
      <c r="B21" s="104"/>
      <c r="C21" s="154"/>
      <c r="D21" s="234"/>
      <c r="E21" s="208"/>
      <c r="F21" s="35"/>
    </row>
    <row r="22" spans="1:8" ht="21.75" customHeight="1" thickBot="1">
      <c r="A22" s="17"/>
      <c r="B22" s="104"/>
      <c r="C22" s="154"/>
      <c r="D22" s="234"/>
      <c r="E22" s="208"/>
      <c r="F22" s="35"/>
    </row>
    <row r="23" spans="1:8" ht="21.75" customHeight="1" thickBot="1">
      <c r="A23" s="100" t="s">
        <v>527</v>
      </c>
      <c r="B23" s="28"/>
      <c r="C23" s="150"/>
      <c r="D23" s="150"/>
      <c r="E23" s="150"/>
      <c r="F23" s="166"/>
    </row>
    <row r="24" spans="1:8" ht="21.75" customHeight="1" thickTop="1" thickBot="1">
      <c r="A24" s="17"/>
      <c r="B24" s="104"/>
      <c r="C24" s="154"/>
      <c r="D24" s="234"/>
      <c r="E24" s="208"/>
      <c r="F24" s="35"/>
    </row>
    <row r="25" spans="1:8" ht="21.75" customHeight="1" thickBot="1">
      <c r="A25" s="36"/>
      <c r="B25" s="34"/>
      <c r="C25" s="79"/>
      <c r="D25" s="159"/>
      <c r="E25" s="50">
        <f>SUMIF(SUP!C:C,"140",SUP!D:D)</f>
        <v>0</v>
      </c>
      <c r="F25" s="153">
        <f>SUMIF(SUP!C:C,"140",SUP!E:E)</f>
        <v>0</v>
      </c>
      <c r="G25" s="188"/>
      <c r="H25" s="95"/>
    </row>
    <row r="26" spans="1:8" ht="12" thickTop="1">
      <c r="E26" s="188"/>
      <c r="F26" s="188"/>
      <c r="G26" s="188"/>
      <c r="H26" s="188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FF0000"/>
  </sheetPr>
  <dimension ref="A1:D15"/>
  <sheetViews>
    <sheetView showGridLines="0" zoomScaleSheetLayoutView="100" workbookViewId="0"/>
  </sheetViews>
  <sheetFormatPr defaultRowHeight="15"/>
  <cols>
    <col min="1" max="1" width="27.5703125" customWidth="1"/>
    <col min="2" max="4" width="19.5703125" customWidth="1"/>
  </cols>
  <sheetData>
    <row r="1" spans="1:4">
      <c r="A1" s="281" t="s">
        <v>695</v>
      </c>
      <c r="B1" s="281"/>
      <c r="C1" s="281"/>
      <c r="D1" s="281"/>
    </row>
    <row r="2" spans="1:4" ht="24" customHeight="1" thickBot="1">
      <c r="A2" s="146" t="s">
        <v>214</v>
      </c>
      <c r="B2" s="146"/>
      <c r="C2" s="146"/>
      <c r="D2" s="146"/>
    </row>
    <row r="3" spans="1:4" ht="16.5" thickTop="1" thickBot="1">
      <c r="A3" s="273" t="s">
        <v>481</v>
      </c>
      <c r="B3" s="257" t="s">
        <v>284</v>
      </c>
      <c r="C3" s="258"/>
      <c r="D3" s="252" t="s">
        <v>875</v>
      </c>
    </row>
    <row r="4" spans="1:4" ht="16.5" thickTop="1" thickBot="1">
      <c r="A4" s="275"/>
      <c r="B4" s="184" t="s">
        <v>498</v>
      </c>
      <c r="C4" s="217" t="s">
        <v>1087</v>
      </c>
      <c r="D4" s="266"/>
    </row>
    <row r="5" spans="1:4" ht="24" thickTop="1" thickBot="1">
      <c r="A5" s="129" t="s">
        <v>934</v>
      </c>
      <c r="B5" s="14"/>
      <c r="C5" s="14"/>
      <c r="D5" s="122"/>
    </row>
    <row r="6" spans="1:4" ht="16.5" thickTop="1" thickBot="1">
      <c r="A6" s="174"/>
      <c r="B6" s="208"/>
      <c r="C6" s="208"/>
      <c r="D6" s="35"/>
    </row>
    <row r="7" spans="1:4" ht="15.75" thickBot="1">
      <c r="A7" s="174"/>
      <c r="B7" s="208"/>
      <c r="C7" s="208"/>
      <c r="D7" s="35"/>
    </row>
    <row r="8" spans="1:4" ht="15.75" thickBot="1">
      <c r="A8" s="174"/>
      <c r="B8" s="208"/>
      <c r="C8" s="208"/>
      <c r="D8" s="35"/>
    </row>
    <row r="9" spans="1:4" ht="15.75" thickBot="1">
      <c r="A9" s="37"/>
      <c r="B9" s="13"/>
      <c r="C9" s="45"/>
      <c r="D9" s="121"/>
    </row>
    <row r="10" spans="1:4" ht="16.5" thickTop="1" thickBot="1">
      <c r="A10" s="129" t="s">
        <v>40</v>
      </c>
      <c r="B10" s="13"/>
      <c r="C10" s="167"/>
      <c r="D10" s="121"/>
    </row>
    <row r="11" spans="1:4" ht="16.5" thickTop="1" thickBot="1">
      <c r="A11" s="174"/>
      <c r="B11" s="208"/>
      <c r="C11" s="208"/>
      <c r="D11" s="35"/>
    </row>
    <row r="12" spans="1:4" ht="15.75" thickBot="1">
      <c r="A12" s="174"/>
      <c r="B12" s="208"/>
      <c r="C12" s="208"/>
      <c r="D12" s="35"/>
    </row>
    <row r="13" spans="1:4" ht="15.75" thickBot="1">
      <c r="A13" s="174"/>
      <c r="B13" s="208"/>
      <c r="C13" s="208"/>
      <c r="D13" s="35"/>
    </row>
    <row r="14" spans="1:4" ht="15.75" thickBot="1">
      <c r="A14" s="129"/>
      <c r="B14" s="13"/>
      <c r="C14" s="13"/>
      <c r="D14" s="121"/>
    </row>
    <row r="15" spans="1:4" ht="15.75" thickTop="1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FF0000"/>
  </sheetPr>
  <dimension ref="A1:E17"/>
  <sheetViews>
    <sheetView showGridLines="0" zoomScaleSheetLayoutView="100" workbookViewId="0"/>
  </sheetViews>
  <sheetFormatPr defaultRowHeight="15"/>
  <cols>
    <col min="1" max="1" width="18.5703125" customWidth="1"/>
    <col min="2" max="5" width="17" customWidth="1"/>
  </cols>
  <sheetData>
    <row r="1" spans="1:5" ht="16.5">
      <c r="A1" s="279" t="s">
        <v>695</v>
      </c>
      <c r="B1" s="279"/>
      <c r="C1" s="279"/>
      <c r="D1" s="279"/>
      <c r="E1" s="279"/>
    </row>
    <row r="2" spans="1:5">
      <c r="A2" s="146"/>
      <c r="B2" s="146"/>
      <c r="C2" s="146"/>
      <c r="D2" s="146"/>
      <c r="E2" s="146"/>
    </row>
    <row r="3" spans="1:5" ht="15.75" thickBot="1">
      <c r="A3" s="146" t="s">
        <v>5</v>
      </c>
      <c r="B3" s="146"/>
      <c r="C3" s="146"/>
      <c r="D3" s="146"/>
      <c r="E3" s="146"/>
    </row>
    <row r="4" spans="1:5" ht="24" customHeight="1" thickTop="1" thickBot="1">
      <c r="A4" s="273" t="s">
        <v>481</v>
      </c>
      <c r="B4" s="257" t="s">
        <v>115</v>
      </c>
      <c r="C4" s="259"/>
      <c r="D4" s="257" t="s">
        <v>720</v>
      </c>
      <c r="E4" s="259"/>
    </row>
    <row r="5" spans="1:5" ht="16.5" thickTop="1" thickBot="1">
      <c r="A5" s="274"/>
      <c r="B5" s="257" t="s">
        <v>388</v>
      </c>
      <c r="C5" s="259"/>
      <c r="D5" s="257" t="s">
        <v>388</v>
      </c>
      <c r="E5" s="259"/>
    </row>
    <row r="6" spans="1:5" ht="24" thickTop="1" thickBot="1">
      <c r="A6" s="275"/>
      <c r="B6" s="184" t="s">
        <v>412</v>
      </c>
      <c r="C6" s="184" t="s">
        <v>161</v>
      </c>
      <c r="D6" s="184" t="s">
        <v>412</v>
      </c>
      <c r="E6" s="184" t="s">
        <v>161</v>
      </c>
    </row>
    <row r="7" spans="1:5" ht="24" thickTop="1" thickBot="1">
      <c r="A7" s="129" t="s">
        <v>934</v>
      </c>
      <c r="B7" s="14"/>
      <c r="C7" s="14"/>
      <c r="D7" s="122"/>
      <c r="E7" s="122"/>
    </row>
    <row r="8" spans="1:5" ht="16.5" thickTop="1" thickBot="1">
      <c r="A8" s="174"/>
      <c r="B8" s="208"/>
      <c r="C8" s="208"/>
      <c r="D8" s="35"/>
      <c r="E8" s="35"/>
    </row>
    <row r="9" spans="1:5" ht="15.75" thickBot="1">
      <c r="A9" s="174"/>
      <c r="B9" s="208"/>
      <c r="C9" s="208"/>
      <c r="D9" s="35"/>
      <c r="E9" s="35"/>
    </row>
    <row r="10" spans="1:5" ht="15.75" thickBot="1">
      <c r="A10" s="174"/>
      <c r="B10" s="208"/>
      <c r="C10" s="208"/>
      <c r="D10" s="35"/>
      <c r="E10" s="35"/>
    </row>
    <row r="11" spans="1:5" ht="15.75" thickBot="1">
      <c r="A11" s="37"/>
      <c r="B11" s="13"/>
      <c r="C11" s="45"/>
      <c r="D11" s="121"/>
      <c r="E11" s="121"/>
    </row>
    <row r="12" spans="1:5" ht="24" thickTop="1" thickBot="1">
      <c r="A12" s="129" t="s">
        <v>40</v>
      </c>
      <c r="B12" s="13"/>
      <c r="C12" s="167"/>
      <c r="D12" s="121"/>
      <c r="E12" s="121"/>
    </row>
    <row r="13" spans="1:5" ht="16.5" thickTop="1" thickBot="1">
      <c r="A13" s="174"/>
      <c r="B13" s="208"/>
      <c r="C13" s="208"/>
      <c r="D13" s="35"/>
      <c r="E13" s="35"/>
    </row>
    <row r="14" spans="1:5" ht="15.75" thickBot="1">
      <c r="A14" s="174"/>
      <c r="B14" s="208"/>
      <c r="C14" s="208"/>
      <c r="D14" s="35"/>
      <c r="E14" s="35"/>
    </row>
    <row r="15" spans="1:5" ht="15.75" thickBot="1">
      <c r="A15" s="174"/>
      <c r="B15" s="208"/>
      <c r="C15" s="208"/>
      <c r="D15" s="35"/>
      <c r="E15" s="35"/>
    </row>
    <row r="16" spans="1:5" ht="15.75" thickBot="1">
      <c r="A16" s="129"/>
      <c r="B16" s="13"/>
      <c r="C16" s="13"/>
      <c r="D16" s="121"/>
      <c r="E16" s="121"/>
    </row>
    <row r="17" ht="15.75" thickTop="1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SheetLayoutView="100" workbookViewId="0"/>
  </sheetViews>
  <sheetFormatPr defaultRowHeight="1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>
      <c r="A1" s="44" t="s">
        <v>659</v>
      </c>
    </row>
    <row r="2" spans="1:3" ht="16.5" thickTop="1" thickBot="1">
      <c r="A2" s="273" t="s">
        <v>838</v>
      </c>
      <c r="B2" s="257" t="s">
        <v>1016</v>
      </c>
      <c r="C2" s="259"/>
    </row>
    <row r="3" spans="1:3" ht="24" thickTop="1" thickBot="1">
      <c r="A3" s="275"/>
      <c r="B3" s="47" t="s">
        <v>115</v>
      </c>
      <c r="C3" s="47" t="s">
        <v>720</v>
      </c>
    </row>
    <row r="4" spans="1:3" ht="20.25" customHeight="1" thickTop="1" thickBot="1">
      <c r="A4" s="174" t="s">
        <v>307</v>
      </c>
      <c r="B4" s="208"/>
      <c r="C4" s="35"/>
    </row>
    <row r="5" spans="1:3" ht="20.25" customHeight="1" thickBot="1">
      <c r="A5" s="174" t="s">
        <v>1084</v>
      </c>
      <c r="B5" s="208"/>
      <c r="C5" s="35"/>
    </row>
    <row r="6" spans="1:3" ht="26.25" customHeight="1" thickBot="1">
      <c r="A6" s="174" t="s">
        <v>357</v>
      </c>
      <c r="B6" s="208"/>
      <c r="C6" s="35"/>
    </row>
    <row r="7" spans="1:3" ht="24.75" customHeight="1" thickBot="1">
      <c r="A7" s="174" t="s">
        <v>692</v>
      </c>
      <c r="B7" s="208"/>
      <c r="C7" s="35"/>
    </row>
    <row r="8" spans="1:3" ht="20.25" customHeight="1" thickBot="1">
      <c r="A8" s="129" t="s">
        <v>854</v>
      </c>
      <c r="B8" s="13">
        <f>SUM(B4:B7)</f>
        <v>0</v>
      </c>
      <c r="C8" s="121">
        <f>SUM(C4:C7)</f>
        <v>0</v>
      </c>
    </row>
    <row r="9" spans="1:3" ht="17.25" thickTop="1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FF0000"/>
  </sheetPr>
  <dimension ref="A1:G8"/>
  <sheetViews>
    <sheetView showGridLines="0" zoomScaleSheetLayoutView="100" workbookViewId="0"/>
  </sheetViews>
  <sheetFormatPr defaultRowHeight="15"/>
  <cols>
    <col min="1" max="1" width="18.85546875" customWidth="1"/>
    <col min="2" max="7" width="11.28515625" customWidth="1"/>
  </cols>
  <sheetData>
    <row r="1" spans="1:7" ht="17.25" thickBot="1">
      <c r="A1" s="44" t="s">
        <v>489</v>
      </c>
    </row>
    <row r="2" spans="1:7" ht="30.75" customHeight="1" thickTop="1" thickBot="1">
      <c r="A2" s="273" t="s">
        <v>121</v>
      </c>
      <c r="B2" s="276" t="s">
        <v>115</v>
      </c>
      <c r="C2" s="277"/>
      <c r="D2" s="278"/>
      <c r="E2" s="257" t="s">
        <v>720</v>
      </c>
      <c r="F2" s="258"/>
      <c r="G2" s="259"/>
    </row>
    <row r="3" spans="1:7" ht="16.5" thickTop="1" thickBot="1">
      <c r="A3" s="274"/>
      <c r="B3" s="276" t="s">
        <v>500</v>
      </c>
      <c r="C3" s="277"/>
      <c r="D3" s="278"/>
      <c r="E3" s="276" t="s">
        <v>500</v>
      </c>
      <c r="F3" s="277"/>
      <c r="G3" s="278"/>
    </row>
    <row r="4" spans="1:7" ht="46.5" thickTop="1" thickBot="1">
      <c r="A4" s="275"/>
      <c r="B4" s="184" t="s">
        <v>560</v>
      </c>
      <c r="C4" s="184" t="s">
        <v>1115</v>
      </c>
      <c r="D4" s="184" t="s">
        <v>233</v>
      </c>
      <c r="E4" s="184" t="s">
        <v>560</v>
      </c>
      <c r="F4" s="184" t="s">
        <v>1115</v>
      </c>
      <c r="G4" s="184" t="s">
        <v>233</v>
      </c>
    </row>
    <row r="5" spans="1:7" ht="16.5" thickTop="1" thickBot="1">
      <c r="A5" s="27" t="s">
        <v>1020</v>
      </c>
      <c r="B5" s="182"/>
      <c r="C5" s="182"/>
      <c r="D5" s="182"/>
      <c r="E5" s="182"/>
      <c r="F5" s="182"/>
      <c r="G5" s="133"/>
    </row>
    <row r="6" spans="1:7" ht="15.75" thickBot="1">
      <c r="A6" s="17" t="s">
        <v>459</v>
      </c>
      <c r="B6" s="208"/>
      <c r="C6" s="208"/>
      <c r="D6" s="208"/>
      <c r="E6" s="208"/>
      <c r="F6" s="208"/>
      <c r="G6" s="35"/>
    </row>
    <row r="7" spans="1:7" ht="15.75" thickBot="1">
      <c r="A7" s="36" t="s">
        <v>854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00B050"/>
  </sheetPr>
  <dimension ref="A1:J13"/>
  <sheetViews>
    <sheetView showGridLines="0" zoomScaleSheetLayoutView="100" workbookViewId="0"/>
  </sheetViews>
  <sheetFormatPr defaultRowHeight="15"/>
  <cols>
    <col min="1" max="1" width="24.5703125" customWidth="1"/>
    <col min="2" max="6" width="12.28515625" customWidth="1"/>
    <col min="7" max="7" width="13" customWidth="1"/>
  </cols>
  <sheetData>
    <row r="1" spans="1:10" ht="17.25" thickBot="1">
      <c r="A1" s="44" t="s">
        <v>239</v>
      </c>
    </row>
    <row r="2" spans="1:10" ht="33" customHeight="1" thickTop="1" thickBot="1">
      <c r="A2" s="273" t="s">
        <v>481</v>
      </c>
      <c r="B2" s="47" t="s">
        <v>115</v>
      </c>
      <c r="C2" s="257" t="s">
        <v>720</v>
      </c>
      <c r="D2" s="259"/>
      <c r="E2" s="257" t="s">
        <v>626</v>
      </c>
      <c r="F2" s="259"/>
    </row>
    <row r="3" spans="1:10" ht="45" customHeight="1" thickTop="1" thickBot="1">
      <c r="A3" s="275"/>
      <c r="B3" s="184" t="s">
        <v>944</v>
      </c>
      <c r="C3" s="184" t="s">
        <v>944</v>
      </c>
      <c r="D3" s="184" t="s">
        <v>696</v>
      </c>
      <c r="E3" s="184" t="s">
        <v>115</v>
      </c>
      <c r="F3" s="184" t="s">
        <v>167</v>
      </c>
    </row>
    <row r="4" spans="1:10" ht="35.25" thickTop="1" thickBot="1">
      <c r="A4" s="59" t="s">
        <v>1081</v>
      </c>
      <c r="B4" s="238">
        <f>SUMIF(HK!A:A,"121*",HK!K:K)-SUMIF(HK!A:A,"121*",HK!L:L)+SUMIF(HK!A:A,"122*",HK!K:K)-SUMIF(HK!A:A,"122*",HK!L:L)</f>
        <v>0</v>
      </c>
      <c r="C4" s="238">
        <f>SUMIF(HKM!A:A,"121*",HKM!K:K)-SUMIF(HKM!A:A,"121*",HKM!L:L)+SUMIF(HKM!A:A,"122*",HKM!K:K)-SUMIF(HKM!A:A,"122*",HKM!L:L)</f>
        <v>0</v>
      </c>
      <c r="D4" s="238">
        <f>SUMIF(HKM!A:A,"121*",HKM!C:C)-SUMIF(HKM!A:A,"121*",HKM!D:D)+SUMIF(HKM!A:A,"122*",HKM!C:C)-SUMIF(HKM!A:A,"122*",HKM!D:D)</f>
        <v>0</v>
      </c>
      <c r="E4" s="238">
        <f>SUMIF(HK!A:A,"611*",HK!L:L)-SUMIF(HK!A:A,"611*",HK!K:K)+SUMIF(HK!A:A,"612*",HK!L:L)-SUMIF(HK!A:A,"611*",HK!K:K)</f>
        <v>0</v>
      </c>
      <c r="F4" s="238">
        <f>SUMIF(HKM!A:A,"611*",HKM!L:L)-SUMIF(HKM!A:A,"611*",HKM!K:K)+SUMIF(HKM!A:A,"612*",HKM!L:L)-SUMIF(HKM!A:A,"612*",HKM!K:K)</f>
        <v>0</v>
      </c>
      <c r="G4" s="222"/>
      <c r="H4" s="24"/>
      <c r="I4" s="222"/>
      <c r="J4" s="222"/>
    </row>
    <row r="5" spans="1:10" ht="15.75" thickBot="1">
      <c r="A5" s="243" t="s">
        <v>37</v>
      </c>
      <c r="B5" s="238">
        <f>SUMIF(HK!A:A,"123*",HK!K:K)-SUMIF(HK!A:A,"123*",HK!L:L)</f>
        <v>0</v>
      </c>
      <c r="C5" s="238">
        <f>SUMIF(HKM!A:A,"123*",HKM!K:K)-SUMIF(HKM!A:A,"123*",HKM!L:L)</f>
        <v>0</v>
      </c>
      <c r="D5" s="238">
        <f>SUMIF(HKM!A:A,"123*",HKM!C:C)</f>
        <v>0</v>
      </c>
      <c r="E5" s="238">
        <f>SUMIF(HK!A:A,"613*",HK!L:L)-SUMIF(HK!A:A,"613*",HK!K:K)</f>
        <v>0</v>
      </c>
      <c r="F5" s="238">
        <f>SUMIF(HKM!A:A,"613*",HKM!L:L)-SUMIF(HKM!A:A,"613*",HKM!K:K)</f>
        <v>0</v>
      </c>
      <c r="G5" s="222"/>
      <c r="H5" s="24"/>
      <c r="I5" s="222"/>
      <c r="J5" s="222"/>
    </row>
    <row r="6" spans="1:10" ht="15.75" thickBot="1">
      <c r="A6" s="174" t="s">
        <v>919</v>
      </c>
      <c r="B6" s="238">
        <f>SUMIF(HK!A:A,"124*",HK!K:K)-SUMIF(HK!A:A,"124*",HK!L:L)</f>
        <v>0</v>
      </c>
      <c r="C6" s="238">
        <f>SUMIF(HKM!A:A,"124*",HKM!K:K)-SUMIF(HKM!A:A,"124*",HKM!L:L)</f>
        <v>0</v>
      </c>
      <c r="D6" s="238">
        <f>SUMIF(HKM!A:A,"124*",HKM!C:C)-SUMIF(HKM!A:A,"124*",HKM!D:D)</f>
        <v>0</v>
      </c>
      <c r="E6" s="238">
        <f>SUMIF(HK!A:A,"614*",HK!L:L)-SUMIF(HK!A:A,"614*",HK!K:K)</f>
        <v>0</v>
      </c>
      <c r="F6" s="238">
        <f>SUMIF(HKM!A:A,"614*",HKM!L:L)-SUMIF(HKM!A:A,"614*",HKM!K:K)</f>
        <v>0</v>
      </c>
      <c r="G6" s="222"/>
      <c r="H6" s="24"/>
      <c r="I6" s="222"/>
      <c r="J6" s="222"/>
    </row>
    <row r="7" spans="1:10" ht="19.5" customHeight="1" thickBot="1">
      <c r="A7" s="174" t="s">
        <v>854</v>
      </c>
      <c r="B7" s="33"/>
      <c r="C7" s="33"/>
      <c r="D7" s="205"/>
      <c r="E7" s="237"/>
      <c r="F7" s="237"/>
      <c r="G7" s="222"/>
      <c r="H7" s="148"/>
      <c r="I7" s="222"/>
      <c r="J7" s="222"/>
    </row>
    <row r="8" spans="1:10" ht="15.75" thickBot="1">
      <c r="A8" s="174" t="s">
        <v>222</v>
      </c>
      <c r="B8" s="151" t="s">
        <v>62</v>
      </c>
      <c r="C8" s="151" t="s">
        <v>62</v>
      </c>
      <c r="D8" s="66" t="s">
        <v>62</v>
      </c>
      <c r="E8" s="238">
        <f>SUMIF(HK!A:A,"549*",HK!K:K)-SUMIF(HK!A:A,"549*",HK!L:L)</f>
        <v>0</v>
      </c>
      <c r="F8" s="238">
        <f>SUMIF(HKM!A:A,"549*",HKM!K:K)-SUMIF(HKM!A:A,"549*",HKM!L:L)</f>
        <v>0</v>
      </c>
      <c r="G8" s="222"/>
      <c r="H8" s="24"/>
      <c r="I8" s="222"/>
      <c r="J8" s="222"/>
    </row>
    <row r="9" spans="1:10" ht="15.75" thickBot="1">
      <c r="A9" s="174" t="s">
        <v>800</v>
      </c>
      <c r="B9" s="151" t="s">
        <v>62</v>
      </c>
      <c r="C9" s="151" t="s">
        <v>62</v>
      </c>
      <c r="D9" s="66" t="s">
        <v>62</v>
      </c>
      <c r="E9" s="238">
        <f>SUMIF(HK!A:A,"513*",HK!K:K)-SUMIF(HK!A:A,"513*",HK!L:L)</f>
        <v>0</v>
      </c>
      <c r="F9" s="238">
        <f>SUMIF(HKM!A:A,"513*",HKM!K:K)-SUMIF(HKM!A:A,"513*",HKM!L:L)</f>
        <v>0</v>
      </c>
      <c r="G9" s="222"/>
      <c r="H9" s="24"/>
      <c r="I9" s="222"/>
      <c r="J9" s="222"/>
    </row>
    <row r="10" spans="1:10" ht="15.75" thickBot="1">
      <c r="A10" s="174" t="s">
        <v>723</v>
      </c>
      <c r="B10" s="151" t="s">
        <v>62</v>
      </c>
      <c r="C10" s="151" t="s">
        <v>62</v>
      </c>
      <c r="D10" s="66" t="s">
        <v>62</v>
      </c>
      <c r="E10" s="238">
        <f>SUMIF(HK!A:A,"543*",HK!K:K)-SUMIF(HK!A:A,"543*",HK!L:L)</f>
        <v>0</v>
      </c>
      <c r="F10" s="238">
        <f>SUMIF(HKM!A:A,"543*",HKM!K:K)-SUMIF(HKM!A:A,"543*",HKM!L:L)</f>
        <v>0</v>
      </c>
      <c r="G10" s="222"/>
      <c r="H10" s="24"/>
      <c r="I10" s="222"/>
      <c r="J10" s="222"/>
    </row>
    <row r="11" spans="1:10" ht="19.5" customHeight="1" thickBot="1">
      <c r="A11" s="37" t="s">
        <v>673</v>
      </c>
      <c r="B11" s="96" t="s">
        <v>62</v>
      </c>
      <c r="C11" s="96" t="s">
        <v>62</v>
      </c>
      <c r="D11" s="240" t="s">
        <v>62</v>
      </c>
      <c r="E11" s="65"/>
      <c r="F11" s="65"/>
      <c r="G11" s="222"/>
      <c r="H11" s="148"/>
      <c r="I11" s="222"/>
      <c r="J11" s="222"/>
    </row>
    <row r="12" spans="1:10" ht="35.25" thickTop="1" thickBot="1">
      <c r="A12" s="129" t="s">
        <v>624</v>
      </c>
      <c r="B12" s="96" t="s">
        <v>62</v>
      </c>
      <c r="C12" s="96" t="s">
        <v>62</v>
      </c>
      <c r="D12" s="240" t="s">
        <v>62</v>
      </c>
      <c r="E12" s="75">
        <f>SUMIF(VZaS!C:C,"006",VZaS!D:D)</f>
        <v>0</v>
      </c>
      <c r="F12" s="75">
        <f>SUMIF(VZaS!C:C,"006",VZaS!E:E)</f>
        <v>0</v>
      </c>
      <c r="G12" s="222"/>
      <c r="H12" s="194"/>
      <c r="I12" s="222"/>
      <c r="J12" s="222"/>
    </row>
    <row r="13" spans="1:10" ht="15.75" thickTop="1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00B050"/>
  </sheetPr>
  <dimension ref="A1:G10"/>
  <sheetViews>
    <sheetView showGridLines="0" zoomScaleSheetLayoutView="100" workbookViewId="0"/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>
      <c r="A1" s="44" t="s">
        <v>541</v>
      </c>
    </row>
    <row r="2" spans="1:7" ht="26.25" customHeight="1" thickTop="1" thickBot="1">
      <c r="A2" s="211" t="s">
        <v>481</v>
      </c>
      <c r="B2" s="47" t="s">
        <v>115</v>
      </c>
      <c r="C2" s="47" t="s">
        <v>720</v>
      </c>
    </row>
    <row r="3" spans="1:7" ht="18.75" customHeight="1" thickTop="1" thickBot="1">
      <c r="A3" s="17" t="s">
        <v>945</v>
      </c>
      <c r="B3" s="75">
        <f>SUMIF(HK!A:A,"601*",HK!L:L)-SUMIF(HK!A:A,"601*",HK!K:K)</f>
        <v>0</v>
      </c>
      <c r="C3" s="75">
        <f>SUMIF(HKM!A:A,"601*",HKM!L:L)-SUMIF(HKM!A:A,"601*",HKM!K:K)</f>
        <v>0</v>
      </c>
      <c r="D3" s="222"/>
      <c r="E3" s="189"/>
      <c r="G3" s="42"/>
    </row>
    <row r="4" spans="1:7" ht="18.75" customHeight="1" thickBot="1">
      <c r="A4" s="17" t="s">
        <v>98</v>
      </c>
      <c r="B4" s="75">
        <f>SUMIF(HK!A:A,"602*",HK!L:L)-SUMIF(HK!A:A,"602*",HK!K:K)</f>
        <v>118968.2</v>
      </c>
      <c r="C4" s="75">
        <f>SUMIF(HKM!A:A,"602*",HKM!L:L)-SUMIF(HKM!A:A,"602*",HKM!K:K)</f>
        <v>108393.60000000001</v>
      </c>
      <c r="D4" s="222"/>
      <c r="E4" s="189"/>
      <c r="G4" s="42"/>
    </row>
    <row r="5" spans="1:7" ht="18.75" customHeight="1" thickBot="1">
      <c r="A5" s="17" t="s">
        <v>917</v>
      </c>
      <c r="B5" s="75">
        <f>SUMIF(HK!A:A,"604*",HK!L:L)-SUMIF(HK!A:A,"604*",HK!K:K)</f>
        <v>2759.9</v>
      </c>
      <c r="C5" s="75">
        <f>SUMIF(HKM!A:A,"604*",HKM!L:L)-SUMIF(HKM!A:A,"604*",HKM!K:K)</f>
        <v>2616</v>
      </c>
      <c r="D5" s="222"/>
      <c r="E5" s="189"/>
      <c r="G5" s="42"/>
    </row>
    <row r="6" spans="1:7" ht="18.75" customHeight="1" thickBot="1">
      <c r="A6" s="17" t="s">
        <v>667</v>
      </c>
      <c r="B6" s="75">
        <f>SUMIF(HK!A:A,"606*",HK!L:L)-SUMIF(HK!A:A,"606*",HK!K:K)</f>
        <v>0</v>
      </c>
      <c r="C6" s="75">
        <f>SUMIF(HKM!A:A,"606*",HKM!L:L)-SUMIF(HKM!A:A,"606*",HKM!K:K)</f>
        <v>0</v>
      </c>
      <c r="D6" s="222"/>
      <c r="E6" s="189"/>
      <c r="G6" s="42"/>
    </row>
    <row r="7" spans="1:7" ht="18.75" customHeight="1" thickBot="1">
      <c r="A7" s="17" t="s">
        <v>301</v>
      </c>
      <c r="B7" s="75"/>
      <c r="C7" s="75"/>
      <c r="D7" s="222"/>
      <c r="E7" s="189"/>
      <c r="G7" s="119"/>
    </row>
    <row r="8" spans="1:7" ht="23.25" thickBot="1">
      <c r="A8" s="174" t="s">
        <v>1042</v>
      </c>
      <c r="B8" s="237"/>
      <c r="C8" s="237"/>
      <c r="D8" s="222"/>
      <c r="E8" s="222"/>
      <c r="G8" s="42"/>
    </row>
    <row r="9" spans="1:7" ht="18.75" customHeight="1" thickBot="1">
      <c r="A9" s="36" t="s">
        <v>542</v>
      </c>
      <c r="B9" s="121">
        <f>SUM(B3:B8)</f>
        <v>121728.09999999999</v>
      </c>
      <c r="C9" s="121">
        <f>SUM(C3:C8)</f>
        <v>111009.60000000001</v>
      </c>
    </row>
    <row r="10" spans="1:7" ht="15.75" thickTop="1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FF0000"/>
  </sheetPr>
  <dimension ref="A1:E9"/>
  <sheetViews>
    <sheetView showGridLines="0" zoomScaleSheetLayoutView="100" workbookViewId="0"/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>
      <c r="A1" s="44" t="s">
        <v>605</v>
      </c>
      <c r="D1" s="222"/>
      <c r="E1" s="222"/>
    </row>
    <row r="2" spans="1:5" ht="24" thickTop="1" thickBot="1">
      <c r="A2" s="211" t="s">
        <v>481</v>
      </c>
      <c r="B2" s="47" t="s">
        <v>115</v>
      </c>
      <c r="C2" s="47" t="s">
        <v>720</v>
      </c>
      <c r="D2" s="222"/>
      <c r="E2" s="222"/>
    </row>
    <row r="3" spans="1:5" ht="30.75" customHeight="1" thickTop="1" thickBot="1">
      <c r="A3" s="18" t="s">
        <v>877</v>
      </c>
      <c r="B3" s="75"/>
      <c r="C3" s="75"/>
    </row>
    <row r="4" spans="1:5" ht="23.25" thickBot="1">
      <c r="A4" s="174" t="s">
        <v>709</v>
      </c>
      <c r="B4" s="237"/>
      <c r="C4" s="237"/>
    </row>
    <row r="5" spans="1:5" ht="15.75" thickBot="1">
      <c r="A5" s="174" t="s">
        <v>666</v>
      </c>
      <c r="B5" s="237"/>
      <c r="C5" s="237"/>
    </row>
    <row r="6" spans="1:5" ht="15.75" thickBot="1">
      <c r="A6" s="174" t="s">
        <v>1002</v>
      </c>
      <c r="B6" s="237"/>
      <c r="C6" s="237"/>
    </row>
    <row r="7" spans="1:5" ht="15.75" thickBot="1">
      <c r="A7" s="174" t="s">
        <v>408</v>
      </c>
      <c r="B7" s="237"/>
      <c r="C7" s="237"/>
    </row>
    <row r="8" spans="1:5" ht="15.75" thickBot="1">
      <c r="A8" s="37" t="s">
        <v>526</v>
      </c>
      <c r="B8" s="65"/>
      <c r="C8" s="65"/>
    </row>
    <row r="9" spans="1:5" ht="15.75" thickTop="1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4" t="s">
        <v>1045</v>
      </c>
    </row>
    <row r="2" spans="1:2" ht="21" customHeight="1" thickTop="1" thickBot="1">
      <c r="A2" s="196" t="s">
        <v>92</v>
      </c>
      <c r="B2" s="32" t="s">
        <v>837</v>
      </c>
    </row>
    <row r="3" spans="1:2" ht="32.25" customHeight="1" thickTop="1" thickBot="1">
      <c r="A3" s="195" t="s">
        <v>949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SheetLayoutView="100" workbookViewId="0"/>
  </sheetViews>
  <sheetFormatPr defaultRowHeight="1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>
      <c r="A1" s="44" t="s">
        <v>52</v>
      </c>
    </row>
    <row r="2" spans="1:3" ht="35.25" thickTop="1" thickBot="1">
      <c r="A2" s="211" t="s">
        <v>481</v>
      </c>
      <c r="B2" s="47" t="s">
        <v>115</v>
      </c>
      <c r="C2" s="47" t="s">
        <v>720</v>
      </c>
    </row>
    <row r="3" spans="1:3" ht="35.25" thickTop="1" thickBot="1">
      <c r="A3" s="59" t="s">
        <v>200</v>
      </c>
      <c r="B3" s="128"/>
      <c r="C3" s="128"/>
    </row>
    <row r="4" spans="1:3" ht="34.5" thickBot="1">
      <c r="A4" s="115" t="s">
        <v>973</v>
      </c>
      <c r="B4" s="128"/>
      <c r="C4" s="128"/>
    </row>
    <row r="5" spans="1:3" ht="79.5" thickBot="1">
      <c r="A5" s="243" t="s">
        <v>64</v>
      </c>
      <c r="B5" s="128"/>
      <c r="C5" s="128"/>
    </row>
    <row r="6" spans="1:3" ht="57" thickBot="1">
      <c r="A6" s="174" t="s">
        <v>451</v>
      </c>
      <c r="B6" s="128"/>
      <c r="C6" s="128"/>
    </row>
    <row r="7" spans="1:3" ht="57" thickBot="1">
      <c r="A7" s="59" t="s">
        <v>792</v>
      </c>
      <c r="B7" s="128"/>
      <c r="C7" s="128"/>
    </row>
    <row r="8" spans="1:3" ht="34.5" thickBot="1">
      <c r="A8" s="86" t="s">
        <v>400</v>
      </c>
      <c r="B8" s="218"/>
      <c r="C8" s="218"/>
    </row>
    <row r="9" spans="1:3" ht="17.25" thickTop="1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>
  <sheetPr>
    <tabColor rgb="FF00B050"/>
  </sheetPr>
  <dimension ref="A1:J14"/>
  <sheetViews>
    <sheetView showGridLines="0" zoomScaleSheetLayoutView="100" workbookViewId="0"/>
  </sheetViews>
  <sheetFormatPr defaultRowHeight="1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>
      <c r="A1" s="44" t="s">
        <v>922</v>
      </c>
    </row>
    <row r="2" spans="1:10" ht="35.25" customHeight="1" thickTop="1" thickBot="1">
      <c r="A2" s="252" t="s">
        <v>481</v>
      </c>
      <c r="B2" s="257" t="s">
        <v>115</v>
      </c>
      <c r="C2" s="258"/>
      <c r="D2" s="259"/>
      <c r="E2" s="257" t="s">
        <v>720</v>
      </c>
      <c r="F2" s="258"/>
      <c r="G2" s="259"/>
    </row>
    <row r="3" spans="1:10" s="80" customFormat="1" ht="16.5" thickTop="1" thickBot="1">
      <c r="A3" s="266"/>
      <c r="B3" s="184" t="s">
        <v>332</v>
      </c>
      <c r="C3" s="184" t="s">
        <v>309</v>
      </c>
      <c r="D3" s="184" t="s">
        <v>110</v>
      </c>
      <c r="E3" s="184" t="s">
        <v>332</v>
      </c>
      <c r="F3" s="184" t="s">
        <v>309</v>
      </c>
      <c r="G3" s="184" t="s">
        <v>110</v>
      </c>
    </row>
    <row r="4" spans="1:10" ht="24" thickTop="1" thickBot="1">
      <c r="A4" s="174" t="s">
        <v>761</v>
      </c>
      <c r="B4" s="242">
        <f>SUMIF(VZaS!C:C,"056",VZaS!D:D)</f>
        <v>6455</v>
      </c>
      <c r="C4" s="21" t="s">
        <v>62</v>
      </c>
      <c r="D4" s="110" t="s">
        <v>62</v>
      </c>
      <c r="E4" s="242">
        <f>SUMIF(VZaS!C:C,"056",VZaS!E:E)</f>
        <v>10020</v>
      </c>
      <c r="F4" s="21" t="s">
        <v>62</v>
      </c>
      <c r="G4" s="110" t="s">
        <v>62</v>
      </c>
      <c r="H4" s="94"/>
      <c r="I4" s="94"/>
      <c r="J4" s="62"/>
    </row>
    <row r="5" spans="1:10" ht="20.25" customHeight="1" thickBot="1">
      <c r="A5" s="174" t="s">
        <v>38</v>
      </c>
      <c r="B5" s="21" t="s">
        <v>62</v>
      </c>
      <c r="C5" s="140"/>
      <c r="D5" s="117"/>
      <c r="E5" s="21" t="s">
        <v>62</v>
      </c>
      <c r="F5" s="140"/>
      <c r="G5" s="117"/>
      <c r="H5" s="94"/>
      <c r="I5" s="94"/>
      <c r="J5" s="94"/>
    </row>
    <row r="6" spans="1:10" ht="20.25" customHeight="1" thickBot="1">
      <c r="A6" s="174" t="s">
        <v>1048</v>
      </c>
      <c r="B6" s="140"/>
      <c r="C6" s="140"/>
      <c r="D6" s="117"/>
      <c r="E6" s="140"/>
      <c r="F6" s="140"/>
      <c r="G6" s="117"/>
      <c r="H6" s="94"/>
      <c r="I6" s="94"/>
      <c r="J6" s="94"/>
    </row>
    <row r="7" spans="1:10" ht="20.25" customHeight="1" thickBot="1">
      <c r="A7" s="174" t="s">
        <v>145</v>
      </c>
      <c r="B7" s="140"/>
      <c r="C7" s="140"/>
      <c r="D7" s="117"/>
      <c r="E7" s="140"/>
      <c r="F7" s="140"/>
      <c r="G7" s="117"/>
      <c r="H7" s="94"/>
      <c r="I7" s="94"/>
      <c r="J7" s="94"/>
    </row>
    <row r="8" spans="1:10" ht="20.25" customHeight="1" thickBot="1">
      <c r="A8" s="174" t="s">
        <v>926</v>
      </c>
      <c r="B8" s="140"/>
      <c r="C8" s="140"/>
      <c r="D8" s="117"/>
      <c r="E8" s="140"/>
      <c r="F8" s="140"/>
      <c r="G8" s="117"/>
      <c r="H8" s="94"/>
      <c r="I8" s="94"/>
      <c r="J8" s="94"/>
    </row>
    <row r="9" spans="1:10" ht="20.25" customHeight="1" thickBot="1">
      <c r="A9" s="174" t="s">
        <v>673</v>
      </c>
      <c r="B9" s="140"/>
      <c r="C9" s="140"/>
      <c r="D9" s="117"/>
      <c r="E9" s="140"/>
      <c r="F9" s="140"/>
      <c r="G9" s="117"/>
      <c r="H9" s="94"/>
      <c r="I9" s="94"/>
      <c r="J9" s="94"/>
    </row>
    <row r="10" spans="1:10" ht="20.25" customHeight="1" thickBot="1">
      <c r="A10" s="174" t="s">
        <v>854</v>
      </c>
      <c r="B10" s="140"/>
      <c r="C10" s="140"/>
      <c r="D10" s="117"/>
      <c r="E10" s="140"/>
      <c r="F10" s="140"/>
      <c r="G10" s="117"/>
      <c r="H10" s="94"/>
      <c r="I10" s="94"/>
      <c r="J10" s="94"/>
    </row>
    <row r="11" spans="1:10" ht="20.25" customHeight="1" thickBot="1">
      <c r="A11" s="174" t="s">
        <v>819</v>
      </c>
      <c r="B11" s="21" t="s">
        <v>62</v>
      </c>
      <c r="C11" s="242">
        <f>SUMIF(VZaS!C:C,"058",VZaS!D:D)</f>
        <v>1357</v>
      </c>
      <c r="D11" s="117"/>
      <c r="E11" s="21" t="s">
        <v>62</v>
      </c>
      <c r="F11" s="242">
        <f>SUMIF(VZaS!C:C,"058",VZaS!E:E)</f>
        <v>2460</v>
      </c>
      <c r="G11" s="117"/>
      <c r="H11" s="94"/>
      <c r="I11" s="94"/>
      <c r="J11" s="94"/>
    </row>
    <row r="12" spans="1:10" ht="20.25" customHeight="1" thickBot="1">
      <c r="A12" s="174" t="s">
        <v>39</v>
      </c>
      <c r="B12" s="21" t="s">
        <v>62</v>
      </c>
      <c r="C12" s="242">
        <f>SUMIF(VZaS!C:C,"059",VZaS!D:D)</f>
        <v>0</v>
      </c>
      <c r="D12" s="117"/>
      <c r="E12" s="21" t="s">
        <v>62</v>
      </c>
      <c r="F12" s="242">
        <f>SUMIF(VZaS!C:C,"059",VZaS!E:E)</f>
        <v>0</v>
      </c>
      <c r="G12" s="117"/>
      <c r="H12" s="94"/>
      <c r="I12" s="94"/>
      <c r="J12" s="94"/>
    </row>
    <row r="13" spans="1:10" ht="20.25" customHeight="1" thickBot="1">
      <c r="A13" s="37" t="s">
        <v>853</v>
      </c>
      <c r="B13" s="138" t="s">
        <v>62</v>
      </c>
      <c r="C13" s="13"/>
      <c r="D13" s="193"/>
      <c r="E13" s="138" t="s">
        <v>62</v>
      </c>
      <c r="F13" s="13"/>
      <c r="G13" s="193"/>
    </row>
    <row r="14" spans="1:10" ht="15.75" thickTop="1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B4"/>
  <sheetViews>
    <sheetView zoomScaleSheetLayoutView="100" workbookViewId="0"/>
  </sheetViews>
  <sheetFormatPr defaultRowHeight="15"/>
  <cols>
    <col min="1" max="1" width="32" customWidth="1"/>
  </cols>
  <sheetData>
    <row r="1" spans="1:2">
      <c r="A1" t="s">
        <v>708</v>
      </c>
      <c r="B1" t="s">
        <v>261</v>
      </c>
    </row>
    <row r="2" spans="1:2">
      <c r="A2" t="s">
        <v>604</v>
      </c>
      <c r="B2" t="s">
        <v>106</v>
      </c>
    </row>
    <row r="3" spans="1:2">
      <c r="A3" t="s">
        <v>637</v>
      </c>
      <c r="B3" t="s">
        <v>545</v>
      </c>
    </row>
    <row r="4" spans="1:2">
      <c r="A4" t="s">
        <v>191</v>
      </c>
      <c r="B4" t="s">
        <v>545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tabSelected="1" zoomScaleSheetLayoutView="100" workbookViewId="0"/>
  </sheetViews>
  <sheetFormatPr defaultColWidth="9.140625" defaultRowHeight="1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>
      <c r="A1" s="51" t="s">
        <v>367</v>
      </c>
      <c r="B1" s="11" t="s">
        <v>467</v>
      </c>
      <c r="C1" s="157" t="s">
        <v>676</v>
      </c>
      <c r="D1" s="157" t="s">
        <v>835</v>
      </c>
      <c r="E1" s="157" t="s">
        <v>356</v>
      </c>
      <c r="F1" s="157" t="s">
        <v>641</v>
      </c>
      <c r="G1" s="157" t="s">
        <v>315</v>
      </c>
      <c r="H1" s="157" t="s">
        <v>583</v>
      </c>
      <c r="I1" s="157" t="s">
        <v>606</v>
      </c>
      <c r="J1" s="157" t="s">
        <v>584</v>
      </c>
      <c r="K1" s="157" t="s">
        <v>869</v>
      </c>
      <c r="L1" s="157" t="s">
        <v>165</v>
      </c>
    </row>
    <row r="2" spans="1:12">
      <c r="A2" s="221" t="s">
        <v>1053</v>
      </c>
      <c r="B2" s="103" t="s">
        <v>923</v>
      </c>
      <c r="C2" s="144">
        <v>0</v>
      </c>
      <c r="D2" s="144">
        <v>0</v>
      </c>
      <c r="E2" s="135">
        <v>0</v>
      </c>
      <c r="F2" s="144">
        <v>0</v>
      </c>
      <c r="G2" s="135">
        <v>0</v>
      </c>
      <c r="H2" s="135">
        <v>0</v>
      </c>
      <c r="I2" s="135">
        <v>0</v>
      </c>
      <c r="J2" s="144">
        <v>0</v>
      </c>
      <c r="K2" s="144">
        <v>0</v>
      </c>
      <c r="L2" s="144">
        <v>0</v>
      </c>
    </row>
    <row r="3" spans="1:12">
      <c r="A3" s="221" t="s">
        <v>810</v>
      </c>
      <c r="B3" s="103" t="s">
        <v>91</v>
      </c>
      <c r="C3" s="144">
        <v>2647.41</v>
      </c>
      <c r="D3" s="144">
        <v>0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2647.41</v>
      </c>
      <c r="L3" s="144">
        <v>0</v>
      </c>
    </row>
    <row r="4" spans="1:12">
      <c r="A4" s="221" t="s">
        <v>902</v>
      </c>
      <c r="B4" s="103" t="s">
        <v>1113</v>
      </c>
      <c r="C4" s="144">
        <v>68594.899999999994</v>
      </c>
      <c r="D4" s="144">
        <v>0</v>
      </c>
      <c r="E4" s="135">
        <v>0</v>
      </c>
      <c r="F4" s="144">
        <v>18400.73</v>
      </c>
      <c r="G4" s="135">
        <v>0</v>
      </c>
      <c r="H4" s="135">
        <v>0</v>
      </c>
      <c r="I4" s="135">
        <v>0</v>
      </c>
      <c r="J4" s="144">
        <v>18400.73</v>
      </c>
      <c r="K4" s="144">
        <v>50194.17</v>
      </c>
      <c r="L4" s="144">
        <v>0</v>
      </c>
    </row>
    <row r="5" spans="1:12">
      <c r="A5" s="221" t="s">
        <v>913</v>
      </c>
      <c r="B5" s="103" t="s">
        <v>392</v>
      </c>
      <c r="C5" s="144">
        <v>24256.3</v>
      </c>
      <c r="D5" s="144">
        <v>0</v>
      </c>
      <c r="E5" s="135">
        <v>0</v>
      </c>
      <c r="F5" s="135">
        <v>0</v>
      </c>
      <c r="G5" s="135">
        <v>0</v>
      </c>
      <c r="H5" s="135">
        <v>0</v>
      </c>
      <c r="I5" s="135">
        <v>0</v>
      </c>
      <c r="J5" s="135">
        <v>0</v>
      </c>
      <c r="K5" s="144">
        <v>24256.3</v>
      </c>
      <c r="L5" s="144">
        <v>0</v>
      </c>
    </row>
    <row r="6" spans="1:12">
      <c r="A6" s="221" t="s">
        <v>257</v>
      </c>
      <c r="B6" s="103" t="s">
        <v>715</v>
      </c>
      <c r="C6" s="144">
        <v>0</v>
      </c>
      <c r="D6" s="144">
        <v>82221.11</v>
      </c>
      <c r="E6" s="144">
        <v>18400.73</v>
      </c>
      <c r="F6" s="144">
        <v>5225</v>
      </c>
      <c r="G6" s="135">
        <v>0</v>
      </c>
      <c r="H6" s="144">
        <v>475</v>
      </c>
      <c r="I6" s="144">
        <v>18400.73</v>
      </c>
      <c r="J6" s="144">
        <v>5700</v>
      </c>
      <c r="K6" s="144">
        <v>0</v>
      </c>
      <c r="L6" s="144">
        <v>69520.38</v>
      </c>
    </row>
    <row r="7" spans="1:12">
      <c r="A7" s="221" t="s">
        <v>859</v>
      </c>
      <c r="B7" s="103" t="s">
        <v>194</v>
      </c>
      <c r="C7" s="144">
        <v>1214.02</v>
      </c>
      <c r="D7" s="144">
        <v>0</v>
      </c>
      <c r="E7" s="144">
        <v>13150</v>
      </c>
      <c r="F7" s="144">
        <v>9520.15</v>
      </c>
      <c r="G7" s="144">
        <v>980</v>
      </c>
      <c r="H7" s="144">
        <v>3595.13</v>
      </c>
      <c r="I7" s="144">
        <v>14130</v>
      </c>
      <c r="J7" s="144">
        <v>13115.28</v>
      </c>
      <c r="K7" s="144">
        <v>2228.7399999999998</v>
      </c>
      <c r="L7" s="144">
        <v>0</v>
      </c>
    </row>
    <row r="8" spans="1:12">
      <c r="A8" s="221" t="s">
        <v>887</v>
      </c>
      <c r="B8" s="103" t="s">
        <v>801</v>
      </c>
      <c r="C8" s="144">
        <v>228</v>
      </c>
      <c r="D8" s="144">
        <v>0</v>
      </c>
      <c r="E8" s="135">
        <v>0</v>
      </c>
      <c r="F8" s="144">
        <v>228</v>
      </c>
      <c r="G8" s="135">
        <v>0</v>
      </c>
      <c r="H8" s="135">
        <v>0</v>
      </c>
      <c r="I8" s="135">
        <v>0</v>
      </c>
      <c r="J8" s="144">
        <v>228</v>
      </c>
      <c r="K8" s="144">
        <v>0</v>
      </c>
      <c r="L8" s="144">
        <v>0</v>
      </c>
    </row>
    <row r="9" spans="1:12">
      <c r="A9" s="221" t="s">
        <v>724</v>
      </c>
      <c r="B9" s="103" t="s">
        <v>546</v>
      </c>
      <c r="C9" s="144">
        <v>102578.91</v>
      </c>
      <c r="D9" s="144">
        <v>0</v>
      </c>
      <c r="E9" s="144">
        <v>132122.88</v>
      </c>
      <c r="F9" s="144">
        <v>126130.33</v>
      </c>
      <c r="G9" s="144">
        <v>13958.4</v>
      </c>
      <c r="H9" s="144">
        <v>10358.26</v>
      </c>
      <c r="I9" s="144">
        <v>146081.28</v>
      </c>
      <c r="J9" s="144">
        <v>136488.59</v>
      </c>
      <c r="K9" s="144">
        <v>112171.6</v>
      </c>
      <c r="L9" s="144">
        <v>0</v>
      </c>
    </row>
    <row r="10" spans="1:12">
      <c r="A10" s="221" t="s">
        <v>716</v>
      </c>
      <c r="B10" s="103" t="s">
        <v>444</v>
      </c>
      <c r="C10" s="144">
        <v>0</v>
      </c>
      <c r="D10" s="144">
        <v>0</v>
      </c>
      <c r="E10" s="144">
        <v>13804.82</v>
      </c>
      <c r="F10" s="144">
        <v>12824.82</v>
      </c>
      <c r="G10" s="135">
        <v>0</v>
      </c>
      <c r="H10" s="144">
        <v>980</v>
      </c>
      <c r="I10" s="144">
        <v>13804.82</v>
      </c>
      <c r="J10" s="144">
        <v>13804.82</v>
      </c>
      <c r="K10" s="144">
        <v>0</v>
      </c>
      <c r="L10" s="144">
        <v>0</v>
      </c>
    </row>
    <row r="11" spans="1:12">
      <c r="A11" s="221" t="s">
        <v>777</v>
      </c>
      <c r="B11" s="103" t="s">
        <v>369</v>
      </c>
      <c r="C11" s="144">
        <v>13451.05</v>
      </c>
      <c r="D11" s="144">
        <v>0</v>
      </c>
      <c r="E11" s="144">
        <v>135427.44</v>
      </c>
      <c r="F11" s="144">
        <v>131474.88</v>
      </c>
      <c r="G11" s="144">
        <v>10605.6</v>
      </c>
      <c r="H11" s="144">
        <v>13958.4</v>
      </c>
      <c r="I11" s="144">
        <v>146033.04</v>
      </c>
      <c r="J11" s="144">
        <v>145433.28</v>
      </c>
      <c r="K11" s="144">
        <v>14050.81</v>
      </c>
      <c r="L11" s="144">
        <v>0</v>
      </c>
    </row>
    <row r="12" spans="1:12">
      <c r="A12" s="221" t="s">
        <v>58</v>
      </c>
      <c r="B12" s="103" t="s">
        <v>562</v>
      </c>
      <c r="C12" s="144">
        <v>13.28</v>
      </c>
      <c r="D12" s="144">
        <v>0</v>
      </c>
      <c r="E12" s="144">
        <v>101.18</v>
      </c>
      <c r="F12" s="135">
        <v>0</v>
      </c>
      <c r="G12" s="135">
        <v>0</v>
      </c>
      <c r="H12" s="144">
        <v>101.18</v>
      </c>
      <c r="I12" s="144">
        <v>101.18</v>
      </c>
      <c r="J12" s="144">
        <v>101.18</v>
      </c>
      <c r="K12" s="144">
        <v>13.28</v>
      </c>
      <c r="L12" s="144">
        <v>0</v>
      </c>
    </row>
    <row r="13" spans="1:12">
      <c r="A13" s="221" t="s">
        <v>1018</v>
      </c>
      <c r="B13" s="103" t="s">
        <v>941</v>
      </c>
      <c r="C13" s="144">
        <v>0</v>
      </c>
      <c r="D13" s="144">
        <v>0</v>
      </c>
      <c r="E13" s="144">
        <v>132</v>
      </c>
      <c r="F13" s="135">
        <v>0</v>
      </c>
      <c r="G13" s="135">
        <v>0</v>
      </c>
      <c r="H13" s="135">
        <v>0</v>
      </c>
      <c r="I13" s="144">
        <v>132</v>
      </c>
      <c r="J13" s="135">
        <v>0</v>
      </c>
      <c r="K13" s="144">
        <v>132</v>
      </c>
      <c r="L13" s="144">
        <v>0</v>
      </c>
    </row>
    <row r="14" spans="1:12">
      <c r="A14" s="221" t="s">
        <v>782</v>
      </c>
      <c r="B14" s="103" t="s">
        <v>678</v>
      </c>
      <c r="C14" s="144">
        <v>0</v>
      </c>
      <c r="D14" s="144">
        <v>348.39</v>
      </c>
      <c r="E14" s="144">
        <v>13473.94</v>
      </c>
      <c r="F14" s="144">
        <v>13711.94</v>
      </c>
      <c r="G14" s="144">
        <v>2738.19</v>
      </c>
      <c r="H14" s="144">
        <v>2168.19</v>
      </c>
      <c r="I14" s="144">
        <v>16212.13</v>
      </c>
      <c r="J14" s="144">
        <v>15880.13</v>
      </c>
      <c r="K14" s="144">
        <v>0</v>
      </c>
      <c r="L14" s="144">
        <v>16.39</v>
      </c>
    </row>
    <row r="15" spans="1:12">
      <c r="A15" s="221" t="s">
        <v>174</v>
      </c>
      <c r="B15" s="103" t="s">
        <v>552</v>
      </c>
      <c r="C15" s="144">
        <v>0</v>
      </c>
      <c r="D15" s="144">
        <v>1500</v>
      </c>
      <c r="E15" s="135">
        <v>0</v>
      </c>
      <c r="F15" s="144">
        <v>500</v>
      </c>
      <c r="G15" s="144">
        <v>2000</v>
      </c>
      <c r="H15" s="135">
        <v>0</v>
      </c>
      <c r="I15" s="144">
        <v>2000</v>
      </c>
      <c r="J15" s="144">
        <v>500</v>
      </c>
      <c r="K15" s="144">
        <v>0</v>
      </c>
      <c r="L15" s="144">
        <v>0</v>
      </c>
    </row>
    <row r="16" spans="1:12">
      <c r="A16" s="221" t="s">
        <v>845</v>
      </c>
      <c r="B16" s="103" t="s">
        <v>204</v>
      </c>
      <c r="C16" s="144">
        <v>0</v>
      </c>
      <c r="D16" s="144">
        <v>4169.75</v>
      </c>
      <c r="E16" s="144">
        <v>54307.87</v>
      </c>
      <c r="F16" s="144">
        <v>54115.519999999997</v>
      </c>
      <c r="G16" s="144">
        <v>6164.58</v>
      </c>
      <c r="H16" s="144">
        <v>8036.53</v>
      </c>
      <c r="I16" s="144">
        <v>60472.45</v>
      </c>
      <c r="J16" s="144">
        <v>62152.05</v>
      </c>
      <c r="K16" s="144">
        <v>0</v>
      </c>
      <c r="L16" s="144">
        <v>5849.35</v>
      </c>
    </row>
    <row r="17" spans="1:12">
      <c r="A17" s="221" t="s">
        <v>977</v>
      </c>
      <c r="B17" s="103" t="s">
        <v>611</v>
      </c>
      <c r="C17" s="144">
        <v>0</v>
      </c>
      <c r="D17" s="144">
        <v>0</v>
      </c>
      <c r="E17" s="144">
        <v>909</v>
      </c>
      <c r="F17" s="144">
        <v>909</v>
      </c>
      <c r="G17" s="144">
        <v>81</v>
      </c>
      <c r="H17" s="144">
        <v>81</v>
      </c>
      <c r="I17" s="144">
        <v>990</v>
      </c>
      <c r="J17" s="144">
        <v>990</v>
      </c>
      <c r="K17" s="144">
        <v>0</v>
      </c>
      <c r="L17" s="144">
        <v>0</v>
      </c>
    </row>
    <row r="18" spans="1:12">
      <c r="A18" s="221" t="s">
        <v>289</v>
      </c>
      <c r="B18" s="103" t="s">
        <v>432</v>
      </c>
      <c r="C18" s="144">
        <v>170</v>
      </c>
      <c r="D18" s="144">
        <v>0</v>
      </c>
      <c r="E18" s="135">
        <v>0</v>
      </c>
      <c r="F18" s="135">
        <v>0</v>
      </c>
      <c r="G18" s="135">
        <v>0</v>
      </c>
      <c r="H18" s="135">
        <v>0</v>
      </c>
      <c r="I18" s="135">
        <v>0</v>
      </c>
      <c r="J18" s="135">
        <v>0</v>
      </c>
      <c r="K18" s="144">
        <v>170</v>
      </c>
      <c r="L18" s="144">
        <v>0</v>
      </c>
    </row>
    <row r="19" spans="1:12">
      <c r="A19" s="221" t="s">
        <v>870</v>
      </c>
      <c r="B19" s="103" t="s">
        <v>841</v>
      </c>
      <c r="C19" s="144">
        <v>0</v>
      </c>
      <c r="D19" s="144">
        <v>807.64</v>
      </c>
      <c r="E19" s="144">
        <v>7627.74</v>
      </c>
      <c r="F19" s="144">
        <v>7576.1</v>
      </c>
      <c r="G19" s="144">
        <v>756</v>
      </c>
      <c r="H19" s="144">
        <v>1125.0999999999999</v>
      </c>
      <c r="I19" s="144">
        <v>8383.74</v>
      </c>
      <c r="J19" s="144">
        <v>8701.2000000000007</v>
      </c>
      <c r="K19" s="144">
        <v>0</v>
      </c>
      <c r="L19" s="144">
        <v>1125.0999999999999</v>
      </c>
    </row>
    <row r="20" spans="1:12">
      <c r="A20" s="221" t="s">
        <v>399</v>
      </c>
      <c r="B20" s="103" t="s">
        <v>813</v>
      </c>
      <c r="C20" s="144">
        <v>0</v>
      </c>
      <c r="D20" s="144">
        <v>1986.29</v>
      </c>
      <c r="E20" s="144">
        <v>18769.169999999998</v>
      </c>
      <c r="F20" s="144">
        <v>18529.330000000002</v>
      </c>
      <c r="G20" s="144">
        <v>1746.45</v>
      </c>
      <c r="H20" s="144">
        <v>2508.4899999999998</v>
      </c>
      <c r="I20" s="144">
        <v>20515.62</v>
      </c>
      <c r="J20" s="144">
        <v>21037.82</v>
      </c>
      <c r="K20" s="144">
        <v>0</v>
      </c>
      <c r="L20" s="144">
        <v>2508.4899999999998</v>
      </c>
    </row>
    <row r="21" spans="1:12">
      <c r="A21" s="221" t="s">
        <v>9</v>
      </c>
      <c r="B21" s="103" t="s">
        <v>276</v>
      </c>
      <c r="C21" s="144">
        <v>0</v>
      </c>
      <c r="D21" s="144">
        <v>2460.19</v>
      </c>
      <c r="E21" s="144">
        <v>2460.19</v>
      </c>
      <c r="F21" s="135">
        <v>0</v>
      </c>
      <c r="G21" s="135">
        <v>0</v>
      </c>
      <c r="H21" s="144">
        <v>1356.58</v>
      </c>
      <c r="I21" s="144">
        <v>2460.19</v>
      </c>
      <c r="J21" s="144">
        <v>1356.58</v>
      </c>
      <c r="K21" s="144">
        <v>0</v>
      </c>
      <c r="L21" s="144">
        <v>1356.58</v>
      </c>
    </row>
    <row r="22" spans="1:12">
      <c r="A22" s="221" t="s">
        <v>661</v>
      </c>
      <c r="B22" s="103" t="s">
        <v>804</v>
      </c>
      <c r="C22" s="144">
        <v>0</v>
      </c>
      <c r="D22" s="144">
        <v>809.46</v>
      </c>
      <c r="E22" s="144">
        <v>7790.74</v>
      </c>
      <c r="F22" s="144">
        <v>7737.88</v>
      </c>
      <c r="G22" s="144">
        <v>756.6</v>
      </c>
      <c r="H22" s="144">
        <v>1240.3599999999999</v>
      </c>
      <c r="I22" s="144">
        <v>8547.34</v>
      </c>
      <c r="J22" s="144">
        <v>8978.24</v>
      </c>
      <c r="K22" s="144">
        <v>0</v>
      </c>
      <c r="L22" s="144">
        <v>1240.3599999999999</v>
      </c>
    </row>
    <row r="23" spans="1:12">
      <c r="A23" s="221" t="s">
        <v>549</v>
      </c>
      <c r="B23" s="103" t="s">
        <v>1036</v>
      </c>
      <c r="C23" s="144">
        <v>0</v>
      </c>
      <c r="D23" s="144">
        <v>247.73</v>
      </c>
      <c r="E23" s="144">
        <v>245.91</v>
      </c>
      <c r="F23" s="135">
        <v>0</v>
      </c>
      <c r="G23" s="135">
        <v>0</v>
      </c>
      <c r="H23" s="144">
        <v>247.67</v>
      </c>
      <c r="I23" s="144">
        <v>245.91</v>
      </c>
      <c r="J23" s="144">
        <v>247.67</v>
      </c>
      <c r="K23" s="144">
        <v>0</v>
      </c>
      <c r="L23" s="144">
        <v>249.49</v>
      </c>
    </row>
    <row r="24" spans="1:12">
      <c r="A24" s="221" t="s">
        <v>794</v>
      </c>
      <c r="B24" s="103" t="s">
        <v>960</v>
      </c>
      <c r="C24" s="144">
        <v>0</v>
      </c>
      <c r="D24" s="144">
        <v>1290.8399999999999</v>
      </c>
      <c r="E24" s="144">
        <v>20034.36</v>
      </c>
      <c r="F24" s="144">
        <v>19791.14</v>
      </c>
      <c r="G24" s="144">
        <v>1047.5999999999999</v>
      </c>
      <c r="H24" s="144">
        <v>1436.36</v>
      </c>
      <c r="I24" s="144">
        <v>21081.96</v>
      </c>
      <c r="J24" s="144">
        <v>21227.5</v>
      </c>
      <c r="K24" s="144">
        <v>0</v>
      </c>
      <c r="L24" s="144">
        <v>1436.38</v>
      </c>
    </row>
    <row r="25" spans="1:12">
      <c r="A25" s="221" t="s">
        <v>928</v>
      </c>
      <c r="B25" s="103" t="s">
        <v>189</v>
      </c>
      <c r="C25" s="144">
        <v>0</v>
      </c>
      <c r="D25" s="144">
        <v>0</v>
      </c>
      <c r="E25" s="144">
        <v>12.92</v>
      </c>
      <c r="F25" s="144">
        <v>12.92</v>
      </c>
      <c r="G25" s="135">
        <v>0</v>
      </c>
      <c r="H25" s="135">
        <v>0</v>
      </c>
      <c r="I25" s="144">
        <v>12.92</v>
      </c>
      <c r="J25" s="144">
        <v>12.92</v>
      </c>
      <c r="K25" s="144">
        <v>0</v>
      </c>
      <c r="L25" s="144">
        <v>0</v>
      </c>
    </row>
    <row r="26" spans="1:12">
      <c r="A26" s="221" t="s">
        <v>653</v>
      </c>
      <c r="B26" s="103" t="s">
        <v>389</v>
      </c>
      <c r="C26" s="144">
        <v>0</v>
      </c>
      <c r="D26" s="144">
        <v>0</v>
      </c>
      <c r="E26" s="144">
        <v>12.92</v>
      </c>
      <c r="F26" s="144">
        <v>12.92</v>
      </c>
      <c r="G26" s="135">
        <v>0</v>
      </c>
      <c r="H26" s="135">
        <v>0</v>
      </c>
      <c r="I26" s="144">
        <v>12.92</v>
      </c>
      <c r="J26" s="144">
        <v>12.92</v>
      </c>
      <c r="K26" s="144">
        <v>0</v>
      </c>
      <c r="L26" s="144">
        <v>0</v>
      </c>
    </row>
    <row r="27" spans="1:12">
      <c r="A27" s="221" t="s">
        <v>305</v>
      </c>
      <c r="B27" s="103" t="s">
        <v>273</v>
      </c>
      <c r="C27" s="135">
        <v>0</v>
      </c>
      <c r="D27" s="135">
        <v>0</v>
      </c>
      <c r="E27" s="144">
        <v>7.13</v>
      </c>
      <c r="F27" s="144">
        <v>7.13</v>
      </c>
      <c r="G27" s="144">
        <v>3.16</v>
      </c>
      <c r="H27" s="144">
        <v>3.16</v>
      </c>
      <c r="I27" s="144">
        <v>10.29</v>
      </c>
      <c r="J27" s="144">
        <v>10.29</v>
      </c>
      <c r="K27" s="144">
        <v>0</v>
      </c>
      <c r="L27" s="144">
        <v>0</v>
      </c>
    </row>
    <row r="28" spans="1:12">
      <c r="A28" s="221" t="s">
        <v>739</v>
      </c>
      <c r="B28" s="103" t="s">
        <v>154</v>
      </c>
      <c r="C28" s="144">
        <v>0</v>
      </c>
      <c r="D28" s="144">
        <v>0</v>
      </c>
      <c r="E28" s="144">
        <v>2670.43</v>
      </c>
      <c r="F28" s="144">
        <v>2664.97</v>
      </c>
      <c r="G28" s="144">
        <v>328.08</v>
      </c>
      <c r="H28" s="144">
        <v>333.54</v>
      </c>
      <c r="I28" s="144">
        <v>2998.51</v>
      </c>
      <c r="J28" s="144">
        <v>2998.51</v>
      </c>
      <c r="K28" s="144">
        <v>0</v>
      </c>
      <c r="L28" s="144">
        <v>0</v>
      </c>
    </row>
    <row r="29" spans="1:12">
      <c r="A29" s="221" t="s">
        <v>72</v>
      </c>
      <c r="B29" s="103" t="s">
        <v>1074</v>
      </c>
      <c r="C29" s="144">
        <v>0</v>
      </c>
      <c r="D29" s="144">
        <v>0</v>
      </c>
      <c r="E29" s="144">
        <v>229.7</v>
      </c>
      <c r="F29" s="144">
        <v>229.7</v>
      </c>
      <c r="G29" s="135">
        <v>0</v>
      </c>
      <c r="H29" s="135">
        <v>0</v>
      </c>
      <c r="I29" s="144">
        <v>229.7</v>
      </c>
      <c r="J29" s="144">
        <v>229.7</v>
      </c>
      <c r="K29" s="144">
        <v>0</v>
      </c>
      <c r="L29" s="144">
        <v>0</v>
      </c>
    </row>
    <row r="30" spans="1:12">
      <c r="A30" s="221" t="s">
        <v>951</v>
      </c>
      <c r="B30" s="103" t="s">
        <v>646</v>
      </c>
      <c r="C30" s="144">
        <v>0</v>
      </c>
      <c r="D30" s="144">
        <v>0</v>
      </c>
      <c r="E30" s="144">
        <v>22463.24</v>
      </c>
      <c r="F30" s="144">
        <v>22463.24</v>
      </c>
      <c r="G30" s="144">
        <v>1767.6</v>
      </c>
      <c r="H30" s="144">
        <v>1767.6</v>
      </c>
      <c r="I30" s="144">
        <v>24230.84</v>
      </c>
      <c r="J30" s="144">
        <v>24230.84</v>
      </c>
      <c r="K30" s="144">
        <v>0</v>
      </c>
      <c r="L30" s="144">
        <v>0</v>
      </c>
    </row>
    <row r="31" spans="1:12">
      <c r="A31" s="221" t="s">
        <v>571</v>
      </c>
      <c r="B31" s="103" t="s">
        <v>601</v>
      </c>
      <c r="C31" s="144">
        <v>0</v>
      </c>
      <c r="D31" s="144">
        <v>0</v>
      </c>
      <c r="E31" s="144">
        <v>229.7</v>
      </c>
      <c r="F31" s="144">
        <v>229.7</v>
      </c>
      <c r="G31" s="135">
        <v>0</v>
      </c>
      <c r="H31" s="135">
        <v>0</v>
      </c>
      <c r="I31" s="144">
        <v>229.7</v>
      </c>
      <c r="J31" s="144">
        <v>229.7</v>
      </c>
      <c r="K31" s="144">
        <v>0</v>
      </c>
      <c r="L31" s="144">
        <v>0</v>
      </c>
    </row>
    <row r="32" spans="1:12">
      <c r="A32" s="221" t="s">
        <v>172</v>
      </c>
      <c r="B32" s="103" t="s">
        <v>942</v>
      </c>
      <c r="C32" s="144">
        <v>0</v>
      </c>
      <c r="D32" s="144">
        <v>7255.38</v>
      </c>
      <c r="E32" s="135">
        <v>0</v>
      </c>
      <c r="F32" s="135">
        <v>0</v>
      </c>
      <c r="G32" s="135">
        <v>0</v>
      </c>
      <c r="H32" s="135">
        <v>0</v>
      </c>
      <c r="I32" s="135">
        <v>0</v>
      </c>
      <c r="J32" s="135">
        <v>0</v>
      </c>
      <c r="K32" s="144">
        <v>0</v>
      </c>
      <c r="L32" s="144">
        <v>7255.38</v>
      </c>
    </row>
    <row r="33" spans="1:12">
      <c r="A33" s="221" t="s">
        <v>401</v>
      </c>
      <c r="B33" s="103" t="s">
        <v>219</v>
      </c>
      <c r="C33" s="135">
        <v>0</v>
      </c>
      <c r="D33" s="135">
        <v>0</v>
      </c>
      <c r="E33" s="135">
        <v>0</v>
      </c>
      <c r="F33" s="135">
        <v>0</v>
      </c>
      <c r="G33" s="144">
        <v>300</v>
      </c>
      <c r="H33" s="144">
        <v>300</v>
      </c>
      <c r="I33" s="144">
        <v>300</v>
      </c>
      <c r="J33" s="144">
        <v>300</v>
      </c>
      <c r="K33" s="144">
        <v>0</v>
      </c>
      <c r="L33" s="144">
        <v>0</v>
      </c>
    </row>
    <row r="34" spans="1:12">
      <c r="A34" s="221" t="s">
        <v>1027</v>
      </c>
      <c r="B34" s="103" t="s">
        <v>765</v>
      </c>
      <c r="C34" s="144">
        <v>0</v>
      </c>
      <c r="D34" s="144">
        <v>0</v>
      </c>
      <c r="E34" s="144">
        <v>2325.89</v>
      </c>
      <c r="F34" s="144">
        <v>1809.82</v>
      </c>
      <c r="G34" s="144">
        <v>259.47000000000003</v>
      </c>
      <c r="H34" s="144">
        <v>775.54</v>
      </c>
      <c r="I34" s="144">
        <v>2585.36</v>
      </c>
      <c r="J34" s="144">
        <v>2585.36</v>
      </c>
      <c r="K34" s="144">
        <v>0</v>
      </c>
      <c r="L34" s="144">
        <v>0</v>
      </c>
    </row>
    <row r="35" spans="1:12">
      <c r="A35" s="221" t="s">
        <v>779</v>
      </c>
      <c r="B35" s="103" t="s">
        <v>1076</v>
      </c>
      <c r="C35" s="144">
        <v>66.64</v>
      </c>
      <c r="D35" s="144">
        <v>0</v>
      </c>
      <c r="E35" s="135">
        <v>0</v>
      </c>
      <c r="F35" s="135">
        <v>0</v>
      </c>
      <c r="G35" s="144">
        <v>58.15</v>
      </c>
      <c r="H35" s="144">
        <v>66.64</v>
      </c>
      <c r="I35" s="144">
        <v>58.15</v>
      </c>
      <c r="J35" s="144">
        <v>66.64</v>
      </c>
      <c r="K35" s="144">
        <v>58.15</v>
      </c>
      <c r="L35" s="144">
        <v>0</v>
      </c>
    </row>
    <row r="36" spans="1:12">
      <c r="A36" s="221" t="s">
        <v>660</v>
      </c>
      <c r="B36" s="103" t="s">
        <v>78</v>
      </c>
      <c r="C36" s="144">
        <v>0</v>
      </c>
      <c r="D36" s="144">
        <v>993.6</v>
      </c>
      <c r="E36" s="135">
        <v>0</v>
      </c>
      <c r="F36" s="135">
        <v>0</v>
      </c>
      <c r="G36" s="135">
        <v>0</v>
      </c>
      <c r="H36" s="135">
        <v>0</v>
      </c>
      <c r="I36" s="135">
        <v>0</v>
      </c>
      <c r="J36" s="135">
        <v>0</v>
      </c>
      <c r="K36" s="144">
        <v>0</v>
      </c>
      <c r="L36" s="144">
        <v>993.6</v>
      </c>
    </row>
    <row r="37" spans="1:12">
      <c r="A37" s="221" t="s">
        <v>416</v>
      </c>
      <c r="B37" s="103" t="s">
        <v>311</v>
      </c>
      <c r="C37" s="144">
        <v>0</v>
      </c>
      <c r="D37" s="144">
        <v>16596.96</v>
      </c>
      <c r="E37" s="135">
        <v>0</v>
      </c>
      <c r="F37" s="135">
        <v>0</v>
      </c>
      <c r="G37" s="135">
        <v>0</v>
      </c>
      <c r="H37" s="135">
        <v>0</v>
      </c>
      <c r="I37" s="135">
        <v>0</v>
      </c>
      <c r="J37" s="135">
        <v>0</v>
      </c>
      <c r="K37" s="144">
        <v>0</v>
      </c>
      <c r="L37" s="144">
        <v>16596.96</v>
      </c>
    </row>
    <row r="38" spans="1:12">
      <c r="A38" s="221" t="s">
        <v>513</v>
      </c>
      <c r="B38" s="103" t="s">
        <v>328</v>
      </c>
      <c r="C38" s="144">
        <v>0</v>
      </c>
      <c r="D38" s="144">
        <v>1659.7</v>
      </c>
      <c r="E38" s="135">
        <v>0</v>
      </c>
      <c r="F38" s="135">
        <v>0</v>
      </c>
      <c r="G38" s="135">
        <v>0</v>
      </c>
      <c r="H38" s="135">
        <v>0</v>
      </c>
      <c r="I38" s="135">
        <v>0</v>
      </c>
      <c r="J38" s="135">
        <v>0</v>
      </c>
      <c r="K38" s="144">
        <v>0</v>
      </c>
      <c r="L38" s="144">
        <v>1659.7</v>
      </c>
    </row>
    <row r="39" spans="1:12">
      <c r="A39" s="221" t="s">
        <v>558</v>
      </c>
      <c r="B39" s="103" t="s">
        <v>613</v>
      </c>
      <c r="C39" s="144">
        <v>0</v>
      </c>
      <c r="D39" s="144">
        <v>82603.11</v>
      </c>
      <c r="E39" s="135">
        <v>0</v>
      </c>
      <c r="F39" s="144">
        <v>7560.34</v>
      </c>
      <c r="G39" s="135">
        <v>0</v>
      </c>
      <c r="H39" s="135">
        <v>0</v>
      </c>
      <c r="I39" s="135">
        <v>0</v>
      </c>
      <c r="J39" s="144">
        <v>7560.34</v>
      </c>
      <c r="K39" s="144">
        <v>0</v>
      </c>
      <c r="L39" s="144">
        <v>90163.45</v>
      </c>
    </row>
    <row r="40" spans="1:12">
      <c r="A40" s="221" t="s">
        <v>579</v>
      </c>
      <c r="B40" s="103" t="s">
        <v>468</v>
      </c>
      <c r="C40" s="144">
        <v>0</v>
      </c>
      <c r="D40" s="144">
        <v>7560.34</v>
      </c>
      <c r="E40" s="144">
        <v>7560.34</v>
      </c>
      <c r="F40" s="135">
        <v>0</v>
      </c>
      <c r="G40" s="135">
        <v>0</v>
      </c>
      <c r="H40" s="135">
        <v>0</v>
      </c>
      <c r="I40" s="144">
        <v>7560.34</v>
      </c>
      <c r="J40" s="135">
        <v>0</v>
      </c>
      <c r="K40" s="144">
        <v>0</v>
      </c>
      <c r="L40" s="144">
        <v>0</v>
      </c>
    </row>
    <row r="41" spans="1:12">
      <c r="A41" s="221" t="s">
        <v>35</v>
      </c>
      <c r="B41" s="103" t="s">
        <v>909</v>
      </c>
      <c r="C41" s="144">
        <v>0</v>
      </c>
      <c r="D41" s="144">
        <v>710.02</v>
      </c>
      <c r="E41" s="144">
        <v>183</v>
      </c>
      <c r="F41" s="144">
        <v>301.04000000000002</v>
      </c>
      <c r="G41" s="144">
        <v>13.5</v>
      </c>
      <c r="H41" s="144">
        <v>38.43</v>
      </c>
      <c r="I41" s="144">
        <v>196.5</v>
      </c>
      <c r="J41" s="144">
        <v>339.47</v>
      </c>
      <c r="K41" s="144">
        <v>0</v>
      </c>
      <c r="L41" s="144">
        <v>852.99</v>
      </c>
    </row>
    <row r="42" spans="1:12">
      <c r="A42" s="221" t="s">
        <v>573</v>
      </c>
      <c r="B42" s="103" t="s">
        <v>743</v>
      </c>
      <c r="C42" s="135">
        <v>0</v>
      </c>
      <c r="D42" s="135">
        <v>0</v>
      </c>
      <c r="E42" s="135">
        <v>0</v>
      </c>
      <c r="F42" s="135">
        <v>0</v>
      </c>
      <c r="G42" s="144">
        <v>50.78</v>
      </c>
      <c r="H42" s="135">
        <v>0</v>
      </c>
      <c r="I42" s="144">
        <v>50.78</v>
      </c>
      <c r="J42" s="135">
        <v>0</v>
      </c>
      <c r="K42" s="144">
        <v>50.78</v>
      </c>
      <c r="L42" s="144">
        <v>0</v>
      </c>
    </row>
    <row r="43" spans="1:12">
      <c r="A43" s="221" t="s">
        <v>656</v>
      </c>
      <c r="B43" s="103" t="s">
        <v>532</v>
      </c>
      <c r="C43" s="144">
        <v>0</v>
      </c>
      <c r="D43" s="144">
        <v>0</v>
      </c>
      <c r="E43" s="144">
        <v>701.29</v>
      </c>
      <c r="F43" s="135">
        <v>0</v>
      </c>
      <c r="G43" s="144">
        <v>130.72999999999999</v>
      </c>
      <c r="H43" s="135">
        <v>0</v>
      </c>
      <c r="I43" s="144">
        <v>832.02</v>
      </c>
      <c r="J43" s="135">
        <v>0</v>
      </c>
      <c r="K43" s="144">
        <v>832.02</v>
      </c>
      <c r="L43" s="144">
        <v>0</v>
      </c>
    </row>
    <row r="44" spans="1:12">
      <c r="A44" s="221" t="s">
        <v>900</v>
      </c>
      <c r="B44" s="103" t="s">
        <v>655</v>
      </c>
      <c r="C44" s="144">
        <v>0</v>
      </c>
      <c r="D44" s="144">
        <v>0</v>
      </c>
      <c r="E44" s="144">
        <v>473.12</v>
      </c>
      <c r="F44" s="135">
        <v>0</v>
      </c>
      <c r="G44" s="135">
        <v>0</v>
      </c>
      <c r="H44" s="135">
        <v>0</v>
      </c>
      <c r="I44" s="144">
        <v>473.12</v>
      </c>
      <c r="J44" s="135">
        <v>0</v>
      </c>
      <c r="K44" s="144">
        <v>473.12</v>
      </c>
      <c r="L44" s="144">
        <v>0</v>
      </c>
    </row>
    <row r="45" spans="1:12">
      <c r="A45" s="221" t="s">
        <v>290</v>
      </c>
      <c r="B45" s="103" t="s">
        <v>968</v>
      </c>
      <c r="C45" s="144">
        <v>0</v>
      </c>
      <c r="D45" s="144">
        <v>0</v>
      </c>
      <c r="E45" s="144">
        <v>413.46</v>
      </c>
      <c r="F45" s="135">
        <v>0</v>
      </c>
      <c r="G45" s="144">
        <v>62.52</v>
      </c>
      <c r="H45" s="144">
        <v>3.76</v>
      </c>
      <c r="I45" s="144">
        <v>475.98</v>
      </c>
      <c r="J45" s="144">
        <v>3.76</v>
      </c>
      <c r="K45" s="144">
        <v>472.22</v>
      </c>
      <c r="L45" s="144">
        <v>0</v>
      </c>
    </row>
    <row r="46" spans="1:12">
      <c r="A46" s="221" t="s">
        <v>797</v>
      </c>
      <c r="B46" s="103" t="s">
        <v>1019</v>
      </c>
      <c r="C46" s="144">
        <v>0</v>
      </c>
      <c r="D46" s="144">
        <v>0</v>
      </c>
      <c r="E46" s="144">
        <v>1205.18</v>
      </c>
      <c r="F46" s="135">
        <v>0</v>
      </c>
      <c r="G46" s="144">
        <v>130.01</v>
      </c>
      <c r="H46" s="144">
        <v>46.81</v>
      </c>
      <c r="I46" s="144">
        <v>1335.19</v>
      </c>
      <c r="J46" s="144">
        <v>46.81</v>
      </c>
      <c r="K46" s="144">
        <v>1288.3800000000001</v>
      </c>
      <c r="L46" s="144">
        <v>0</v>
      </c>
    </row>
    <row r="47" spans="1:12">
      <c r="A47" s="221" t="s">
        <v>205</v>
      </c>
      <c r="B47" s="103" t="s">
        <v>105</v>
      </c>
      <c r="C47" s="144">
        <v>0</v>
      </c>
      <c r="D47" s="144">
        <v>0</v>
      </c>
      <c r="E47" s="144">
        <v>2540.4899999999998</v>
      </c>
      <c r="F47" s="135">
        <v>0</v>
      </c>
      <c r="G47" s="144">
        <v>263.64</v>
      </c>
      <c r="H47" s="144">
        <v>7.58</v>
      </c>
      <c r="I47" s="144">
        <v>2804.13</v>
      </c>
      <c r="J47" s="144">
        <v>7.58</v>
      </c>
      <c r="K47" s="144">
        <v>2796.55</v>
      </c>
      <c r="L47" s="144">
        <v>0</v>
      </c>
    </row>
    <row r="48" spans="1:12">
      <c r="A48" s="221" t="s">
        <v>566</v>
      </c>
      <c r="B48" s="103" t="s">
        <v>236</v>
      </c>
      <c r="C48" s="144">
        <v>0</v>
      </c>
      <c r="D48" s="144">
        <v>0</v>
      </c>
      <c r="E48" s="144">
        <v>2136.0500000000002</v>
      </c>
      <c r="F48" s="135">
        <v>0</v>
      </c>
      <c r="G48" s="144">
        <v>15.17</v>
      </c>
      <c r="H48" s="135">
        <v>0</v>
      </c>
      <c r="I48" s="144">
        <v>2151.2199999999998</v>
      </c>
      <c r="J48" s="135">
        <v>0</v>
      </c>
      <c r="K48" s="144">
        <v>2151.2199999999998</v>
      </c>
      <c r="L48" s="144">
        <v>0</v>
      </c>
    </row>
    <row r="49" spans="1:12">
      <c r="A49" s="221" t="s">
        <v>600</v>
      </c>
      <c r="B49" s="103" t="s">
        <v>287</v>
      </c>
      <c r="C49" s="144">
        <v>0</v>
      </c>
      <c r="D49" s="144">
        <v>0</v>
      </c>
      <c r="E49" s="144">
        <v>95.72</v>
      </c>
      <c r="F49" s="135">
        <v>0</v>
      </c>
      <c r="G49" s="144">
        <v>122.5</v>
      </c>
      <c r="H49" s="135">
        <v>0</v>
      </c>
      <c r="I49" s="144">
        <v>218.22</v>
      </c>
      <c r="J49" s="135">
        <v>0</v>
      </c>
      <c r="K49" s="144">
        <v>218.22</v>
      </c>
      <c r="L49" s="144">
        <v>0</v>
      </c>
    </row>
    <row r="50" spans="1:12">
      <c r="A50" s="221" t="s">
        <v>905</v>
      </c>
      <c r="B50" s="103" t="s">
        <v>534</v>
      </c>
      <c r="C50" s="144">
        <v>0</v>
      </c>
      <c r="D50" s="144">
        <v>0</v>
      </c>
      <c r="E50" s="144">
        <v>2234.81</v>
      </c>
      <c r="F50" s="135">
        <v>0</v>
      </c>
      <c r="G50" s="144">
        <v>595.51</v>
      </c>
      <c r="H50" s="135">
        <v>0</v>
      </c>
      <c r="I50" s="144">
        <v>2830.32</v>
      </c>
      <c r="J50" s="135">
        <v>0</v>
      </c>
      <c r="K50" s="144">
        <v>2830.32</v>
      </c>
      <c r="L50" s="144">
        <v>0</v>
      </c>
    </row>
    <row r="51" spans="1:12">
      <c r="A51" s="221" t="s">
        <v>612</v>
      </c>
      <c r="B51" s="103" t="s">
        <v>535</v>
      </c>
      <c r="C51" s="144">
        <v>0</v>
      </c>
      <c r="D51" s="144">
        <v>0</v>
      </c>
      <c r="E51" s="144">
        <v>763.75</v>
      </c>
      <c r="F51" s="135">
        <v>0</v>
      </c>
      <c r="G51" s="144">
        <v>20.399999999999999</v>
      </c>
      <c r="H51" s="135">
        <v>0</v>
      </c>
      <c r="I51" s="144">
        <v>784.15</v>
      </c>
      <c r="J51" s="135">
        <v>0</v>
      </c>
      <c r="K51" s="144">
        <v>784.15</v>
      </c>
      <c r="L51" s="144">
        <v>0</v>
      </c>
    </row>
    <row r="52" spans="1:12">
      <c r="A52" s="221" t="s">
        <v>873</v>
      </c>
      <c r="B52" s="103" t="s">
        <v>521</v>
      </c>
      <c r="C52" s="144">
        <v>0</v>
      </c>
      <c r="D52" s="144">
        <v>0</v>
      </c>
      <c r="E52" s="144">
        <v>67.7</v>
      </c>
      <c r="F52" s="135">
        <v>0</v>
      </c>
      <c r="G52" s="144">
        <v>15.6</v>
      </c>
      <c r="H52" s="135">
        <v>0</v>
      </c>
      <c r="I52" s="144">
        <v>83.3</v>
      </c>
      <c r="J52" s="135">
        <v>0</v>
      </c>
      <c r="K52" s="144">
        <v>83.3</v>
      </c>
      <c r="L52" s="144">
        <v>0</v>
      </c>
    </row>
    <row r="53" spans="1:12">
      <c r="A53" s="221" t="s">
        <v>30</v>
      </c>
      <c r="B53" s="103" t="s">
        <v>334</v>
      </c>
      <c r="C53" s="144">
        <v>0</v>
      </c>
      <c r="D53" s="144">
        <v>0</v>
      </c>
      <c r="E53" s="144">
        <v>3658.82</v>
      </c>
      <c r="F53" s="135">
        <v>0</v>
      </c>
      <c r="G53" s="144">
        <v>815</v>
      </c>
      <c r="H53" s="135">
        <v>0</v>
      </c>
      <c r="I53" s="144">
        <v>4473.82</v>
      </c>
      <c r="J53" s="135">
        <v>0</v>
      </c>
      <c r="K53" s="144">
        <v>4473.82</v>
      </c>
      <c r="L53" s="144">
        <v>0</v>
      </c>
    </row>
    <row r="54" spans="1:12">
      <c r="A54" s="221" t="s">
        <v>407</v>
      </c>
      <c r="B54" s="103" t="s">
        <v>365</v>
      </c>
      <c r="C54" s="144">
        <v>0</v>
      </c>
      <c r="D54" s="144">
        <v>0</v>
      </c>
      <c r="E54" s="144">
        <v>2.08</v>
      </c>
      <c r="F54" s="135">
        <v>0</v>
      </c>
      <c r="G54" s="135">
        <v>0</v>
      </c>
      <c r="H54" s="135">
        <v>0</v>
      </c>
      <c r="I54" s="144">
        <v>2.08</v>
      </c>
      <c r="J54" s="135">
        <v>0</v>
      </c>
      <c r="K54" s="144">
        <v>2.08</v>
      </c>
      <c r="L54" s="144">
        <v>0</v>
      </c>
    </row>
    <row r="55" spans="1:12">
      <c r="A55" s="221" t="s">
        <v>360</v>
      </c>
      <c r="B55" s="103" t="s">
        <v>522</v>
      </c>
      <c r="C55" s="144">
        <v>0</v>
      </c>
      <c r="D55" s="144">
        <v>0</v>
      </c>
      <c r="E55" s="144">
        <v>704.64</v>
      </c>
      <c r="F55" s="135">
        <v>0</v>
      </c>
      <c r="G55" s="144">
        <v>65.56</v>
      </c>
      <c r="H55" s="135">
        <v>0</v>
      </c>
      <c r="I55" s="144">
        <v>770.2</v>
      </c>
      <c r="J55" s="135">
        <v>0</v>
      </c>
      <c r="K55" s="144">
        <v>770.2</v>
      </c>
      <c r="L55" s="144">
        <v>0</v>
      </c>
    </row>
    <row r="56" spans="1:12">
      <c r="A56" s="221" t="s">
        <v>1051</v>
      </c>
      <c r="B56" s="103" t="s">
        <v>460</v>
      </c>
      <c r="C56" s="144">
        <v>0</v>
      </c>
      <c r="D56" s="144">
        <v>0</v>
      </c>
      <c r="E56" s="144">
        <v>2750</v>
      </c>
      <c r="F56" s="135">
        <v>0</v>
      </c>
      <c r="G56" s="144">
        <v>250</v>
      </c>
      <c r="H56" s="135">
        <v>0</v>
      </c>
      <c r="I56" s="144">
        <v>3000</v>
      </c>
      <c r="J56" s="135">
        <v>0</v>
      </c>
      <c r="K56" s="144">
        <v>3000</v>
      </c>
      <c r="L56" s="144">
        <v>0</v>
      </c>
    </row>
    <row r="57" spans="1:12">
      <c r="A57" s="221" t="s">
        <v>603</v>
      </c>
      <c r="B57" s="103" t="s">
        <v>378</v>
      </c>
      <c r="C57" s="144">
        <v>0</v>
      </c>
      <c r="D57" s="144">
        <v>0</v>
      </c>
      <c r="E57" s="144">
        <v>54115.519999999997</v>
      </c>
      <c r="F57" s="135">
        <v>0</v>
      </c>
      <c r="G57" s="144">
        <v>8036.53</v>
      </c>
      <c r="H57" s="135">
        <v>0</v>
      </c>
      <c r="I57" s="144">
        <v>62152.05</v>
      </c>
      <c r="J57" s="135">
        <v>0</v>
      </c>
      <c r="K57" s="144">
        <v>62152.05</v>
      </c>
      <c r="L57" s="144">
        <v>0</v>
      </c>
    </row>
    <row r="58" spans="1:12">
      <c r="A58" s="221" t="s">
        <v>100</v>
      </c>
      <c r="B58" s="103" t="s">
        <v>674</v>
      </c>
      <c r="C58" s="144">
        <v>0</v>
      </c>
      <c r="D58" s="144">
        <v>0</v>
      </c>
      <c r="E58" s="144">
        <v>18911.77</v>
      </c>
      <c r="F58" s="135">
        <v>0</v>
      </c>
      <c r="G58" s="144">
        <v>2686.77</v>
      </c>
      <c r="H58" s="135">
        <v>0</v>
      </c>
      <c r="I58" s="144">
        <v>21598.54</v>
      </c>
      <c r="J58" s="135">
        <v>0</v>
      </c>
      <c r="K58" s="144">
        <v>21598.54</v>
      </c>
      <c r="L58" s="144">
        <v>0</v>
      </c>
    </row>
    <row r="59" spans="1:12">
      <c r="A59" s="221" t="s">
        <v>254</v>
      </c>
      <c r="B59" s="103" t="s">
        <v>41</v>
      </c>
      <c r="C59" s="144">
        <v>0</v>
      </c>
      <c r="D59" s="144">
        <v>0</v>
      </c>
      <c r="E59" s="144">
        <v>678.18</v>
      </c>
      <c r="F59" s="135">
        <v>0</v>
      </c>
      <c r="G59" s="144">
        <v>38.43</v>
      </c>
      <c r="H59" s="135">
        <v>0</v>
      </c>
      <c r="I59" s="144">
        <v>716.61</v>
      </c>
      <c r="J59" s="135">
        <v>0</v>
      </c>
      <c r="K59" s="144">
        <v>716.61</v>
      </c>
      <c r="L59" s="144">
        <v>0</v>
      </c>
    </row>
    <row r="60" spans="1:12">
      <c r="A60" s="221" t="s">
        <v>1047</v>
      </c>
      <c r="B60" s="103" t="s">
        <v>41</v>
      </c>
      <c r="C60" s="144">
        <v>0</v>
      </c>
      <c r="D60" s="144">
        <v>0</v>
      </c>
      <c r="E60" s="144">
        <v>728.37</v>
      </c>
      <c r="F60" s="135">
        <v>0</v>
      </c>
      <c r="G60" s="144">
        <v>47.03</v>
      </c>
      <c r="H60" s="135">
        <v>0</v>
      </c>
      <c r="I60" s="144">
        <v>775.4</v>
      </c>
      <c r="J60" s="135">
        <v>0</v>
      </c>
      <c r="K60" s="144">
        <v>775.4</v>
      </c>
      <c r="L60" s="144">
        <v>0</v>
      </c>
    </row>
    <row r="61" spans="1:12">
      <c r="A61" s="221" t="s">
        <v>536</v>
      </c>
      <c r="B61" s="103" t="s">
        <v>417</v>
      </c>
      <c r="C61" s="144">
        <v>0</v>
      </c>
      <c r="D61" s="144">
        <v>0</v>
      </c>
      <c r="E61" s="144">
        <v>878.4</v>
      </c>
      <c r="F61" s="135">
        <v>0</v>
      </c>
      <c r="G61" s="144">
        <v>67.5</v>
      </c>
      <c r="H61" s="135">
        <v>0</v>
      </c>
      <c r="I61" s="144">
        <v>945.9</v>
      </c>
      <c r="J61" s="135">
        <v>0</v>
      </c>
      <c r="K61" s="144">
        <v>945.9</v>
      </c>
      <c r="L61" s="144">
        <v>0</v>
      </c>
    </row>
    <row r="62" spans="1:12">
      <c r="A62" s="221" t="s">
        <v>442</v>
      </c>
      <c r="B62" s="103" t="s">
        <v>1029</v>
      </c>
      <c r="C62" s="135">
        <v>0</v>
      </c>
      <c r="D62" s="135">
        <v>0</v>
      </c>
      <c r="E62" s="135">
        <v>0</v>
      </c>
      <c r="F62" s="135">
        <v>0</v>
      </c>
      <c r="G62" s="144">
        <v>247.67</v>
      </c>
      <c r="H62" s="135">
        <v>0</v>
      </c>
      <c r="I62" s="144">
        <v>247.67</v>
      </c>
      <c r="J62" s="135">
        <v>0</v>
      </c>
      <c r="K62" s="144">
        <v>247.67</v>
      </c>
      <c r="L62" s="144">
        <v>0</v>
      </c>
    </row>
    <row r="63" spans="1:12">
      <c r="A63" s="221" t="s">
        <v>1060</v>
      </c>
      <c r="B63" s="103" t="s">
        <v>181</v>
      </c>
      <c r="C63" s="144">
        <v>0</v>
      </c>
      <c r="D63" s="144">
        <v>0</v>
      </c>
      <c r="E63" s="144">
        <v>185.82</v>
      </c>
      <c r="F63" s="135">
        <v>0</v>
      </c>
      <c r="G63" s="135">
        <v>0</v>
      </c>
      <c r="H63" s="135">
        <v>0</v>
      </c>
      <c r="I63" s="144">
        <v>185.82</v>
      </c>
      <c r="J63" s="135">
        <v>0</v>
      </c>
      <c r="K63" s="144">
        <v>185.82</v>
      </c>
      <c r="L63" s="144">
        <v>0</v>
      </c>
    </row>
    <row r="64" spans="1:12">
      <c r="A64" s="221" t="s">
        <v>333</v>
      </c>
      <c r="B64" s="103" t="s">
        <v>932</v>
      </c>
      <c r="C64" s="144">
        <v>0</v>
      </c>
      <c r="D64" s="144">
        <v>0</v>
      </c>
      <c r="E64" s="144">
        <v>0.01</v>
      </c>
      <c r="F64" s="135">
        <v>0</v>
      </c>
      <c r="G64" s="135">
        <v>0</v>
      </c>
      <c r="H64" s="135">
        <v>0</v>
      </c>
      <c r="I64" s="144">
        <v>0.01</v>
      </c>
      <c r="J64" s="135">
        <v>0</v>
      </c>
      <c r="K64" s="144">
        <v>0.01</v>
      </c>
      <c r="L64" s="144">
        <v>0</v>
      </c>
    </row>
    <row r="65" spans="1:12">
      <c r="A65" s="221" t="s">
        <v>86</v>
      </c>
      <c r="B65" s="103" t="s">
        <v>1065</v>
      </c>
      <c r="C65" s="135">
        <v>0</v>
      </c>
      <c r="D65" s="135">
        <v>0</v>
      </c>
      <c r="E65" s="135">
        <v>0</v>
      </c>
      <c r="F65" s="135">
        <v>0</v>
      </c>
      <c r="G65" s="144">
        <v>5.46</v>
      </c>
      <c r="H65" s="135">
        <v>0</v>
      </c>
      <c r="I65" s="144">
        <v>5.46</v>
      </c>
      <c r="J65" s="135">
        <v>0</v>
      </c>
      <c r="K65" s="144">
        <v>5.46</v>
      </c>
      <c r="L65" s="144">
        <v>0</v>
      </c>
    </row>
    <row r="66" spans="1:12">
      <c r="A66" s="221" t="s">
        <v>642</v>
      </c>
      <c r="B66" s="103" t="s">
        <v>553</v>
      </c>
      <c r="C66" s="144">
        <v>0</v>
      </c>
      <c r="D66" s="144">
        <v>0</v>
      </c>
      <c r="E66" s="144">
        <v>5225</v>
      </c>
      <c r="F66" s="135">
        <v>0</v>
      </c>
      <c r="G66" s="144">
        <v>475</v>
      </c>
      <c r="H66" s="135">
        <v>0</v>
      </c>
      <c r="I66" s="144">
        <v>5700</v>
      </c>
      <c r="J66" s="135">
        <v>0</v>
      </c>
      <c r="K66" s="144">
        <v>5700</v>
      </c>
      <c r="L66" s="144">
        <v>0</v>
      </c>
    </row>
    <row r="67" spans="1:12">
      <c r="A67" s="221" t="s">
        <v>897</v>
      </c>
      <c r="B67" s="103" t="s">
        <v>698</v>
      </c>
      <c r="C67" s="144">
        <v>0</v>
      </c>
      <c r="D67" s="144">
        <v>0</v>
      </c>
      <c r="E67" s="144">
        <v>2.46</v>
      </c>
      <c r="F67" s="135">
        <v>0</v>
      </c>
      <c r="G67" s="135">
        <v>0</v>
      </c>
      <c r="H67" s="135">
        <v>0</v>
      </c>
      <c r="I67" s="144">
        <v>2.46</v>
      </c>
      <c r="J67" s="135">
        <v>0</v>
      </c>
      <c r="K67" s="144">
        <v>2.46</v>
      </c>
      <c r="L67" s="144">
        <v>0</v>
      </c>
    </row>
    <row r="68" spans="1:12">
      <c r="A68" s="221" t="s">
        <v>516</v>
      </c>
      <c r="B68" s="103" t="s">
        <v>722</v>
      </c>
      <c r="C68" s="144">
        <v>0</v>
      </c>
      <c r="D68" s="144">
        <v>0</v>
      </c>
      <c r="E68" s="144">
        <v>121</v>
      </c>
      <c r="F68" s="135">
        <v>0</v>
      </c>
      <c r="G68" s="144">
        <v>11</v>
      </c>
      <c r="H68" s="135">
        <v>0</v>
      </c>
      <c r="I68" s="144">
        <v>132</v>
      </c>
      <c r="J68" s="135">
        <v>0</v>
      </c>
      <c r="K68" s="144">
        <v>132</v>
      </c>
      <c r="L68" s="144">
        <v>0</v>
      </c>
    </row>
    <row r="69" spans="1:12">
      <c r="A69" s="221" t="s">
        <v>567</v>
      </c>
      <c r="B69" s="103" t="s">
        <v>732</v>
      </c>
      <c r="C69" s="144">
        <v>0</v>
      </c>
      <c r="D69" s="144">
        <v>0</v>
      </c>
      <c r="E69" s="144">
        <v>1809.82</v>
      </c>
      <c r="F69" s="135">
        <v>0</v>
      </c>
      <c r="G69" s="144">
        <v>775.54</v>
      </c>
      <c r="H69" s="135">
        <v>0</v>
      </c>
      <c r="I69" s="144">
        <v>2585.36</v>
      </c>
      <c r="J69" s="135">
        <v>0</v>
      </c>
      <c r="K69" s="144">
        <v>2585.36</v>
      </c>
      <c r="L69" s="144">
        <v>0</v>
      </c>
    </row>
    <row r="70" spans="1:12">
      <c r="A70" s="221" t="s">
        <v>683</v>
      </c>
      <c r="B70" s="103" t="s">
        <v>880</v>
      </c>
      <c r="C70" s="135">
        <v>0</v>
      </c>
      <c r="D70" s="135">
        <v>0</v>
      </c>
      <c r="E70" s="135">
        <v>0</v>
      </c>
      <c r="F70" s="135">
        <v>0</v>
      </c>
      <c r="G70" s="144">
        <v>1356.58</v>
      </c>
      <c r="H70" s="135">
        <v>0</v>
      </c>
      <c r="I70" s="144">
        <v>1356.58</v>
      </c>
      <c r="J70" s="135">
        <v>0</v>
      </c>
      <c r="K70" s="144">
        <v>1356.58</v>
      </c>
      <c r="L70" s="144">
        <v>0</v>
      </c>
    </row>
    <row r="71" spans="1:12">
      <c r="A71" s="221" t="s">
        <v>568</v>
      </c>
      <c r="B71" s="103" t="s">
        <v>585</v>
      </c>
      <c r="C71" s="144">
        <v>0</v>
      </c>
      <c r="D71" s="144">
        <v>0</v>
      </c>
      <c r="E71" s="135">
        <v>0</v>
      </c>
      <c r="F71" s="144">
        <v>110130.2</v>
      </c>
      <c r="G71" s="135">
        <v>0</v>
      </c>
      <c r="H71" s="144">
        <v>8838</v>
      </c>
      <c r="I71" s="135">
        <v>0</v>
      </c>
      <c r="J71" s="144">
        <v>118968.2</v>
      </c>
      <c r="K71" s="144">
        <v>0</v>
      </c>
      <c r="L71" s="144">
        <v>118968.2</v>
      </c>
    </row>
    <row r="72" spans="1:12">
      <c r="A72" s="221" t="s">
        <v>330</v>
      </c>
      <c r="B72" s="103" t="s">
        <v>891</v>
      </c>
      <c r="C72" s="144">
        <v>0</v>
      </c>
      <c r="D72" s="144">
        <v>0</v>
      </c>
      <c r="E72" s="144">
        <v>74.099999999999994</v>
      </c>
      <c r="F72" s="144">
        <v>2834</v>
      </c>
      <c r="G72" s="135">
        <v>0</v>
      </c>
      <c r="H72" s="135">
        <v>0</v>
      </c>
      <c r="I72" s="144">
        <v>74.099999999999994</v>
      </c>
      <c r="J72" s="144">
        <v>2834</v>
      </c>
      <c r="K72" s="144">
        <v>0</v>
      </c>
      <c r="L72" s="144">
        <v>2759.9</v>
      </c>
    </row>
    <row r="73" spans="1:12">
      <c r="A73" s="221" t="s">
        <v>269</v>
      </c>
      <c r="B73" s="103" t="s">
        <v>657</v>
      </c>
      <c r="C73" s="144">
        <v>0</v>
      </c>
      <c r="D73" s="144">
        <v>0</v>
      </c>
      <c r="E73" s="135">
        <v>0</v>
      </c>
      <c r="F73" s="135">
        <v>0</v>
      </c>
      <c r="G73" s="135">
        <v>0</v>
      </c>
      <c r="H73" s="135">
        <v>0</v>
      </c>
      <c r="I73" s="144">
        <v>213220.51</v>
      </c>
      <c r="J73" s="144">
        <v>213220.51</v>
      </c>
      <c r="K73" s="144">
        <v>0</v>
      </c>
      <c r="L73" s="144">
        <v>0</v>
      </c>
    </row>
    <row r="74" spans="1:12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zoomScaleSheetLayoutView="100" workbookViewId="0"/>
  </sheetViews>
  <sheetFormatPr defaultColWidth="9.140625" defaultRowHeight="1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>
      <c r="A1" s="51" t="s">
        <v>326</v>
      </c>
      <c r="B1" s="11" t="s">
        <v>1062</v>
      </c>
      <c r="C1" s="157" t="s">
        <v>676</v>
      </c>
      <c r="D1" s="157" t="s">
        <v>835</v>
      </c>
      <c r="E1" s="157" t="s">
        <v>356</v>
      </c>
      <c r="F1" s="157" t="s">
        <v>641</v>
      </c>
      <c r="G1" s="157" t="s">
        <v>315</v>
      </c>
      <c r="H1" s="157" t="s">
        <v>583</v>
      </c>
      <c r="I1" s="157" t="s">
        <v>606</v>
      </c>
      <c r="J1" s="157" t="s">
        <v>584</v>
      </c>
      <c r="K1" s="157" t="s">
        <v>869</v>
      </c>
      <c r="L1" s="157" t="s">
        <v>165</v>
      </c>
    </row>
    <row r="2" spans="1:12">
      <c r="A2" s="221" t="s">
        <v>1053</v>
      </c>
      <c r="B2" s="103"/>
      <c r="C2" s="144">
        <v>0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0</v>
      </c>
      <c r="L2" s="144">
        <v>0</v>
      </c>
    </row>
    <row r="3" spans="1:12">
      <c r="A3" s="221" t="s">
        <v>818</v>
      </c>
      <c r="B3" s="103" t="s">
        <v>798</v>
      </c>
      <c r="C3" s="144">
        <v>95498.61</v>
      </c>
      <c r="D3" s="144">
        <v>0</v>
      </c>
      <c r="E3" s="135">
        <v>0</v>
      </c>
      <c r="F3" s="144">
        <v>18400.73</v>
      </c>
      <c r="G3" s="135">
        <v>0</v>
      </c>
      <c r="H3" s="135">
        <v>0</v>
      </c>
      <c r="I3" s="135">
        <v>0</v>
      </c>
      <c r="J3" s="144">
        <v>18400.73</v>
      </c>
      <c r="K3" s="144">
        <v>77097.88</v>
      </c>
      <c r="L3" s="144">
        <v>0</v>
      </c>
    </row>
    <row r="4" spans="1:12">
      <c r="A4" s="221" t="s">
        <v>1023</v>
      </c>
      <c r="B4" s="103" t="s">
        <v>715</v>
      </c>
      <c r="C4" s="144">
        <v>0</v>
      </c>
      <c r="D4" s="144">
        <v>82221.11</v>
      </c>
      <c r="E4" s="144">
        <v>18400.73</v>
      </c>
      <c r="F4" s="144">
        <v>5225</v>
      </c>
      <c r="G4" s="144">
        <v>0</v>
      </c>
      <c r="H4" s="144">
        <v>475</v>
      </c>
      <c r="I4" s="144">
        <v>18400.73</v>
      </c>
      <c r="J4" s="144">
        <v>5700</v>
      </c>
      <c r="K4" s="144">
        <v>0</v>
      </c>
      <c r="L4" s="144">
        <v>69520.38</v>
      </c>
    </row>
    <row r="5" spans="1:12">
      <c r="A5" s="221" t="s">
        <v>126</v>
      </c>
      <c r="B5" s="103" t="s">
        <v>194</v>
      </c>
      <c r="C5" s="144">
        <v>1214.02</v>
      </c>
      <c r="D5" s="144">
        <v>0</v>
      </c>
      <c r="E5" s="144">
        <v>13150</v>
      </c>
      <c r="F5" s="144">
        <v>9520.15</v>
      </c>
      <c r="G5" s="144">
        <v>980</v>
      </c>
      <c r="H5" s="144">
        <v>3595.13</v>
      </c>
      <c r="I5" s="144">
        <v>14130</v>
      </c>
      <c r="J5" s="144">
        <v>13115.28</v>
      </c>
      <c r="K5" s="144">
        <v>2228.7399999999998</v>
      </c>
      <c r="L5" s="144">
        <v>0</v>
      </c>
    </row>
    <row r="6" spans="1:12">
      <c r="A6" s="221" t="s">
        <v>893</v>
      </c>
      <c r="B6" s="103" t="s">
        <v>158</v>
      </c>
      <c r="C6" s="144">
        <v>228</v>
      </c>
      <c r="D6" s="144">
        <v>0</v>
      </c>
      <c r="E6" s="144">
        <v>0</v>
      </c>
      <c r="F6" s="144">
        <v>228</v>
      </c>
      <c r="G6" s="144">
        <v>0</v>
      </c>
      <c r="H6" s="144">
        <v>0</v>
      </c>
      <c r="I6" s="144">
        <v>0</v>
      </c>
      <c r="J6" s="144">
        <v>228</v>
      </c>
      <c r="K6" s="144">
        <v>0</v>
      </c>
      <c r="L6" s="144">
        <v>0</v>
      </c>
    </row>
    <row r="7" spans="1:12">
      <c r="A7" s="221" t="s">
        <v>565</v>
      </c>
      <c r="B7" s="103" t="s">
        <v>546</v>
      </c>
      <c r="C7" s="144">
        <v>102578.91</v>
      </c>
      <c r="D7" s="144">
        <v>0</v>
      </c>
      <c r="E7" s="144">
        <v>132122.88</v>
      </c>
      <c r="F7" s="144">
        <v>126130.33</v>
      </c>
      <c r="G7" s="144">
        <v>13958.4</v>
      </c>
      <c r="H7" s="144">
        <v>10358.26</v>
      </c>
      <c r="I7" s="144">
        <v>146081.28</v>
      </c>
      <c r="J7" s="144">
        <v>136488.59</v>
      </c>
      <c r="K7" s="144">
        <v>112171.6</v>
      </c>
      <c r="L7" s="144">
        <v>0</v>
      </c>
    </row>
    <row r="8" spans="1:12">
      <c r="A8" s="221" t="s">
        <v>484</v>
      </c>
      <c r="B8" s="103" t="s">
        <v>444</v>
      </c>
      <c r="C8" s="144">
        <v>0</v>
      </c>
      <c r="D8" s="144">
        <v>0</v>
      </c>
      <c r="E8" s="144">
        <v>13804.82</v>
      </c>
      <c r="F8" s="144">
        <v>12824.82</v>
      </c>
      <c r="G8" s="144">
        <v>0</v>
      </c>
      <c r="H8" s="144">
        <v>980</v>
      </c>
      <c r="I8" s="144">
        <v>13804.82</v>
      </c>
      <c r="J8" s="144">
        <v>13804.82</v>
      </c>
      <c r="K8" s="144">
        <v>0</v>
      </c>
      <c r="L8" s="144">
        <v>0</v>
      </c>
    </row>
    <row r="9" spans="1:12">
      <c r="A9" s="221" t="s">
        <v>914</v>
      </c>
      <c r="B9" s="103" t="s">
        <v>369</v>
      </c>
      <c r="C9" s="144">
        <v>13451.05</v>
      </c>
      <c r="D9" s="144">
        <v>0</v>
      </c>
      <c r="E9" s="144">
        <v>135427.44</v>
      </c>
      <c r="F9" s="144">
        <v>131474.88</v>
      </c>
      <c r="G9" s="144">
        <v>10605.6</v>
      </c>
      <c r="H9" s="144">
        <v>13958.4</v>
      </c>
      <c r="I9" s="144">
        <v>146033.04</v>
      </c>
      <c r="J9" s="144">
        <v>145433.28</v>
      </c>
      <c r="K9" s="144">
        <v>14050.81</v>
      </c>
      <c r="L9" s="144">
        <v>0</v>
      </c>
    </row>
    <row r="10" spans="1:12">
      <c r="A10" s="221" t="s">
        <v>1114</v>
      </c>
      <c r="B10" s="103" t="s">
        <v>83</v>
      </c>
      <c r="C10" s="144">
        <v>13.28</v>
      </c>
      <c r="D10" s="144">
        <v>0</v>
      </c>
      <c r="E10" s="144">
        <v>233.18</v>
      </c>
      <c r="F10" s="144">
        <v>0</v>
      </c>
      <c r="G10" s="144">
        <v>0</v>
      </c>
      <c r="H10" s="144">
        <v>101.18</v>
      </c>
      <c r="I10" s="144">
        <v>233.18</v>
      </c>
      <c r="J10" s="144">
        <v>101.18</v>
      </c>
      <c r="K10" s="144">
        <v>145.28</v>
      </c>
      <c r="L10" s="144">
        <v>0</v>
      </c>
    </row>
    <row r="11" spans="1:12">
      <c r="A11" s="221" t="s">
        <v>961</v>
      </c>
      <c r="B11" s="103" t="s">
        <v>678</v>
      </c>
      <c r="C11" s="144">
        <v>0</v>
      </c>
      <c r="D11" s="144">
        <v>348.39</v>
      </c>
      <c r="E11" s="144">
        <v>13473.94</v>
      </c>
      <c r="F11" s="144">
        <v>13711.94</v>
      </c>
      <c r="G11" s="144">
        <v>2738.19</v>
      </c>
      <c r="H11" s="144">
        <v>2168.19</v>
      </c>
      <c r="I11" s="144">
        <v>16212.13</v>
      </c>
      <c r="J11" s="144">
        <v>15880.13</v>
      </c>
      <c r="K11" s="144">
        <v>0</v>
      </c>
      <c r="L11" s="144">
        <v>16.39</v>
      </c>
    </row>
    <row r="12" spans="1:12">
      <c r="A12" s="221" t="s">
        <v>50</v>
      </c>
      <c r="B12" s="103" t="s">
        <v>213</v>
      </c>
      <c r="C12" s="144">
        <v>0</v>
      </c>
      <c r="D12" s="144">
        <v>1500</v>
      </c>
      <c r="E12" s="144">
        <v>0</v>
      </c>
      <c r="F12" s="144">
        <v>500</v>
      </c>
      <c r="G12" s="144">
        <v>2000</v>
      </c>
      <c r="H12" s="144">
        <v>0</v>
      </c>
      <c r="I12" s="144">
        <v>2000</v>
      </c>
      <c r="J12" s="144">
        <v>500</v>
      </c>
      <c r="K12" s="144">
        <v>0</v>
      </c>
      <c r="L12" s="144">
        <v>0</v>
      </c>
    </row>
    <row r="13" spans="1:12">
      <c r="A13" s="221" t="s">
        <v>1077</v>
      </c>
      <c r="B13" s="103" t="s">
        <v>204</v>
      </c>
      <c r="C13" s="144">
        <v>0</v>
      </c>
      <c r="D13" s="144">
        <v>4169.75</v>
      </c>
      <c r="E13" s="144">
        <v>54307.87</v>
      </c>
      <c r="F13" s="144">
        <v>54115.519999999997</v>
      </c>
      <c r="G13" s="144">
        <v>6164.58</v>
      </c>
      <c r="H13" s="144">
        <v>8036.53</v>
      </c>
      <c r="I13" s="144">
        <v>60472.45</v>
      </c>
      <c r="J13" s="144">
        <v>62152.05</v>
      </c>
      <c r="K13" s="144">
        <v>0</v>
      </c>
      <c r="L13" s="144">
        <v>5849.35</v>
      </c>
    </row>
    <row r="14" spans="1:12">
      <c r="A14" s="221" t="s">
        <v>503</v>
      </c>
      <c r="B14" s="103" t="s">
        <v>155</v>
      </c>
      <c r="C14" s="144">
        <v>0</v>
      </c>
      <c r="D14" s="144">
        <v>0</v>
      </c>
      <c r="E14" s="144">
        <v>909</v>
      </c>
      <c r="F14" s="144">
        <v>909</v>
      </c>
      <c r="G14" s="144">
        <v>81</v>
      </c>
      <c r="H14" s="144">
        <v>81</v>
      </c>
      <c r="I14" s="144">
        <v>990</v>
      </c>
      <c r="J14" s="144">
        <v>990</v>
      </c>
      <c r="K14" s="144">
        <v>0</v>
      </c>
      <c r="L14" s="144">
        <v>0</v>
      </c>
    </row>
    <row r="15" spans="1:12">
      <c r="A15" s="221" t="s">
        <v>989</v>
      </c>
      <c r="B15" s="103" t="s">
        <v>381</v>
      </c>
      <c r="C15" s="144">
        <v>170</v>
      </c>
      <c r="D15" s="144">
        <v>0</v>
      </c>
      <c r="E15" s="135">
        <v>0</v>
      </c>
      <c r="F15" s="135">
        <v>0</v>
      </c>
      <c r="G15" s="135">
        <v>0</v>
      </c>
      <c r="H15" s="135">
        <v>0</v>
      </c>
      <c r="I15" s="135">
        <v>0</v>
      </c>
      <c r="J15" s="135">
        <v>0</v>
      </c>
      <c r="K15" s="144">
        <v>170</v>
      </c>
      <c r="L15" s="144">
        <v>0</v>
      </c>
    </row>
    <row r="16" spans="1:12">
      <c r="A16" s="221" t="s">
        <v>492</v>
      </c>
      <c r="B16" s="103" t="s">
        <v>849</v>
      </c>
      <c r="C16" s="144">
        <v>0</v>
      </c>
      <c r="D16" s="144">
        <v>2793.93</v>
      </c>
      <c r="E16" s="144">
        <v>26396.91</v>
      </c>
      <c r="F16" s="144">
        <v>26105.43</v>
      </c>
      <c r="G16" s="144">
        <v>2502.4499999999998</v>
      </c>
      <c r="H16" s="144">
        <v>3633.59</v>
      </c>
      <c r="I16" s="144">
        <v>28899.360000000001</v>
      </c>
      <c r="J16" s="144">
        <v>29739.02</v>
      </c>
      <c r="K16" s="144">
        <v>0</v>
      </c>
      <c r="L16" s="144">
        <v>3633.59</v>
      </c>
    </row>
    <row r="17" spans="1:12">
      <c r="A17" s="221" t="s">
        <v>924</v>
      </c>
      <c r="B17" s="103" t="s">
        <v>276</v>
      </c>
      <c r="C17" s="144">
        <v>0</v>
      </c>
      <c r="D17" s="144">
        <v>2460.19</v>
      </c>
      <c r="E17" s="144">
        <v>2460.19</v>
      </c>
      <c r="F17" s="144">
        <v>0</v>
      </c>
      <c r="G17" s="144">
        <v>0</v>
      </c>
      <c r="H17" s="144">
        <v>1356.58</v>
      </c>
      <c r="I17" s="144">
        <v>2460.19</v>
      </c>
      <c r="J17" s="144">
        <v>1356.58</v>
      </c>
      <c r="K17" s="144">
        <v>0</v>
      </c>
      <c r="L17" s="144">
        <v>1356.58</v>
      </c>
    </row>
    <row r="18" spans="1:12">
      <c r="A18" s="221" t="s">
        <v>826</v>
      </c>
      <c r="B18" s="103" t="s">
        <v>804</v>
      </c>
      <c r="C18" s="144">
        <v>0</v>
      </c>
      <c r="D18" s="144">
        <v>1057.19</v>
      </c>
      <c r="E18" s="144">
        <v>8036.65</v>
      </c>
      <c r="F18" s="144">
        <v>7737.88</v>
      </c>
      <c r="G18" s="144">
        <v>756.6</v>
      </c>
      <c r="H18" s="144">
        <v>1488.03</v>
      </c>
      <c r="I18" s="144">
        <v>8793.25</v>
      </c>
      <c r="J18" s="144">
        <v>9225.91</v>
      </c>
      <c r="K18" s="144">
        <v>0</v>
      </c>
      <c r="L18" s="144">
        <v>1489.85</v>
      </c>
    </row>
    <row r="19" spans="1:12">
      <c r="A19" s="221" t="s">
        <v>245</v>
      </c>
      <c r="B19" s="103" t="s">
        <v>960</v>
      </c>
      <c r="C19" s="144">
        <v>0</v>
      </c>
      <c r="D19" s="144">
        <v>1290.8399999999999</v>
      </c>
      <c r="E19" s="144">
        <v>45660.4</v>
      </c>
      <c r="F19" s="144">
        <v>45411.72</v>
      </c>
      <c r="G19" s="144">
        <v>3146.44</v>
      </c>
      <c r="H19" s="144">
        <v>3540.66</v>
      </c>
      <c r="I19" s="144">
        <v>48806.84</v>
      </c>
      <c r="J19" s="144">
        <v>48952.38</v>
      </c>
      <c r="K19" s="144">
        <v>0</v>
      </c>
      <c r="L19" s="144">
        <v>1436.38</v>
      </c>
    </row>
    <row r="20" spans="1:12">
      <c r="A20" s="221" t="s">
        <v>469</v>
      </c>
      <c r="B20" s="103" t="s">
        <v>942</v>
      </c>
      <c r="C20" s="144">
        <v>0</v>
      </c>
      <c r="D20" s="144">
        <v>7255.38</v>
      </c>
      <c r="E20" s="135">
        <v>0</v>
      </c>
      <c r="F20" s="135">
        <v>0</v>
      </c>
      <c r="G20" s="135">
        <v>0</v>
      </c>
      <c r="H20" s="135">
        <v>0</v>
      </c>
      <c r="I20" s="135">
        <v>0</v>
      </c>
      <c r="J20" s="135">
        <v>0</v>
      </c>
      <c r="K20" s="144">
        <v>0</v>
      </c>
      <c r="L20" s="144">
        <v>7255.38</v>
      </c>
    </row>
    <row r="21" spans="1:12">
      <c r="A21" s="221" t="s">
        <v>182</v>
      </c>
      <c r="B21" s="103" t="s">
        <v>219</v>
      </c>
      <c r="C21" s="135">
        <v>0</v>
      </c>
      <c r="D21" s="135">
        <v>0</v>
      </c>
      <c r="E21" s="135">
        <v>0</v>
      </c>
      <c r="F21" s="135">
        <v>0</v>
      </c>
      <c r="G21" s="144">
        <v>300</v>
      </c>
      <c r="H21" s="144">
        <v>300</v>
      </c>
      <c r="I21" s="144">
        <v>300</v>
      </c>
      <c r="J21" s="144">
        <v>300</v>
      </c>
      <c r="K21" s="144">
        <v>0</v>
      </c>
      <c r="L21" s="144">
        <v>0</v>
      </c>
    </row>
    <row r="22" spans="1:12">
      <c r="A22" s="221" t="s">
        <v>120</v>
      </c>
      <c r="B22" s="103" t="s">
        <v>765</v>
      </c>
      <c r="C22" s="144">
        <v>0</v>
      </c>
      <c r="D22" s="144">
        <v>0</v>
      </c>
      <c r="E22" s="144">
        <v>2325.89</v>
      </c>
      <c r="F22" s="144">
        <v>1809.82</v>
      </c>
      <c r="G22" s="144">
        <v>259.47000000000003</v>
      </c>
      <c r="H22" s="144">
        <v>775.54</v>
      </c>
      <c r="I22" s="144">
        <v>2585.36</v>
      </c>
      <c r="J22" s="144">
        <v>2585.36</v>
      </c>
      <c r="K22" s="144">
        <v>0</v>
      </c>
      <c r="L22" s="144">
        <v>0</v>
      </c>
    </row>
    <row r="23" spans="1:12">
      <c r="A23" s="221" t="s">
        <v>139</v>
      </c>
      <c r="B23" s="103" t="s">
        <v>1076</v>
      </c>
      <c r="C23" s="144">
        <v>66.64</v>
      </c>
      <c r="D23" s="144">
        <v>0</v>
      </c>
      <c r="E23" s="135">
        <v>0</v>
      </c>
      <c r="F23" s="135">
        <v>0</v>
      </c>
      <c r="G23" s="144">
        <v>58.15</v>
      </c>
      <c r="H23" s="144">
        <v>66.64</v>
      </c>
      <c r="I23" s="144">
        <v>58.15</v>
      </c>
      <c r="J23" s="144">
        <v>66.64</v>
      </c>
      <c r="K23" s="144">
        <v>58.15</v>
      </c>
      <c r="L23" s="144">
        <v>0</v>
      </c>
    </row>
    <row r="24" spans="1:12">
      <c r="A24" s="221" t="s">
        <v>1089</v>
      </c>
      <c r="B24" s="103" t="s">
        <v>78</v>
      </c>
      <c r="C24" s="144">
        <v>0</v>
      </c>
      <c r="D24" s="144">
        <v>993.6</v>
      </c>
      <c r="E24" s="135">
        <v>0</v>
      </c>
      <c r="F24" s="135">
        <v>0</v>
      </c>
      <c r="G24" s="135">
        <v>0</v>
      </c>
      <c r="H24" s="135">
        <v>0</v>
      </c>
      <c r="I24" s="135">
        <v>0</v>
      </c>
      <c r="J24" s="135">
        <v>0</v>
      </c>
      <c r="K24" s="144">
        <v>0</v>
      </c>
      <c r="L24" s="144">
        <v>993.6</v>
      </c>
    </row>
    <row r="25" spans="1:12">
      <c r="A25" s="221" t="s">
        <v>1012</v>
      </c>
      <c r="B25" s="103" t="s">
        <v>311</v>
      </c>
      <c r="C25" s="144">
        <v>0</v>
      </c>
      <c r="D25" s="144">
        <v>16596.96</v>
      </c>
      <c r="E25" s="135">
        <v>0</v>
      </c>
      <c r="F25" s="135">
        <v>0</v>
      </c>
      <c r="G25" s="135">
        <v>0</v>
      </c>
      <c r="H25" s="135">
        <v>0</v>
      </c>
      <c r="I25" s="135">
        <v>0</v>
      </c>
      <c r="J25" s="135">
        <v>0</v>
      </c>
      <c r="K25" s="144">
        <v>0</v>
      </c>
      <c r="L25" s="144">
        <v>16596.96</v>
      </c>
    </row>
    <row r="26" spans="1:12">
      <c r="A26" s="221" t="s">
        <v>73</v>
      </c>
      <c r="B26" s="103" t="s">
        <v>328</v>
      </c>
      <c r="C26" s="144">
        <v>0</v>
      </c>
      <c r="D26" s="144">
        <v>1659.7</v>
      </c>
      <c r="E26" s="135">
        <v>0</v>
      </c>
      <c r="F26" s="135">
        <v>0</v>
      </c>
      <c r="G26" s="135">
        <v>0</v>
      </c>
      <c r="H26" s="135">
        <v>0</v>
      </c>
      <c r="I26" s="135">
        <v>0</v>
      </c>
      <c r="J26" s="135">
        <v>0</v>
      </c>
      <c r="K26" s="144">
        <v>0</v>
      </c>
      <c r="L26" s="144">
        <v>1659.7</v>
      </c>
    </row>
    <row r="27" spans="1:12">
      <c r="A27" s="221" t="s">
        <v>728</v>
      </c>
      <c r="B27" s="103" t="s">
        <v>613</v>
      </c>
      <c r="C27" s="144">
        <v>0</v>
      </c>
      <c r="D27" s="144">
        <v>82603.11</v>
      </c>
      <c r="E27" s="135">
        <v>0</v>
      </c>
      <c r="F27" s="144">
        <v>7560.34</v>
      </c>
      <c r="G27" s="135">
        <v>0</v>
      </c>
      <c r="H27" s="135">
        <v>0</v>
      </c>
      <c r="I27" s="135">
        <v>0</v>
      </c>
      <c r="J27" s="144">
        <v>7560.34</v>
      </c>
      <c r="K27" s="144">
        <v>0</v>
      </c>
      <c r="L27" s="144">
        <v>90163.45</v>
      </c>
    </row>
    <row r="28" spans="1:12">
      <c r="A28" s="221" t="s">
        <v>899</v>
      </c>
      <c r="B28" s="103" t="s">
        <v>468</v>
      </c>
      <c r="C28" s="144">
        <v>0</v>
      </c>
      <c r="D28" s="144">
        <v>7560.34</v>
      </c>
      <c r="E28" s="144">
        <v>7560.34</v>
      </c>
      <c r="F28" s="135">
        <v>0</v>
      </c>
      <c r="G28" s="135">
        <v>0</v>
      </c>
      <c r="H28" s="135">
        <v>0</v>
      </c>
      <c r="I28" s="144">
        <v>7560.34</v>
      </c>
      <c r="J28" s="135">
        <v>0</v>
      </c>
      <c r="K28" s="144">
        <v>0</v>
      </c>
      <c r="L28" s="144">
        <v>0</v>
      </c>
    </row>
    <row r="29" spans="1:12">
      <c r="A29" s="221" t="s">
        <v>614</v>
      </c>
      <c r="B29" s="103" t="s">
        <v>909</v>
      </c>
      <c r="C29" s="144">
        <v>0</v>
      </c>
      <c r="D29" s="144">
        <v>710.02</v>
      </c>
      <c r="E29" s="144">
        <v>183</v>
      </c>
      <c r="F29" s="144">
        <v>301.04000000000002</v>
      </c>
      <c r="G29" s="144">
        <v>13.5</v>
      </c>
      <c r="H29" s="144">
        <v>38.43</v>
      </c>
      <c r="I29" s="144">
        <v>196.5</v>
      </c>
      <c r="J29" s="144">
        <v>339.47</v>
      </c>
      <c r="K29" s="144">
        <v>0</v>
      </c>
      <c r="L29" s="144">
        <v>852.99</v>
      </c>
    </row>
    <row r="30" spans="1:12">
      <c r="A30" s="221" t="s">
        <v>69</v>
      </c>
      <c r="B30" s="103" t="s">
        <v>743</v>
      </c>
      <c r="C30" s="144">
        <v>0</v>
      </c>
      <c r="D30" s="144">
        <v>0</v>
      </c>
      <c r="E30" s="144">
        <v>5333.54</v>
      </c>
      <c r="F30" s="144">
        <v>0</v>
      </c>
      <c r="G30" s="144">
        <v>637.67999999999995</v>
      </c>
      <c r="H30" s="144">
        <v>58.15</v>
      </c>
      <c r="I30" s="144">
        <v>5971.22</v>
      </c>
      <c r="J30" s="144">
        <v>58.15</v>
      </c>
      <c r="K30" s="144">
        <v>5913.07</v>
      </c>
      <c r="L30" s="144">
        <v>0</v>
      </c>
    </row>
    <row r="31" spans="1:12">
      <c r="A31" s="221" t="s">
        <v>502</v>
      </c>
      <c r="B31" s="103" t="s">
        <v>60</v>
      </c>
      <c r="C31" s="144">
        <v>0</v>
      </c>
      <c r="D31" s="144">
        <v>0</v>
      </c>
      <c r="E31" s="144">
        <v>2136.0500000000002</v>
      </c>
      <c r="F31" s="144">
        <v>0</v>
      </c>
      <c r="G31" s="144">
        <v>15.17</v>
      </c>
      <c r="H31" s="144">
        <v>0</v>
      </c>
      <c r="I31" s="144">
        <v>2151.2199999999998</v>
      </c>
      <c r="J31" s="144">
        <v>0</v>
      </c>
      <c r="K31" s="144">
        <v>2151.2199999999998</v>
      </c>
      <c r="L31" s="144">
        <v>0</v>
      </c>
    </row>
    <row r="32" spans="1:12">
      <c r="A32" s="221" t="s">
        <v>1050</v>
      </c>
      <c r="B32" s="103" t="s">
        <v>445</v>
      </c>
      <c r="C32" s="144">
        <v>0</v>
      </c>
      <c r="D32" s="144">
        <v>0</v>
      </c>
      <c r="E32" s="144">
        <v>2330.5300000000002</v>
      </c>
      <c r="F32" s="144">
        <v>0</v>
      </c>
      <c r="G32" s="144">
        <v>718.01</v>
      </c>
      <c r="H32" s="144">
        <v>0</v>
      </c>
      <c r="I32" s="144">
        <v>3048.54</v>
      </c>
      <c r="J32" s="144">
        <v>0</v>
      </c>
      <c r="K32" s="144">
        <v>3048.54</v>
      </c>
      <c r="L32" s="144">
        <v>0</v>
      </c>
    </row>
    <row r="33" spans="1:12">
      <c r="A33" s="221" t="s">
        <v>506</v>
      </c>
      <c r="B33" s="103" t="s">
        <v>535</v>
      </c>
      <c r="C33" s="144">
        <v>0</v>
      </c>
      <c r="D33" s="144">
        <v>0</v>
      </c>
      <c r="E33" s="144">
        <v>763.75</v>
      </c>
      <c r="F33" s="144">
        <v>0</v>
      </c>
      <c r="G33" s="144">
        <v>20.399999999999999</v>
      </c>
      <c r="H33" s="144">
        <v>0</v>
      </c>
      <c r="I33" s="144">
        <v>784.15</v>
      </c>
      <c r="J33" s="144">
        <v>0</v>
      </c>
      <c r="K33" s="144">
        <v>784.15</v>
      </c>
      <c r="L33" s="144">
        <v>0</v>
      </c>
    </row>
    <row r="34" spans="1:12">
      <c r="A34" s="221" t="s">
        <v>340</v>
      </c>
      <c r="B34" s="103" t="s">
        <v>521</v>
      </c>
      <c r="C34" s="144">
        <v>0</v>
      </c>
      <c r="D34" s="144">
        <v>0</v>
      </c>
      <c r="E34" s="144">
        <v>7183.24</v>
      </c>
      <c r="F34" s="144">
        <v>0</v>
      </c>
      <c r="G34" s="144">
        <v>1146.1600000000001</v>
      </c>
      <c r="H34" s="144">
        <v>0</v>
      </c>
      <c r="I34" s="144">
        <v>8329.4</v>
      </c>
      <c r="J34" s="144">
        <v>0</v>
      </c>
      <c r="K34" s="144">
        <v>8329.4</v>
      </c>
      <c r="L34" s="144">
        <v>0</v>
      </c>
    </row>
    <row r="35" spans="1:12">
      <c r="A35" s="221" t="s">
        <v>137</v>
      </c>
      <c r="B35" s="103" t="s">
        <v>378</v>
      </c>
      <c r="C35" s="144">
        <v>0</v>
      </c>
      <c r="D35" s="144">
        <v>0</v>
      </c>
      <c r="E35" s="144">
        <v>54115.519999999997</v>
      </c>
      <c r="F35" s="144">
        <v>0</v>
      </c>
      <c r="G35" s="144">
        <v>8036.53</v>
      </c>
      <c r="H35" s="144">
        <v>0</v>
      </c>
      <c r="I35" s="144">
        <v>62152.05</v>
      </c>
      <c r="J35" s="144">
        <v>0</v>
      </c>
      <c r="K35" s="144">
        <v>62152.05</v>
      </c>
      <c r="L35" s="144">
        <v>0</v>
      </c>
    </row>
    <row r="36" spans="1:12">
      <c r="A36" s="221" t="s">
        <v>892</v>
      </c>
      <c r="B36" s="103" t="s">
        <v>674</v>
      </c>
      <c r="C36" s="144">
        <v>0</v>
      </c>
      <c r="D36" s="144">
        <v>0</v>
      </c>
      <c r="E36" s="144">
        <v>18911.77</v>
      </c>
      <c r="F36" s="144">
        <v>0</v>
      </c>
      <c r="G36" s="144">
        <v>2686.77</v>
      </c>
      <c r="H36" s="144">
        <v>0</v>
      </c>
      <c r="I36" s="144">
        <v>21598.54</v>
      </c>
      <c r="J36" s="144">
        <v>0</v>
      </c>
      <c r="K36" s="144">
        <v>21598.54</v>
      </c>
      <c r="L36" s="144">
        <v>0</v>
      </c>
    </row>
    <row r="37" spans="1:12">
      <c r="A37" s="221" t="s">
        <v>712</v>
      </c>
      <c r="B37" s="103" t="s">
        <v>41</v>
      </c>
      <c r="C37" s="144">
        <v>0</v>
      </c>
      <c r="D37" s="144">
        <v>0</v>
      </c>
      <c r="E37" s="144">
        <v>2284.9499999999998</v>
      </c>
      <c r="F37" s="144">
        <v>0</v>
      </c>
      <c r="G37" s="144">
        <v>152.96</v>
      </c>
      <c r="H37" s="144">
        <v>0</v>
      </c>
      <c r="I37" s="144">
        <v>2437.91</v>
      </c>
      <c r="J37" s="144">
        <v>0</v>
      </c>
      <c r="K37" s="144">
        <v>2437.91</v>
      </c>
      <c r="L37" s="144">
        <v>0</v>
      </c>
    </row>
    <row r="38" spans="1:12">
      <c r="A38" s="221" t="s">
        <v>277</v>
      </c>
      <c r="B38" s="103" t="s">
        <v>1029</v>
      </c>
      <c r="C38" s="135">
        <v>0</v>
      </c>
      <c r="D38" s="135">
        <v>0</v>
      </c>
      <c r="E38" s="135">
        <v>0</v>
      </c>
      <c r="F38" s="135">
        <v>0</v>
      </c>
      <c r="G38" s="144">
        <v>247.67</v>
      </c>
      <c r="H38" s="135">
        <v>0</v>
      </c>
      <c r="I38" s="144">
        <v>247.67</v>
      </c>
      <c r="J38" s="135">
        <v>0</v>
      </c>
      <c r="K38" s="144">
        <v>247.67</v>
      </c>
      <c r="L38" s="144">
        <v>0</v>
      </c>
    </row>
    <row r="39" spans="1:12">
      <c r="A39" s="221" t="s">
        <v>802</v>
      </c>
      <c r="B39" s="103" t="s">
        <v>181</v>
      </c>
      <c r="C39" s="144">
        <v>0</v>
      </c>
      <c r="D39" s="144">
        <v>0</v>
      </c>
      <c r="E39" s="144">
        <v>185.82</v>
      </c>
      <c r="F39" s="144">
        <v>0</v>
      </c>
      <c r="G39" s="144">
        <v>0</v>
      </c>
      <c r="H39" s="144">
        <v>0</v>
      </c>
      <c r="I39" s="144">
        <v>185.82</v>
      </c>
      <c r="J39" s="144">
        <v>0</v>
      </c>
      <c r="K39" s="144">
        <v>185.82</v>
      </c>
      <c r="L39" s="144">
        <v>0</v>
      </c>
    </row>
    <row r="40" spans="1:12">
      <c r="A40" s="221" t="s">
        <v>795</v>
      </c>
      <c r="B40" s="103" t="s">
        <v>904</v>
      </c>
      <c r="C40" s="144">
        <v>0</v>
      </c>
      <c r="D40" s="144">
        <v>0</v>
      </c>
      <c r="E40" s="144">
        <v>0.01</v>
      </c>
      <c r="F40" s="144">
        <v>0</v>
      </c>
      <c r="G40" s="144">
        <v>5.46</v>
      </c>
      <c r="H40" s="144">
        <v>0</v>
      </c>
      <c r="I40" s="144">
        <v>5.47</v>
      </c>
      <c r="J40" s="144">
        <v>0</v>
      </c>
      <c r="K40" s="144">
        <v>5.47</v>
      </c>
      <c r="L40" s="144">
        <v>0</v>
      </c>
    </row>
    <row r="41" spans="1:12">
      <c r="A41" s="221" t="s">
        <v>240</v>
      </c>
      <c r="B41" s="103" t="s">
        <v>397</v>
      </c>
      <c r="C41" s="144">
        <v>0</v>
      </c>
      <c r="D41" s="144">
        <v>0</v>
      </c>
      <c r="E41" s="144">
        <v>5225</v>
      </c>
      <c r="F41" s="144">
        <v>0</v>
      </c>
      <c r="G41" s="144">
        <v>475</v>
      </c>
      <c r="H41" s="144">
        <v>0</v>
      </c>
      <c r="I41" s="144">
        <v>5700</v>
      </c>
      <c r="J41" s="144">
        <v>0</v>
      </c>
      <c r="K41" s="144">
        <v>5700</v>
      </c>
      <c r="L41" s="144">
        <v>0</v>
      </c>
    </row>
    <row r="42" spans="1:12">
      <c r="A42" s="221" t="s">
        <v>785</v>
      </c>
      <c r="B42" s="103" t="s">
        <v>698</v>
      </c>
      <c r="C42" s="144">
        <v>0</v>
      </c>
      <c r="D42" s="144">
        <v>0</v>
      </c>
      <c r="E42" s="144">
        <v>2.46</v>
      </c>
      <c r="F42" s="144">
        <v>0</v>
      </c>
      <c r="G42" s="144">
        <v>0</v>
      </c>
      <c r="H42" s="144">
        <v>0</v>
      </c>
      <c r="I42" s="144">
        <v>2.46</v>
      </c>
      <c r="J42" s="144">
        <v>0</v>
      </c>
      <c r="K42" s="144">
        <v>2.46</v>
      </c>
      <c r="L42" s="144">
        <v>0</v>
      </c>
    </row>
    <row r="43" spans="1:12">
      <c r="A43" s="221" t="s">
        <v>428</v>
      </c>
      <c r="B43" s="103" t="s">
        <v>722</v>
      </c>
      <c r="C43" s="144">
        <v>0</v>
      </c>
      <c r="D43" s="144">
        <v>0</v>
      </c>
      <c r="E43" s="144">
        <v>1930.82</v>
      </c>
      <c r="F43" s="144">
        <v>0</v>
      </c>
      <c r="G43" s="144">
        <v>786.54</v>
      </c>
      <c r="H43" s="144">
        <v>0</v>
      </c>
      <c r="I43" s="144">
        <v>2717.36</v>
      </c>
      <c r="J43" s="144">
        <v>0</v>
      </c>
      <c r="K43" s="144">
        <v>2717.36</v>
      </c>
      <c r="L43" s="144">
        <v>0</v>
      </c>
    </row>
    <row r="44" spans="1:12">
      <c r="A44" s="221" t="s">
        <v>2</v>
      </c>
      <c r="B44" s="103" t="s">
        <v>880</v>
      </c>
      <c r="C44" s="135">
        <v>0</v>
      </c>
      <c r="D44" s="135">
        <v>0</v>
      </c>
      <c r="E44" s="135">
        <v>0</v>
      </c>
      <c r="F44" s="135">
        <v>0</v>
      </c>
      <c r="G44" s="144">
        <v>1356.58</v>
      </c>
      <c r="H44" s="135">
        <v>0</v>
      </c>
      <c r="I44" s="144">
        <v>1356.58</v>
      </c>
      <c r="J44" s="135">
        <v>0</v>
      </c>
      <c r="K44" s="144">
        <v>1356.58</v>
      </c>
      <c r="L44" s="144">
        <v>0</v>
      </c>
    </row>
    <row r="45" spans="1:12">
      <c r="A45" s="221" t="s">
        <v>173</v>
      </c>
      <c r="B45" s="103" t="s">
        <v>585</v>
      </c>
      <c r="C45" s="144">
        <v>0</v>
      </c>
      <c r="D45" s="144">
        <v>0</v>
      </c>
      <c r="E45" s="144">
        <v>0</v>
      </c>
      <c r="F45" s="144">
        <v>110130.2</v>
      </c>
      <c r="G45" s="144">
        <v>0</v>
      </c>
      <c r="H45" s="144">
        <v>8838</v>
      </c>
      <c r="I45" s="144">
        <v>0</v>
      </c>
      <c r="J45" s="144">
        <v>118968.2</v>
      </c>
      <c r="K45" s="144">
        <v>0</v>
      </c>
      <c r="L45" s="144">
        <v>118968.2</v>
      </c>
    </row>
    <row r="46" spans="1:12">
      <c r="A46" s="221" t="s">
        <v>829</v>
      </c>
      <c r="B46" s="103" t="s">
        <v>891</v>
      </c>
      <c r="C46" s="144">
        <v>0</v>
      </c>
      <c r="D46" s="144">
        <v>0</v>
      </c>
      <c r="E46" s="144">
        <v>74.099999999999994</v>
      </c>
      <c r="F46" s="144">
        <v>2834</v>
      </c>
      <c r="G46" s="144">
        <v>0</v>
      </c>
      <c r="H46" s="144">
        <v>0</v>
      </c>
      <c r="I46" s="144">
        <v>74.099999999999994</v>
      </c>
      <c r="J46" s="144">
        <v>2834</v>
      </c>
      <c r="K46" s="144">
        <v>0</v>
      </c>
      <c r="L46" s="144">
        <v>2759.9</v>
      </c>
    </row>
    <row r="47" spans="1:12">
      <c r="A47" s="221" t="s">
        <v>225</v>
      </c>
      <c r="B47" s="103" t="s">
        <v>657</v>
      </c>
      <c r="C47" s="144">
        <v>0</v>
      </c>
      <c r="D47" s="144">
        <v>0</v>
      </c>
      <c r="E47" s="135">
        <v>0</v>
      </c>
      <c r="F47" s="135">
        <v>0</v>
      </c>
      <c r="G47" s="135">
        <v>0</v>
      </c>
      <c r="H47" s="135">
        <v>0</v>
      </c>
      <c r="I47" s="144">
        <v>213220.51</v>
      </c>
      <c r="J47" s="144">
        <v>213220.51</v>
      </c>
      <c r="K47" s="144">
        <v>0</v>
      </c>
      <c r="L47" s="144">
        <v>0</v>
      </c>
    </row>
    <row r="48" spans="1:12">
      <c r="A48" s="221"/>
      <c r="B48" s="103"/>
      <c r="C48" s="135"/>
      <c r="D48" s="135"/>
      <c r="E48" s="135"/>
      <c r="F48" s="135"/>
      <c r="G48" s="135"/>
      <c r="H48" s="135"/>
      <c r="I48" s="135"/>
      <c r="J48" s="135"/>
      <c r="K48" s="135"/>
      <c r="L48" s="135"/>
    </row>
    <row r="49" spans="1:12">
      <c r="A49" s="221"/>
      <c r="B49" s="103"/>
      <c r="C49" s="135"/>
      <c r="D49" s="135"/>
      <c r="E49" s="135"/>
      <c r="F49" s="135"/>
      <c r="G49" s="135"/>
      <c r="H49" s="135"/>
      <c r="I49" s="135"/>
      <c r="J49" s="135"/>
      <c r="K49" s="135"/>
      <c r="L49" s="135"/>
    </row>
    <row r="50" spans="1:12">
      <c r="A50" s="221"/>
      <c r="B50" s="103"/>
      <c r="C50" s="135"/>
      <c r="D50" s="135"/>
      <c r="E50" s="135"/>
      <c r="F50" s="135"/>
      <c r="G50" s="135"/>
      <c r="H50" s="135"/>
      <c r="I50" s="135"/>
      <c r="J50" s="135"/>
      <c r="K50" s="135"/>
      <c r="L50" s="135"/>
    </row>
    <row r="51" spans="1:12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>
  <sheetPr>
    <tabColor rgb="FF0070C0"/>
  </sheetPr>
  <dimension ref="A1:L72"/>
  <sheetViews>
    <sheetView zoomScaleSheetLayoutView="100" workbookViewId="0"/>
  </sheetViews>
  <sheetFormatPr defaultColWidth="9.140625" defaultRowHeight="15"/>
  <cols>
    <col min="1" max="1" width="16.5703125" style="58" customWidth="1"/>
    <col min="2" max="2" width="46.7109375" style="2" customWidth="1"/>
    <col min="3" max="12" width="15.28515625" style="236" customWidth="1"/>
    <col min="13" max="16384" width="9.140625" style="112"/>
  </cols>
  <sheetData>
    <row r="1" spans="1:12" ht="22.5">
      <c r="A1" s="51" t="s">
        <v>367</v>
      </c>
      <c r="B1" s="11" t="s">
        <v>467</v>
      </c>
      <c r="C1" s="157" t="s">
        <v>676</v>
      </c>
      <c r="D1" s="157" t="s">
        <v>835</v>
      </c>
      <c r="E1" s="157" t="s">
        <v>356</v>
      </c>
      <c r="F1" s="157" t="s">
        <v>641</v>
      </c>
      <c r="G1" s="157" t="s">
        <v>315</v>
      </c>
      <c r="H1" s="157" t="s">
        <v>583</v>
      </c>
      <c r="I1" s="157" t="s">
        <v>606</v>
      </c>
      <c r="J1" s="157" t="s">
        <v>584</v>
      </c>
      <c r="K1" s="157" t="s">
        <v>869</v>
      </c>
      <c r="L1" s="157" t="s">
        <v>165</v>
      </c>
    </row>
    <row r="2" spans="1:12">
      <c r="A2" s="221" t="s">
        <v>810</v>
      </c>
      <c r="B2" s="103" t="s">
        <v>91</v>
      </c>
      <c r="C2" s="144">
        <v>2647.41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2647.41</v>
      </c>
      <c r="L2" s="144">
        <v>0</v>
      </c>
    </row>
    <row r="3" spans="1:12">
      <c r="A3" s="221" t="s">
        <v>902</v>
      </c>
      <c r="B3" s="103" t="s">
        <v>1113</v>
      </c>
      <c r="C3" s="144">
        <v>68594.899999999994</v>
      </c>
      <c r="D3" s="144">
        <v>0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68594.899999999994</v>
      </c>
      <c r="L3" s="144">
        <v>0</v>
      </c>
    </row>
    <row r="4" spans="1:12">
      <c r="A4" s="221" t="s">
        <v>913</v>
      </c>
      <c r="B4" s="103" t="s">
        <v>392</v>
      </c>
      <c r="C4" s="144">
        <v>24256.3</v>
      </c>
      <c r="D4" s="144">
        <v>0</v>
      </c>
      <c r="E4" s="135">
        <v>0</v>
      </c>
      <c r="F4" s="135">
        <v>0</v>
      </c>
      <c r="G4" s="135">
        <v>0</v>
      </c>
      <c r="H4" s="135">
        <v>0</v>
      </c>
      <c r="I4" s="135">
        <v>0</v>
      </c>
      <c r="J4" s="135">
        <v>0</v>
      </c>
      <c r="K4" s="144">
        <v>24256.3</v>
      </c>
      <c r="L4" s="144">
        <v>0</v>
      </c>
    </row>
    <row r="5" spans="1:12">
      <c r="A5" s="221" t="s">
        <v>257</v>
      </c>
      <c r="B5" s="103" t="s">
        <v>715</v>
      </c>
      <c r="C5" s="144">
        <v>0</v>
      </c>
      <c r="D5" s="144">
        <v>75120.44</v>
      </c>
      <c r="E5" s="135">
        <v>0</v>
      </c>
      <c r="F5" s="144">
        <v>6625.67</v>
      </c>
      <c r="G5" s="135">
        <v>0</v>
      </c>
      <c r="H5" s="144">
        <v>475</v>
      </c>
      <c r="I5" s="135">
        <v>0</v>
      </c>
      <c r="J5" s="144">
        <v>7100.67</v>
      </c>
      <c r="K5" s="144">
        <v>0</v>
      </c>
      <c r="L5" s="144">
        <v>82221.11</v>
      </c>
    </row>
    <row r="6" spans="1:12">
      <c r="A6" s="221" t="s">
        <v>859</v>
      </c>
      <c r="B6" s="103" t="s">
        <v>194</v>
      </c>
      <c r="C6" s="144">
        <v>692.71</v>
      </c>
      <c r="D6" s="144">
        <v>0</v>
      </c>
      <c r="E6" s="144">
        <v>7430</v>
      </c>
      <c r="F6" s="144">
        <v>7397.05</v>
      </c>
      <c r="G6" s="144">
        <v>1220</v>
      </c>
      <c r="H6" s="144">
        <v>731.64</v>
      </c>
      <c r="I6" s="144">
        <v>8650</v>
      </c>
      <c r="J6" s="144">
        <v>8128.69</v>
      </c>
      <c r="K6" s="144">
        <v>1214.02</v>
      </c>
      <c r="L6" s="144">
        <v>0</v>
      </c>
    </row>
    <row r="7" spans="1:12">
      <c r="A7" s="221" t="s">
        <v>887</v>
      </c>
      <c r="B7" s="103" t="s">
        <v>801</v>
      </c>
      <c r="C7" s="144">
        <v>284</v>
      </c>
      <c r="D7" s="144">
        <v>0</v>
      </c>
      <c r="E7" s="144">
        <v>1440</v>
      </c>
      <c r="F7" s="144">
        <v>1440</v>
      </c>
      <c r="G7" s="135">
        <v>0</v>
      </c>
      <c r="H7" s="144">
        <v>56</v>
      </c>
      <c r="I7" s="144">
        <v>1440</v>
      </c>
      <c r="J7" s="144">
        <v>1496</v>
      </c>
      <c r="K7" s="144">
        <v>228</v>
      </c>
      <c r="L7" s="144">
        <v>0</v>
      </c>
    </row>
    <row r="8" spans="1:12">
      <c r="A8" s="221" t="s">
        <v>724</v>
      </c>
      <c r="B8" s="103" t="s">
        <v>546</v>
      </c>
      <c r="C8" s="144">
        <v>87181.38</v>
      </c>
      <c r="D8" s="144">
        <v>0</v>
      </c>
      <c r="E8" s="144">
        <v>126473.28</v>
      </c>
      <c r="F8" s="144">
        <v>112545.8</v>
      </c>
      <c r="G8" s="144">
        <v>11073.12</v>
      </c>
      <c r="H8" s="144">
        <v>9603.07</v>
      </c>
      <c r="I8" s="144">
        <v>137546.4</v>
      </c>
      <c r="J8" s="144">
        <v>122148.87</v>
      </c>
      <c r="K8" s="144">
        <v>102578.91</v>
      </c>
      <c r="L8" s="144">
        <v>0</v>
      </c>
    </row>
    <row r="9" spans="1:12">
      <c r="A9" s="221" t="s">
        <v>716</v>
      </c>
      <c r="B9" s="103" t="s">
        <v>444</v>
      </c>
      <c r="C9" s="144">
        <v>0</v>
      </c>
      <c r="D9" s="144">
        <v>0</v>
      </c>
      <c r="E9" s="144">
        <v>6749</v>
      </c>
      <c r="F9" s="144">
        <v>6609</v>
      </c>
      <c r="G9" s="144">
        <v>1458.77</v>
      </c>
      <c r="H9" s="144">
        <v>1598.77</v>
      </c>
      <c r="I9" s="144">
        <v>8207.77</v>
      </c>
      <c r="J9" s="144">
        <v>8207.77</v>
      </c>
      <c r="K9" s="144">
        <v>0</v>
      </c>
      <c r="L9" s="144">
        <v>0</v>
      </c>
    </row>
    <row r="10" spans="1:12">
      <c r="A10" s="221" t="s">
        <v>777</v>
      </c>
      <c r="B10" s="103" t="s">
        <v>369</v>
      </c>
      <c r="C10" s="144">
        <v>18276.009999999998</v>
      </c>
      <c r="D10" s="144">
        <v>0</v>
      </c>
      <c r="E10" s="144">
        <v>121877.28</v>
      </c>
      <c r="F10" s="144">
        <v>126452.16</v>
      </c>
      <c r="G10" s="144">
        <v>10823.04</v>
      </c>
      <c r="H10" s="144">
        <v>11073.12</v>
      </c>
      <c r="I10" s="144">
        <v>132700.32</v>
      </c>
      <c r="J10" s="144">
        <v>137525.28</v>
      </c>
      <c r="K10" s="144">
        <v>13451.05</v>
      </c>
      <c r="L10" s="144">
        <v>0</v>
      </c>
    </row>
    <row r="11" spans="1:12">
      <c r="A11" s="221" t="s">
        <v>58</v>
      </c>
      <c r="B11" s="103" t="s">
        <v>562</v>
      </c>
      <c r="C11" s="144">
        <v>13.28</v>
      </c>
      <c r="D11" s="144">
        <v>0</v>
      </c>
      <c r="E11" s="135">
        <v>0</v>
      </c>
      <c r="F11" s="135">
        <v>0</v>
      </c>
      <c r="G11" s="135">
        <v>0</v>
      </c>
      <c r="H11" s="135">
        <v>0</v>
      </c>
      <c r="I11" s="135">
        <v>0</v>
      </c>
      <c r="J11" s="135">
        <v>0</v>
      </c>
      <c r="K11" s="144">
        <v>13.28</v>
      </c>
      <c r="L11" s="144">
        <v>0</v>
      </c>
    </row>
    <row r="12" spans="1:12">
      <c r="A12" s="221" t="s">
        <v>782</v>
      </c>
      <c r="B12" s="103" t="s">
        <v>678</v>
      </c>
      <c r="C12" s="144">
        <v>0</v>
      </c>
      <c r="D12" s="144">
        <v>173.41</v>
      </c>
      <c r="E12" s="144">
        <v>15064.38</v>
      </c>
      <c r="F12" s="144">
        <v>15317.36</v>
      </c>
      <c r="G12" s="144">
        <v>2540.75</v>
      </c>
      <c r="H12" s="144">
        <v>2462.75</v>
      </c>
      <c r="I12" s="144">
        <v>17605.13</v>
      </c>
      <c r="J12" s="144">
        <v>17780.11</v>
      </c>
      <c r="K12" s="144">
        <v>0</v>
      </c>
      <c r="L12" s="144">
        <v>348.39</v>
      </c>
    </row>
    <row r="13" spans="1:12">
      <c r="A13" s="221" t="s">
        <v>174</v>
      </c>
      <c r="B13" s="103" t="s">
        <v>552</v>
      </c>
      <c r="C13" s="144">
        <v>0</v>
      </c>
      <c r="D13" s="144">
        <v>6000</v>
      </c>
      <c r="E13" s="144">
        <v>6000</v>
      </c>
      <c r="F13" s="144">
        <v>1500</v>
      </c>
      <c r="G13" s="135">
        <v>0</v>
      </c>
      <c r="H13" s="135">
        <v>0</v>
      </c>
      <c r="I13" s="144">
        <v>6000</v>
      </c>
      <c r="J13" s="144">
        <v>1500</v>
      </c>
      <c r="K13" s="144">
        <v>0</v>
      </c>
      <c r="L13" s="144">
        <v>1500</v>
      </c>
    </row>
    <row r="14" spans="1:12">
      <c r="A14" s="221" t="s">
        <v>845</v>
      </c>
      <c r="B14" s="103" t="s">
        <v>204</v>
      </c>
      <c r="C14" s="144">
        <v>0</v>
      </c>
      <c r="D14" s="144">
        <v>4533.3900000000003</v>
      </c>
      <c r="E14" s="144">
        <v>47720.7</v>
      </c>
      <c r="F14" s="144">
        <v>46144.63</v>
      </c>
      <c r="G14" s="144">
        <v>4545.4799999999996</v>
      </c>
      <c r="H14" s="144">
        <v>5757.91</v>
      </c>
      <c r="I14" s="144">
        <v>52266.18</v>
      </c>
      <c r="J14" s="144">
        <v>51902.54</v>
      </c>
      <c r="K14" s="144">
        <v>0</v>
      </c>
      <c r="L14" s="144">
        <v>4169.75</v>
      </c>
    </row>
    <row r="15" spans="1:12">
      <c r="A15" s="221" t="s">
        <v>289</v>
      </c>
      <c r="B15" s="103" t="s">
        <v>432</v>
      </c>
      <c r="C15" s="144">
        <v>170</v>
      </c>
      <c r="D15" s="144">
        <v>0</v>
      </c>
      <c r="E15" s="135">
        <v>0</v>
      </c>
      <c r="F15" s="135">
        <v>0</v>
      </c>
      <c r="G15" s="135">
        <v>0</v>
      </c>
      <c r="H15" s="135">
        <v>0</v>
      </c>
      <c r="I15" s="135">
        <v>0</v>
      </c>
      <c r="J15" s="135">
        <v>0</v>
      </c>
      <c r="K15" s="144">
        <v>170</v>
      </c>
      <c r="L15" s="144">
        <v>0</v>
      </c>
    </row>
    <row r="16" spans="1:12">
      <c r="A16" s="221" t="s">
        <v>870</v>
      </c>
      <c r="B16" s="103" t="s">
        <v>841</v>
      </c>
      <c r="C16" s="144">
        <v>0</v>
      </c>
      <c r="D16" s="144">
        <v>888.36</v>
      </c>
      <c r="E16" s="144">
        <v>6783.87</v>
      </c>
      <c r="F16" s="144">
        <v>6460.17</v>
      </c>
      <c r="G16" s="144">
        <v>564.66</v>
      </c>
      <c r="H16" s="144">
        <v>807.64</v>
      </c>
      <c r="I16" s="144">
        <v>7348.53</v>
      </c>
      <c r="J16" s="144">
        <v>7267.81</v>
      </c>
      <c r="K16" s="144">
        <v>0</v>
      </c>
      <c r="L16" s="144">
        <v>807.64</v>
      </c>
    </row>
    <row r="17" spans="1:12">
      <c r="A17" s="221" t="s">
        <v>399</v>
      </c>
      <c r="B17" s="103" t="s">
        <v>813</v>
      </c>
      <c r="C17" s="144">
        <v>0</v>
      </c>
      <c r="D17" s="144">
        <v>2185.19</v>
      </c>
      <c r="E17" s="144">
        <v>16691.13</v>
      </c>
      <c r="F17" s="144">
        <v>15895.16</v>
      </c>
      <c r="G17" s="144">
        <v>1389.22</v>
      </c>
      <c r="H17" s="144">
        <v>1986.29</v>
      </c>
      <c r="I17" s="144">
        <v>18080.349999999999</v>
      </c>
      <c r="J17" s="144">
        <v>17881.45</v>
      </c>
      <c r="K17" s="144">
        <v>0</v>
      </c>
      <c r="L17" s="144">
        <v>1986.29</v>
      </c>
    </row>
    <row r="18" spans="1:12">
      <c r="A18" s="221" t="s">
        <v>9</v>
      </c>
      <c r="B18" s="103" t="s">
        <v>276</v>
      </c>
      <c r="C18" s="144">
        <v>0</v>
      </c>
      <c r="D18" s="144">
        <v>2178.08</v>
      </c>
      <c r="E18" s="144">
        <v>2178.08</v>
      </c>
      <c r="F18" s="135">
        <v>0</v>
      </c>
      <c r="G18" s="135">
        <v>0</v>
      </c>
      <c r="H18" s="144">
        <v>2460.19</v>
      </c>
      <c r="I18" s="144">
        <v>2178.08</v>
      </c>
      <c r="J18" s="144">
        <v>2460.19</v>
      </c>
      <c r="K18" s="144">
        <v>0</v>
      </c>
      <c r="L18" s="144">
        <v>2460.19</v>
      </c>
    </row>
    <row r="19" spans="1:12">
      <c r="A19" s="221" t="s">
        <v>661</v>
      </c>
      <c r="B19" s="103" t="s">
        <v>804</v>
      </c>
      <c r="C19" s="144">
        <v>0</v>
      </c>
      <c r="D19" s="144">
        <v>932</v>
      </c>
      <c r="E19" s="144">
        <v>6941.6</v>
      </c>
      <c r="F19" s="144">
        <v>6533.47</v>
      </c>
      <c r="G19" s="144">
        <v>523.87</v>
      </c>
      <c r="H19" s="144">
        <v>809.46</v>
      </c>
      <c r="I19" s="144">
        <v>7465.47</v>
      </c>
      <c r="J19" s="144">
        <v>7342.93</v>
      </c>
      <c r="K19" s="144">
        <v>0</v>
      </c>
      <c r="L19" s="144">
        <v>809.46</v>
      </c>
    </row>
    <row r="20" spans="1:12">
      <c r="A20" s="246" t="s">
        <v>549</v>
      </c>
      <c r="B20" s="70" t="s">
        <v>1036</v>
      </c>
      <c r="C20" s="176">
        <v>0</v>
      </c>
      <c r="D20" s="176">
        <v>0</v>
      </c>
      <c r="E20" s="176">
        <v>300.64999999999998</v>
      </c>
      <c r="F20" s="162">
        <v>0</v>
      </c>
      <c r="G20" s="162">
        <v>0</v>
      </c>
      <c r="H20" s="176">
        <v>548.38</v>
      </c>
      <c r="I20" s="176">
        <v>300.64999999999998</v>
      </c>
      <c r="J20" s="176">
        <v>548.38</v>
      </c>
      <c r="K20" s="176">
        <v>0</v>
      </c>
      <c r="L20" s="176">
        <v>247.73</v>
      </c>
    </row>
    <row r="21" spans="1:12">
      <c r="A21" s="246" t="s">
        <v>794</v>
      </c>
      <c r="B21" s="70" t="s">
        <v>960</v>
      </c>
      <c r="C21" s="176">
        <v>0</v>
      </c>
      <c r="D21" s="176">
        <v>1372.21</v>
      </c>
      <c r="E21" s="176">
        <v>17797.75</v>
      </c>
      <c r="F21" s="176">
        <v>17566.77</v>
      </c>
      <c r="G21" s="176">
        <v>1141.21</v>
      </c>
      <c r="H21" s="176">
        <v>1290.82</v>
      </c>
      <c r="I21" s="176">
        <v>18938.96</v>
      </c>
      <c r="J21" s="176">
        <v>18857.59</v>
      </c>
      <c r="K21" s="176">
        <v>0</v>
      </c>
      <c r="L21" s="176">
        <v>1290.8399999999999</v>
      </c>
    </row>
    <row r="22" spans="1:12">
      <c r="A22" s="246" t="s">
        <v>739</v>
      </c>
      <c r="B22" s="70" t="s">
        <v>154</v>
      </c>
      <c r="C22" s="176">
        <v>0</v>
      </c>
      <c r="D22" s="176">
        <v>0</v>
      </c>
      <c r="E22" s="176">
        <v>2428.11</v>
      </c>
      <c r="F22" s="176">
        <v>2428.11</v>
      </c>
      <c r="G22" s="176">
        <v>405.02</v>
      </c>
      <c r="H22" s="176">
        <v>405.02</v>
      </c>
      <c r="I22" s="176">
        <v>2833.13</v>
      </c>
      <c r="J22" s="176">
        <v>2833.13</v>
      </c>
      <c r="K22" s="176">
        <v>0</v>
      </c>
      <c r="L22" s="176">
        <v>0</v>
      </c>
    </row>
    <row r="23" spans="1:12">
      <c r="A23" s="246" t="s">
        <v>72</v>
      </c>
      <c r="B23" s="70" t="s">
        <v>1074</v>
      </c>
      <c r="C23" s="176">
        <v>0</v>
      </c>
      <c r="D23" s="176">
        <v>0</v>
      </c>
      <c r="E23" s="176">
        <v>323.37</v>
      </c>
      <c r="F23" s="176">
        <v>323.37</v>
      </c>
      <c r="G23" s="162">
        <v>0</v>
      </c>
      <c r="H23" s="162">
        <v>0</v>
      </c>
      <c r="I23" s="176">
        <v>323.37</v>
      </c>
      <c r="J23" s="176">
        <v>323.37</v>
      </c>
      <c r="K23" s="176">
        <v>0</v>
      </c>
      <c r="L23" s="176">
        <v>0</v>
      </c>
    </row>
    <row r="24" spans="1:12">
      <c r="A24" s="246" t="s">
        <v>951</v>
      </c>
      <c r="B24" s="70" t="s">
        <v>646</v>
      </c>
      <c r="C24" s="176">
        <v>0</v>
      </c>
      <c r="D24" s="176">
        <v>0</v>
      </c>
      <c r="E24" s="176">
        <v>19994.88</v>
      </c>
      <c r="F24" s="176">
        <v>19994.88</v>
      </c>
      <c r="G24" s="176">
        <v>1695.84</v>
      </c>
      <c r="H24" s="176">
        <v>1695.84</v>
      </c>
      <c r="I24" s="176">
        <v>21690.720000000001</v>
      </c>
      <c r="J24" s="176">
        <v>21690.720000000001</v>
      </c>
      <c r="K24" s="176">
        <v>0</v>
      </c>
      <c r="L24" s="176">
        <v>0</v>
      </c>
    </row>
    <row r="25" spans="1:12">
      <c r="A25" s="246" t="s">
        <v>571</v>
      </c>
      <c r="B25" s="70" t="s">
        <v>601</v>
      </c>
      <c r="C25" s="176">
        <v>0</v>
      </c>
      <c r="D25" s="176">
        <v>0</v>
      </c>
      <c r="E25" s="176">
        <v>323.37</v>
      </c>
      <c r="F25" s="176">
        <v>323.37</v>
      </c>
      <c r="G25" s="162">
        <v>0</v>
      </c>
      <c r="H25" s="162">
        <v>0</v>
      </c>
      <c r="I25" s="176">
        <v>323.37</v>
      </c>
      <c r="J25" s="176">
        <v>323.37</v>
      </c>
      <c r="K25" s="176">
        <v>0</v>
      </c>
      <c r="L25" s="176">
        <v>0</v>
      </c>
    </row>
    <row r="26" spans="1:12">
      <c r="A26" s="246" t="s">
        <v>172</v>
      </c>
      <c r="B26" s="70" t="s">
        <v>942</v>
      </c>
      <c r="C26" s="176">
        <v>0</v>
      </c>
      <c r="D26" s="176">
        <v>7255.38</v>
      </c>
      <c r="E26" s="162">
        <v>0</v>
      </c>
      <c r="F26" s="162">
        <v>0</v>
      </c>
      <c r="G26" s="162">
        <v>0</v>
      </c>
      <c r="H26" s="162">
        <v>0</v>
      </c>
      <c r="I26" s="162">
        <v>0</v>
      </c>
      <c r="J26" s="162">
        <v>0</v>
      </c>
      <c r="K26" s="176">
        <v>0</v>
      </c>
      <c r="L26" s="176">
        <v>7255.38</v>
      </c>
    </row>
    <row r="27" spans="1:12">
      <c r="A27" s="246" t="s">
        <v>1064</v>
      </c>
      <c r="B27" s="70" t="s">
        <v>1041</v>
      </c>
      <c r="C27" s="176">
        <v>0</v>
      </c>
      <c r="D27" s="176">
        <v>0</v>
      </c>
      <c r="E27" s="162">
        <v>0</v>
      </c>
      <c r="F27" s="162">
        <v>0</v>
      </c>
      <c r="G27" s="176">
        <v>0</v>
      </c>
      <c r="H27" s="162">
        <v>0</v>
      </c>
      <c r="I27" s="176">
        <v>0</v>
      </c>
      <c r="J27" s="162">
        <v>0</v>
      </c>
      <c r="K27" s="176">
        <v>0</v>
      </c>
      <c r="L27" s="176">
        <v>0</v>
      </c>
    </row>
    <row r="28" spans="1:12">
      <c r="A28" s="246" t="s">
        <v>1027</v>
      </c>
      <c r="B28" s="70" t="s">
        <v>765</v>
      </c>
      <c r="C28" s="176">
        <v>0</v>
      </c>
      <c r="D28" s="176">
        <v>0</v>
      </c>
      <c r="E28" s="176">
        <v>2185.11</v>
      </c>
      <c r="F28" s="176">
        <v>2185.11</v>
      </c>
      <c r="G28" s="162">
        <v>0</v>
      </c>
      <c r="H28" s="162">
        <v>0</v>
      </c>
      <c r="I28" s="176">
        <v>2185.11</v>
      </c>
      <c r="J28" s="176">
        <v>2185.11</v>
      </c>
      <c r="K28" s="176">
        <v>0</v>
      </c>
      <c r="L28" s="176">
        <v>0</v>
      </c>
    </row>
    <row r="29" spans="1:12">
      <c r="A29" s="246" t="s">
        <v>779</v>
      </c>
      <c r="B29" s="70" t="s">
        <v>1076</v>
      </c>
      <c r="C29" s="176">
        <v>0</v>
      </c>
      <c r="D29" s="176">
        <v>0</v>
      </c>
      <c r="E29" s="162">
        <v>0</v>
      </c>
      <c r="F29" s="162">
        <v>0</v>
      </c>
      <c r="G29" s="176">
        <v>66.64</v>
      </c>
      <c r="H29" s="162">
        <v>0</v>
      </c>
      <c r="I29" s="176">
        <v>66.64</v>
      </c>
      <c r="J29" s="162">
        <v>0</v>
      </c>
      <c r="K29" s="176">
        <v>66.64</v>
      </c>
      <c r="L29" s="176">
        <v>0</v>
      </c>
    </row>
    <row r="30" spans="1:12">
      <c r="A30" s="246" t="s">
        <v>660</v>
      </c>
      <c r="B30" s="70" t="s">
        <v>78</v>
      </c>
      <c r="C30" s="176">
        <v>0</v>
      </c>
      <c r="D30" s="176">
        <v>0</v>
      </c>
      <c r="E30" s="162">
        <v>0</v>
      </c>
      <c r="F30" s="176">
        <v>993.6</v>
      </c>
      <c r="G30" s="162">
        <v>0</v>
      </c>
      <c r="H30" s="162">
        <v>0</v>
      </c>
      <c r="I30" s="162">
        <v>0</v>
      </c>
      <c r="J30" s="176">
        <v>993.6</v>
      </c>
      <c r="K30" s="176">
        <v>0</v>
      </c>
      <c r="L30" s="176">
        <v>993.6</v>
      </c>
    </row>
    <row r="31" spans="1:12">
      <c r="A31" s="246" t="s">
        <v>416</v>
      </c>
      <c r="B31" s="70" t="s">
        <v>311</v>
      </c>
      <c r="C31" s="176">
        <v>0</v>
      </c>
      <c r="D31" s="176">
        <v>16596.96</v>
      </c>
      <c r="E31" s="162">
        <v>0</v>
      </c>
      <c r="F31" s="162">
        <v>0</v>
      </c>
      <c r="G31" s="162">
        <v>0</v>
      </c>
      <c r="H31" s="162">
        <v>0</v>
      </c>
      <c r="I31" s="162">
        <v>0</v>
      </c>
      <c r="J31" s="162">
        <v>0</v>
      </c>
      <c r="K31" s="176">
        <v>0</v>
      </c>
      <c r="L31" s="176">
        <v>16596.96</v>
      </c>
    </row>
    <row r="32" spans="1:12">
      <c r="A32" s="246" t="s">
        <v>513</v>
      </c>
      <c r="B32" s="70" t="s">
        <v>328</v>
      </c>
      <c r="C32" s="176">
        <v>0</v>
      </c>
      <c r="D32" s="176">
        <v>1659.7</v>
      </c>
      <c r="E32" s="162">
        <v>0</v>
      </c>
      <c r="F32" s="162">
        <v>0</v>
      </c>
      <c r="G32" s="162">
        <v>0</v>
      </c>
      <c r="H32" s="162">
        <v>0</v>
      </c>
      <c r="I32" s="162">
        <v>0</v>
      </c>
      <c r="J32" s="162">
        <v>0</v>
      </c>
      <c r="K32" s="176">
        <v>0</v>
      </c>
      <c r="L32" s="176">
        <v>1659.7</v>
      </c>
    </row>
    <row r="33" spans="1:12">
      <c r="A33" s="246" t="s">
        <v>558</v>
      </c>
      <c r="B33" s="70" t="s">
        <v>613</v>
      </c>
      <c r="C33" s="176">
        <v>0</v>
      </c>
      <c r="D33" s="176">
        <v>64573.52</v>
      </c>
      <c r="E33" s="162">
        <v>0</v>
      </c>
      <c r="F33" s="176">
        <v>18029.59</v>
      </c>
      <c r="G33" s="162">
        <v>0</v>
      </c>
      <c r="H33" s="162">
        <v>0</v>
      </c>
      <c r="I33" s="162">
        <v>0</v>
      </c>
      <c r="J33" s="176">
        <v>18029.59</v>
      </c>
      <c r="K33" s="176">
        <v>0</v>
      </c>
      <c r="L33" s="176">
        <v>82603.11</v>
      </c>
    </row>
    <row r="34" spans="1:12">
      <c r="A34" s="246" t="s">
        <v>579</v>
      </c>
      <c r="B34" s="70" t="s">
        <v>468</v>
      </c>
      <c r="C34" s="176">
        <v>0</v>
      </c>
      <c r="D34" s="176">
        <v>18029.59</v>
      </c>
      <c r="E34" s="176">
        <v>18029.59</v>
      </c>
      <c r="F34" s="162">
        <v>0</v>
      </c>
      <c r="G34" s="162">
        <v>0</v>
      </c>
      <c r="H34" s="162">
        <v>0</v>
      </c>
      <c r="I34" s="176">
        <v>18029.59</v>
      </c>
      <c r="J34" s="162">
        <v>0</v>
      </c>
      <c r="K34" s="176">
        <v>0</v>
      </c>
      <c r="L34" s="176">
        <v>0</v>
      </c>
    </row>
    <row r="35" spans="1:12">
      <c r="A35" s="246" t="s">
        <v>35</v>
      </c>
      <c r="B35" s="70" t="s">
        <v>909</v>
      </c>
      <c r="C35" s="176">
        <v>0</v>
      </c>
      <c r="D35" s="176">
        <v>617.76</v>
      </c>
      <c r="E35" s="176">
        <v>180</v>
      </c>
      <c r="F35" s="176">
        <v>252.49</v>
      </c>
      <c r="G35" s="176">
        <v>7</v>
      </c>
      <c r="H35" s="176">
        <v>26.77</v>
      </c>
      <c r="I35" s="176">
        <v>187</v>
      </c>
      <c r="J35" s="176">
        <v>279.26</v>
      </c>
      <c r="K35" s="176">
        <v>0</v>
      </c>
      <c r="L35" s="176">
        <v>710.02</v>
      </c>
    </row>
    <row r="36" spans="1:12">
      <c r="A36" s="246" t="s">
        <v>573</v>
      </c>
      <c r="B36" s="70" t="s">
        <v>743</v>
      </c>
      <c r="C36" s="176">
        <v>0</v>
      </c>
      <c r="D36" s="176">
        <v>0</v>
      </c>
      <c r="E36" s="176">
        <v>23.75</v>
      </c>
      <c r="F36" s="162">
        <v>0</v>
      </c>
      <c r="G36" s="162">
        <v>0</v>
      </c>
      <c r="H36" s="162">
        <v>0</v>
      </c>
      <c r="I36" s="176">
        <v>23.75</v>
      </c>
      <c r="J36" s="162">
        <v>0</v>
      </c>
      <c r="K36" s="176">
        <v>23.75</v>
      </c>
      <c r="L36" s="176">
        <v>0</v>
      </c>
    </row>
    <row r="37" spans="1:12">
      <c r="A37" s="246" t="s">
        <v>656</v>
      </c>
      <c r="B37" s="70" t="s">
        <v>532</v>
      </c>
      <c r="C37" s="176">
        <v>0</v>
      </c>
      <c r="D37" s="176">
        <v>0</v>
      </c>
      <c r="E37" s="176">
        <v>737.61</v>
      </c>
      <c r="F37" s="162">
        <v>0</v>
      </c>
      <c r="G37" s="176">
        <v>154.33000000000001</v>
      </c>
      <c r="H37" s="162">
        <v>0</v>
      </c>
      <c r="I37" s="176">
        <v>891.94</v>
      </c>
      <c r="J37" s="162">
        <v>0</v>
      </c>
      <c r="K37" s="176">
        <v>891.94</v>
      </c>
      <c r="L37" s="176">
        <v>0</v>
      </c>
    </row>
    <row r="38" spans="1:12">
      <c r="A38" s="246" t="s">
        <v>183</v>
      </c>
      <c r="B38" s="70" t="s">
        <v>439</v>
      </c>
      <c r="C38" s="176">
        <v>0</v>
      </c>
      <c r="D38" s="176">
        <v>0</v>
      </c>
      <c r="E38" s="176">
        <v>33.14</v>
      </c>
      <c r="F38" s="162">
        <v>0</v>
      </c>
      <c r="G38" s="162">
        <v>0</v>
      </c>
      <c r="H38" s="162">
        <v>0</v>
      </c>
      <c r="I38" s="176">
        <v>33.14</v>
      </c>
      <c r="J38" s="162">
        <v>0</v>
      </c>
      <c r="K38" s="176">
        <v>33.14</v>
      </c>
      <c r="L38" s="176">
        <v>0</v>
      </c>
    </row>
    <row r="39" spans="1:12">
      <c r="A39" s="246" t="s">
        <v>900</v>
      </c>
      <c r="B39" s="70" t="s">
        <v>655</v>
      </c>
      <c r="C39" s="176">
        <v>0</v>
      </c>
      <c r="D39" s="176">
        <v>0</v>
      </c>
      <c r="E39" s="176">
        <v>796.92</v>
      </c>
      <c r="F39" s="162">
        <v>0</v>
      </c>
      <c r="G39" s="162">
        <v>0</v>
      </c>
      <c r="H39" s="162">
        <v>0</v>
      </c>
      <c r="I39" s="176">
        <v>796.92</v>
      </c>
      <c r="J39" s="162">
        <v>0</v>
      </c>
      <c r="K39" s="176">
        <v>796.92</v>
      </c>
      <c r="L39" s="176">
        <v>0</v>
      </c>
    </row>
    <row r="40" spans="1:12">
      <c r="A40" s="246" t="s">
        <v>290</v>
      </c>
      <c r="B40" s="70" t="s">
        <v>968</v>
      </c>
      <c r="C40" s="176">
        <v>0</v>
      </c>
      <c r="D40" s="176">
        <v>0</v>
      </c>
      <c r="E40" s="176">
        <v>385.55</v>
      </c>
      <c r="F40" s="162">
        <v>0</v>
      </c>
      <c r="G40" s="176">
        <v>35.979999999999997</v>
      </c>
      <c r="H40" s="162">
        <v>0</v>
      </c>
      <c r="I40" s="176">
        <v>421.53</v>
      </c>
      <c r="J40" s="162">
        <v>0</v>
      </c>
      <c r="K40" s="176">
        <v>421.53</v>
      </c>
      <c r="L40" s="176">
        <v>0</v>
      </c>
    </row>
    <row r="41" spans="1:12">
      <c r="A41" s="246" t="s">
        <v>797</v>
      </c>
      <c r="B41" s="70" t="s">
        <v>1019</v>
      </c>
      <c r="C41" s="176">
        <v>0</v>
      </c>
      <c r="D41" s="176">
        <v>0</v>
      </c>
      <c r="E41" s="176">
        <v>1118.3900000000001</v>
      </c>
      <c r="F41" s="162">
        <v>0</v>
      </c>
      <c r="G41" s="176">
        <v>40.85</v>
      </c>
      <c r="H41" s="162">
        <v>0</v>
      </c>
      <c r="I41" s="176">
        <v>1159.24</v>
      </c>
      <c r="J41" s="162">
        <v>0</v>
      </c>
      <c r="K41" s="176">
        <v>1159.24</v>
      </c>
      <c r="L41" s="176">
        <v>0</v>
      </c>
    </row>
    <row r="42" spans="1:12">
      <c r="A42" s="246" t="s">
        <v>205</v>
      </c>
      <c r="B42" s="70" t="s">
        <v>105</v>
      </c>
      <c r="C42" s="176">
        <v>0</v>
      </c>
      <c r="D42" s="176">
        <v>0</v>
      </c>
      <c r="E42" s="176">
        <v>2011.98</v>
      </c>
      <c r="F42" s="162">
        <v>0</v>
      </c>
      <c r="G42" s="176">
        <v>212.63</v>
      </c>
      <c r="H42" s="162">
        <v>0</v>
      </c>
      <c r="I42" s="176">
        <v>2224.61</v>
      </c>
      <c r="J42" s="162">
        <v>0</v>
      </c>
      <c r="K42" s="176">
        <v>2224.61</v>
      </c>
      <c r="L42" s="176">
        <v>0</v>
      </c>
    </row>
    <row r="43" spans="1:12">
      <c r="A43" s="246" t="s">
        <v>566</v>
      </c>
      <c r="B43" s="70" t="s">
        <v>236</v>
      </c>
      <c r="C43" s="176">
        <v>0</v>
      </c>
      <c r="D43" s="176">
        <v>0</v>
      </c>
      <c r="E43" s="176">
        <v>1624.82</v>
      </c>
      <c r="F43" s="162">
        <v>0</v>
      </c>
      <c r="G43" s="162">
        <v>0</v>
      </c>
      <c r="H43" s="162">
        <v>0</v>
      </c>
      <c r="I43" s="176">
        <v>1624.82</v>
      </c>
      <c r="J43" s="162">
        <v>0</v>
      </c>
      <c r="K43" s="176">
        <v>1624.82</v>
      </c>
      <c r="L43" s="176">
        <v>0</v>
      </c>
    </row>
    <row r="44" spans="1:12">
      <c r="A44" s="246" t="s">
        <v>631</v>
      </c>
      <c r="B44" s="70" t="s">
        <v>445</v>
      </c>
      <c r="C44" s="176">
        <v>0</v>
      </c>
      <c r="D44" s="176">
        <v>0</v>
      </c>
      <c r="E44" s="176">
        <v>7.5</v>
      </c>
      <c r="F44" s="162">
        <v>0</v>
      </c>
      <c r="G44" s="162">
        <v>0</v>
      </c>
      <c r="H44" s="162">
        <v>0</v>
      </c>
      <c r="I44" s="176">
        <v>7.5</v>
      </c>
      <c r="J44" s="162">
        <v>0</v>
      </c>
      <c r="K44" s="176">
        <v>7.5</v>
      </c>
      <c r="L44" s="176">
        <v>0</v>
      </c>
    </row>
    <row r="45" spans="1:12">
      <c r="A45" s="246" t="s">
        <v>600</v>
      </c>
      <c r="B45" s="70" t="s">
        <v>287</v>
      </c>
      <c r="C45" s="176">
        <v>0</v>
      </c>
      <c r="D45" s="176">
        <v>0</v>
      </c>
      <c r="E45" s="162">
        <v>0</v>
      </c>
      <c r="F45" s="162">
        <v>0</v>
      </c>
      <c r="G45" s="176">
        <v>230.67</v>
      </c>
      <c r="H45" s="162">
        <v>0</v>
      </c>
      <c r="I45" s="176">
        <v>230.67</v>
      </c>
      <c r="J45" s="162">
        <v>0</v>
      </c>
      <c r="K45" s="176">
        <v>230.67</v>
      </c>
      <c r="L45" s="176">
        <v>0</v>
      </c>
    </row>
    <row r="46" spans="1:12">
      <c r="A46" s="246" t="s">
        <v>905</v>
      </c>
      <c r="B46" s="70" t="s">
        <v>534</v>
      </c>
      <c r="C46" s="176">
        <v>0</v>
      </c>
      <c r="D46" s="176">
        <v>0</v>
      </c>
      <c r="E46" s="176">
        <v>2775.89</v>
      </c>
      <c r="F46" s="162">
        <v>0</v>
      </c>
      <c r="G46" s="176">
        <v>621.53</v>
      </c>
      <c r="H46" s="162">
        <v>0</v>
      </c>
      <c r="I46" s="176">
        <v>3397.42</v>
      </c>
      <c r="J46" s="162">
        <v>0</v>
      </c>
      <c r="K46" s="176">
        <v>3397.42</v>
      </c>
      <c r="L46" s="176">
        <v>0</v>
      </c>
    </row>
    <row r="47" spans="1:12">
      <c r="A47" s="246" t="s">
        <v>612</v>
      </c>
      <c r="B47" s="70" t="s">
        <v>535</v>
      </c>
      <c r="C47" s="176">
        <v>0</v>
      </c>
      <c r="D47" s="176">
        <v>0</v>
      </c>
      <c r="E47" s="176">
        <v>736.93</v>
      </c>
      <c r="F47" s="162">
        <v>0</v>
      </c>
      <c r="G47" s="176">
        <v>60.83</v>
      </c>
      <c r="H47" s="162">
        <v>0</v>
      </c>
      <c r="I47" s="176">
        <v>797.76</v>
      </c>
      <c r="J47" s="162">
        <v>0</v>
      </c>
      <c r="K47" s="176">
        <v>797.76</v>
      </c>
      <c r="L47" s="176">
        <v>0</v>
      </c>
    </row>
    <row r="48" spans="1:12">
      <c r="A48" s="246" t="s">
        <v>873</v>
      </c>
      <c r="B48" s="70" t="s">
        <v>521</v>
      </c>
      <c r="C48" s="176">
        <v>0</v>
      </c>
      <c r="D48" s="176">
        <v>0</v>
      </c>
      <c r="E48" s="176">
        <v>126.5</v>
      </c>
      <c r="F48" s="162">
        <v>0</v>
      </c>
      <c r="G48" s="176">
        <v>19.5</v>
      </c>
      <c r="H48" s="162">
        <v>0</v>
      </c>
      <c r="I48" s="176">
        <v>146</v>
      </c>
      <c r="J48" s="162">
        <v>0</v>
      </c>
      <c r="K48" s="176">
        <v>146</v>
      </c>
      <c r="L48" s="176">
        <v>0</v>
      </c>
    </row>
    <row r="49" spans="1:12">
      <c r="A49" s="246" t="s">
        <v>30</v>
      </c>
      <c r="B49" s="70" t="s">
        <v>334</v>
      </c>
      <c r="C49" s="176">
        <v>0</v>
      </c>
      <c r="D49" s="176">
        <v>0</v>
      </c>
      <c r="E49" s="176">
        <v>3862.9</v>
      </c>
      <c r="F49" s="162">
        <v>0</v>
      </c>
      <c r="G49" s="176">
        <v>996.58</v>
      </c>
      <c r="H49" s="162">
        <v>0</v>
      </c>
      <c r="I49" s="176">
        <v>4859.4799999999996</v>
      </c>
      <c r="J49" s="162">
        <v>0</v>
      </c>
      <c r="K49" s="176">
        <v>4859.4799999999996</v>
      </c>
      <c r="L49" s="176">
        <v>0</v>
      </c>
    </row>
    <row r="50" spans="1:12">
      <c r="A50" s="246" t="s">
        <v>407</v>
      </c>
      <c r="B50" s="70" t="s">
        <v>365</v>
      </c>
      <c r="C50" s="176">
        <v>0</v>
      </c>
      <c r="D50" s="176">
        <v>0</v>
      </c>
      <c r="E50" s="176">
        <v>15.83</v>
      </c>
      <c r="F50" s="162">
        <v>0</v>
      </c>
      <c r="G50" s="162">
        <v>0</v>
      </c>
      <c r="H50" s="162">
        <v>0</v>
      </c>
      <c r="I50" s="176">
        <v>15.83</v>
      </c>
      <c r="J50" s="162">
        <v>0</v>
      </c>
      <c r="K50" s="176">
        <v>15.83</v>
      </c>
      <c r="L50" s="176">
        <v>0</v>
      </c>
    </row>
    <row r="51" spans="1:12">
      <c r="A51" s="246" t="s">
        <v>360</v>
      </c>
      <c r="B51" s="70" t="s">
        <v>522</v>
      </c>
      <c r="C51" s="176">
        <v>0</v>
      </c>
      <c r="D51" s="176">
        <v>0</v>
      </c>
      <c r="E51" s="176">
        <v>707.62</v>
      </c>
      <c r="F51" s="162">
        <v>0</v>
      </c>
      <c r="G51" s="176">
        <v>61.97</v>
      </c>
      <c r="H51" s="162">
        <v>0</v>
      </c>
      <c r="I51" s="176">
        <v>769.59</v>
      </c>
      <c r="J51" s="162">
        <v>0</v>
      </c>
      <c r="K51" s="176">
        <v>769.59</v>
      </c>
      <c r="L51" s="176">
        <v>0</v>
      </c>
    </row>
    <row r="52" spans="1:12">
      <c r="A52" s="246" t="s">
        <v>1051</v>
      </c>
      <c r="B52" s="70" t="s">
        <v>460</v>
      </c>
      <c r="C52" s="176">
        <v>0</v>
      </c>
      <c r="D52" s="176">
        <v>0</v>
      </c>
      <c r="E52" s="176">
        <v>2690</v>
      </c>
      <c r="F52" s="162">
        <v>0</v>
      </c>
      <c r="G52" s="176">
        <v>250</v>
      </c>
      <c r="H52" s="162">
        <v>0</v>
      </c>
      <c r="I52" s="176">
        <v>2940</v>
      </c>
      <c r="J52" s="162">
        <v>0</v>
      </c>
      <c r="K52" s="176">
        <v>2940</v>
      </c>
      <c r="L52" s="176">
        <v>0</v>
      </c>
    </row>
    <row r="53" spans="1:12">
      <c r="A53" s="246" t="s">
        <v>603</v>
      </c>
      <c r="B53" s="70" t="s">
        <v>378</v>
      </c>
      <c r="C53" s="176">
        <v>0</v>
      </c>
      <c r="D53" s="176">
        <v>0</v>
      </c>
      <c r="E53" s="176">
        <v>46144.63</v>
      </c>
      <c r="F53" s="162">
        <v>0</v>
      </c>
      <c r="G53" s="176">
        <v>5769.01</v>
      </c>
      <c r="H53" s="162">
        <v>0</v>
      </c>
      <c r="I53" s="176">
        <v>51913.64</v>
      </c>
      <c r="J53" s="162">
        <v>0</v>
      </c>
      <c r="K53" s="176">
        <v>51913.64</v>
      </c>
      <c r="L53" s="176">
        <v>0</v>
      </c>
    </row>
    <row r="54" spans="1:12">
      <c r="A54" s="246" t="s">
        <v>100</v>
      </c>
      <c r="B54" s="70" t="s">
        <v>674</v>
      </c>
      <c r="C54" s="176">
        <v>0</v>
      </c>
      <c r="D54" s="176">
        <v>0</v>
      </c>
      <c r="E54" s="176">
        <v>16172.16</v>
      </c>
      <c r="F54" s="162">
        <v>0</v>
      </c>
      <c r="G54" s="176">
        <v>2020.93</v>
      </c>
      <c r="H54" s="162">
        <v>0</v>
      </c>
      <c r="I54" s="176">
        <v>18193.09</v>
      </c>
      <c r="J54" s="162">
        <v>0</v>
      </c>
      <c r="K54" s="176">
        <v>18193.09</v>
      </c>
      <c r="L54" s="176">
        <v>0</v>
      </c>
    </row>
    <row r="55" spans="1:12">
      <c r="A55" s="246" t="s">
        <v>254</v>
      </c>
      <c r="B55" s="70" t="s">
        <v>41</v>
      </c>
      <c r="C55" s="176">
        <v>0</v>
      </c>
      <c r="D55" s="176">
        <v>0</v>
      </c>
      <c r="E55" s="176">
        <v>252.49</v>
      </c>
      <c r="F55" s="162">
        <v>0</v>
      </c>
      <c r="G55" s="176">
        <v>26.77</v>
      </c>
      <c r="H55" s="162">
        <v>0</v>
      </c>
      <c r="I55" s="176">
        <v>279.26</v>
      </c>
      <c r="J55" s="162">
        <v>0</v>
      </c>
      <c r="K55" s="176">
        <v>279.26</v>
      </c>
      <c r="L55" s="176">
        <v>0</v>
      </c>
    </row>
    <row r="56" spans="1:12">
      <c r="A56" s="246" t="s">
        <v>1047</v>
      </c>
      <c r="B56" s="70" t="s">
        <v>41</v>
      </c>
      <c r="C56" s="176">
        <v>0</v>
      </c>
      <c r="D56" s="176">
        <v>0</v>
      </c>
      <c r="E56" s="176">
        <v>340.52</v>
      </c>
      <c r="F56" s="162">
        <v>0</v>
      </c>
      <c r="G56" s="176">
        <v>33.86</v>
      </c>
      <c r="H56" s="162">
        <v>0</v>
      </c>
      <c r="I56" s="176">
        <v>374.38</v>
      </c>
      <c r="J56" s="162">
        <v>0</v>
      </c>
      <c r="K56" s="176">
        <v>374.38</v>
      </c>
      <c r="L56" s="176">
        <v>0</v>
      </c>
    </row>
    <row r="57" spans="1:12">
      <c r="A57" s="246" t="s">
        <v>536</v>
      </c>
      <c r="B57" s="70" t="s">
        <v>417</v>
      </c>
      <c r="C57" s="176">
        <v>0</v>
      </c>
      <c r="D57" s="176">
        <v>0</v>
      </c>
      <c r="E57" s="176">
        <v>828</v>
      </c>
      <c r="F57" s="162">
        <v>0</v>
      </c>
      <c r="G57" s="176">
        <v>32.200000000000003</v>
      </c>
      <c r="H57" s="162">
        <v>0</v>
      </c>
      <c r="I57" s="176">
        <v>860.2</v>
      </c>
      <c r="J57" s="162">
        <v>0</v>
      </c>
      <c r="K57" s="176">
        <v>860.2</v>
      </c>
      <c r="L57" s="176">
        <v>0</v>
      </c>
    </row>
    <row r="58" spans="1:12">
      <c r="A58" s="246" t="s">
        <v>442</v>
      </c>
      <c r="B58" s="70" t="s">
        <v>1029</v>
      </c>
      <c r="C58" s="162">
        <v>0</v>
      </c>
      <c r="D58" s="162">
        <v>0</v>
      </c>
      <c r="E58" s="162">
        <v>0</v>
      </c>
      <c r="F58" s="162">
        <v>0</v>
      </c>
      <c r="G58" s="176">
        <v>245.91</v>
      </c>
      <c r="H58" s="162">
        <v>0</v>
      </c>
      <c r="I58" s="176">
        <v>245.91</v>
      </c>
      <c r="J58" s="162">
        <v>0</v>
      </c>
      <c r="K58" s="176">
        <v>245.91</v>
      </c>
      <c r="L58" s="176">
        <v>0</v>
      </c>
    </row>
    <row r="59" spans="1:12">
      <c r="A59" s="246" t="s">
        <v>1060</v>
      </c>
      <c r="B59" s="70" t="s">
        <v>181</v>
      </c>
      <c r="C59" s="176">
        <v>0</v>
      </c>
      <c r="D59" s="176">
        <v>0</v>
      </c>
      <c r="E59" s="176">
        <v>206.66</v>
      </c>
      <c r="F59" s="162">
        <v>0</v>
      </c>
      <c r="G59" s="162">
        <v>0</v>
      </c>
      <c r="H59" s="162">
        <v>0</v>
      </c>
      <c r="I59" s="176">
        <v>206.66</v>
      </c>
      <c r="J59" s="162">
        <v>0</v>
      </c>
      <c r="K59" s="176">
        <v>206.66</v>
      </c>
      <c r="L59" s="176">
        <v>0</v>
      </c>
    </row>
    <row r="60" spans="1:12">
      <c r="A60" s="246" t="s">
        <v>1004</v>
      </c>
      <c r="B60" s="70" t="s">
        <v>56</v>
      </c>
      <c r="C60" s="176">
        <v>0</v>
      </c>
      <c r="D60" s="176">
        <v>0</v>
      </c>
      <c r="E60" s="176">
        <v>993.6</v>
      </c>
      <c r="F60" s="162">
        <v>0</v>
      </c>
      <c r="G60" s="162">
        <v>0</v>
      </c>
      <c r="H60" s="162">
        <v>0</v>
      </c>
      <c r="I60" s="176">
        <v>993.6</v>
      </c>
      <c r="J60" s="162">
        <v>0</v>
      </c>
      <c r="K60" s="176">
        <v>993.6</v>
      </c>
      <c r="L60" s="176">
        <v>0</v>
      </c>
    </row>
    <row r="61" spans="1:12">
      <c r="A61" s="246" t="s">
        <v>87</v>
      </c>
      <c r="B61" s="70" t="s">
        <v>303</v>
      </c>
      <c r="C61" s="176">
        <v>0</v>
      </c>
      <c r="D61" s="176">
        <v>0</v>
      </c>
      <c r="E61" s="176">
        <v>7.45</v>
      </c>
      <c r="F61" s="162">
        <v>0</v>
      </c>
      <c r="G61" s="162">
        <v>0</v>
      </c>
      <c r="H61" s="162">
        <v>0</v>
      </c>
      <c r="I61" s="176">
        <v>7.45</v>
      </c>
      <c r="J61" s="162">
        <v>0</v>
      </c>
      <c r="K61" s="176">
        <v>7.45</v>
      </c>
      <c r="L61" s="176">
        <v>0</v>
      </c>
    </row>
    <row r="62" spans="1:12">
      <c r="A62" s="246" t="s">
        <v>86</v>
      </c>
      <c r="B62" s="70" t="s">
        <v>1065</v>
      </c>
      <c r="C62" s="162">
        <v>0</v>
      </c>
      <c r="D62" s="162">
        <v>0</v>
      </c>
      <c r="E62" s="162">
        <v>0</v>
      </c>
      <c r="F62" s="162">
        <v>0</v>
      </c>
      <c r="G62" s="176">
        <v>300.64999999999998</v>
      </c>
      <c r="H62" s="162">
        <v>0</v>
      </c>
      <c r="I62" s="176">
        <v>300.64999999999998</v>
      </c>
      <c r="J62" s="162">
        <v>0</v>
      </c>
      <c r="K62" s="176">
        <v>300.64999999999998</v>
      </c>
      <c r="L62" s="176">
        <v>0</v>
      </c>
    </row>
    <row r="63" spans="1:12">
      <c r="A63" s="246" t="s">
        <v>642</v>
      </c>
      <c r="B63" s="70" t="s">
        <v>553</v>
      </c>
      <c r="C63" s="176">
        <v>0</v>
      </c>
      <c r="D63" s="176">
        <v>0</v>
      </c>
      <c r="E63" s="176">
        <v>6625.67</v>
      </c>
      <c r="F63" s="162">
        <v>0</v>
      </c>
      <c r="G63" s="176">
        <v>475</v>
      </c>
      <c r="H63" s="162">
        <v>0</v>
      </c>
      <c r="I63" s="176">
        <v>7100.67</v>
      </c>
      <c r="J63" s="162">
        <v>0</v>
      </c>
      <c r="K63" s="176">
        <v>7100.67</v>
      </c>
      <c r="L63" s="176">
        <v>0</v>
      </c>
    </row>
    <row r="64" spans="1:12">
      <c r="A64" s="246" t="s">
        <v>516</v>
      </c>
      <c r="B64" s="70" t="s">
        <v>722</v>
      </c>
      <c r="C64" s="176">
        <v>0</v>
      </c>
      <c r="D64" s="176">
        <v>0</v>
      </c>
      <c r="E64" s="176">
        <v>135.19999999999999</v>
      </c>
      <c r="F64" s="162">
        <v>0</v>
      </c>
      <c r="G64" s="176">
        <v>15</v>
      </c>
      <c r="H64" s="162">
        <v>0</v>
      </c>
      <c r="I64" s="176">
        <v>150.19999999999999</v>
      </c>
      <c r="J64" s="162">
        <v>0</v>
      </c>
      <c r="K64" s="176">
        <v>150.19999999999999</v>
      </c>
      <c r="L64" s="176">
        <v>0</v>
      </c>
    </row>
    <row r="65" spans="1:12">
      <c r="A65" s="246" t="s">
        <v>567</v>
      </c>
      <c r="B65" s="70" t="s">
        <v>732</v>
      </c>
      <c r="C65" s="176">
        <v>0</v>
      </c>
      <c r="D65" s="176">
        <v>0</v>
      </c>
      <c r="E65" s="176">
        <v>2122.61</v>
      </c>
      <c r="F65" s="162">
        <v>0</v>
      </c>
      <c r="G65" s="162">
        <v>0</v>
      </c>
      <c r="H65" s="162">
        <v>0</v>
      </c>
      <c r="I65" s="176">
        <v>2122.61</v>
      </c>
      <c r="J65" s="162">
        <v>0</v>
      </c>
      <c r="K65" s="176">
        <v>2122.61</v>
      </c>
      <c r="L65" s="176">
        <v>0</v>
      </c>
    </row>
    <row r="66" spans="1:12">
      <c r="A66" s="246" t="s">
        <v>683</v>
      </c>
      <c r="B66" s="70" t="s">
        <v>880</v>
      </c>
      <c r="C66" s="162">
        <v>0</v>
      </c>
      <c r="D66" s="162">
        <v>0</v>
      </c>
      <c r="E66" s="162">
        <v>0</v>
      </c>
      <c r="F66" s="162">
        <v>0</v>
      </c>
      <c r="G66" s="176">
        <v>2460.19</v>
      </c>
      <c r="H66" s="162">
        <v>0</v>
      </c>
      <c r="I66" s="176">
        <v>2460.19</v>
      </c>
      <c r="J66" s="162">
        <v>0</v>
      </c>
      <c r="K66" s="176">
        <v>2460.19</v>
      </c>
      <c r="L66" s="176">
        <v>0</v>
      </c>
    </row>
    <row r="67" spans="1:12">
      <c r="A67" s="246" t="s">
        <v>568</v>
      </c>
      <c r="B67" s="70" t="s">
        <v>585</v>
      </c>
      <c r="C67" s="176">
        <v>0</v>
      </c>
      <c r="D67" s="176">
        <v>0</v>
      </c>
      <c r="E67" s="162">
        <v>0</v>
      </c>
      <c r="F67" s="176">
        <v>99266.4</v>
      </c>
      <c r="G67" s="162">
        <v>0</v>
      </c>
      <c r="H67" s="176">
        <v>9127.2000000000007</v>
      </c>
      <c r="I67" s="162">
        <v>0</v>
      </c>
      <c r="J67" s="176">
        <v>108393.60000000001</v>
      </c>
      <c r="K67" s="176">
        <v>0</v>
      </c>
      <c r="L67" s="176">
        <v>108393.60000000001</v>
      </c>
    </row>
    <row r="68" spans="1:12">
      <c r="A68" s="246" t="s">
        <v>330</v>
      </c>
      <c r="B68" s="70" t="s">
        <v>891</v>
      </c>
      <c r="C68" s="176">
        <v>0</v>
      </c>
      <c r="D68" s="176">
        <v>0</v>
      </c>
      <c r="E68" s="162">
        <v>0</v>
      </c>
      <c r="F68" s="176">
        <v>2616</v>
      </c>
      <c r="G68" s="162">
        <v>0</v>
      </c>
      <c r="H68" s="162">
        <v>0</v>
      </c>
      <c r="I68" s="162">
        <v>0</v>
      </c>
      <c r="J68" s="176">
        <v>2616</v>
      </c>
      <c r="K68" s="176">
        <v>0</v>
      </c>
      <c r="L68" s="176">
        <v>2616</v>
      </c>
    </row>
    <row r="69" spans="1:12">
      <c r="A69" s="246" t="s">
        <v>679</v>
      </c>
      <c r="B69" s="70" t="s">
        <v>554</v>
      </c>
      <c r="C69" s="176">
        <v>0</v>
      </c>
      <c r="D69" s="176">
        <v>0</v>
      </c>
      <c r="E69" s="162">
        <v>0</v>
      </c>
      <c r="F69" s="176">
        <v>1496.31</v>
      </c>
      <c r="G69" s="162">
        <v>0</v>
      </c>
      <c r="H69" s="176">
        <v>603.14</v>
      </c>
      <c r="I69" s="162">
        <v>0</v>
      </c>
      <c r="J69" s="176">
        <v>2099.4499999999998</v>
      </c>
      <c r="K69" s="176">
        <v>0</v>
      </c>
      <c r="L69" s="176">
        <v>2099.4499999999998</v>
      </c>
    </row>
    <row r="70" spans="1:12">
      <c r="A70" s="246" t="s">
        <v>269</v>
      </c>
      <c r="B70" s="70" t="s">
        <v>657</v>
      </c>
      <c r="C70" s="176">
        <v>0</v>
      </c>
      <c r="D70" s="176">
        <v>0</v>
      </c>
      <c r="E70" s="162">
        <v>0</v>
      </c>
      <c r="F70" s="162">
        <v>0</v>
      </c>
      <c r="G70" s="162">
        <v>0</v>
      </c>
      <c r="H70" s="162">
        <v>0</v>
      </c>
      <c r="I70" s="176">
        <v>202115.99</v>
      </c>
      <c r="J70" s="176">
        <v>202115.99</v>
      </c>
      <c r="K70" s="176">
        <v>0</v>
      </c>
      <c r="L70" s="176">
        <v>0</v>
      </c>
    </row>
    <row r="71" spans="1:12">
      <c r="A71" s="246" t="s">
        <v>89</v>
      </c>
      <c r="B71" s="70" t="s">
        <v>946</v>
      </c>
      <c r="C71" s="162">
        <v>0</v>
      </c>
      <c r="D71" s="162">
        <v>0</v>
      </c>
      <c r="E71" s="162">
        <v>0</v>
      </c>
      <c r="F71" s="162">
        <v>0</v>
      </c>
      <c r="G71" s="162">
        <v>0</v>
      </c>
      <c r="H71" s="162">
        <v>0</v>
      </c>
      <c r="I71" s="162">
        <v>0</v>
      </c>
      <c r="J71" s="162">
        <v>0</v>
      </c>
      <c r="K71" s="162">
        <v>0</v>
      </c>
      <c r="L71" s="162">
        <v>0</v>
      </c>
    </row>
    <row r="72" spans="1:12">
      <c r="A72" s="246" t="s">
        <v>691</v>
      </c>
      <c r="B72" s="70" t="s">
        <v>216</v>
      </c>
      <c r="C72" s="162">
        <v>0</v>
      </c>
      <c r="D72" s="162">
        <v>0</v>
      </c>
      <c r="E72" s="162">
        <v>0</v>
      </c>
      <c r="F72" s="162">
        <v>0</v>
      </c>
      <c r="G72" s="162">
        <v>0</v>
      </c>
      <c r="H72" s="162">
        <v>0</v>
      </c>
      <c r="I72" s="162">
        <v>0</v>
      </c>
      <c r="J72" s="162">
        <v>0</v>
      </c>
      <c r="K72" s="162">
        <v>0</v>
      </c>
      <c r="L72" s="162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zoomScaleSheetLayoutView="100" workbookViewId="0"/>
  </sheetViews>
  <sheetFormatPr defaultColWidth="9.140625" defaultRowHeight="1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>
      <c r="A1" s="51" t="s">
        <v>326</v>
      </c>
      <c r="B1" s="11" t="s">
        <v>1062</v>
      </c>
      <c r="C1" s="157" t="s">
        <v>676</v>
      </c>
      <c r="D1" s="157" t="s">
        <v>835</v>
      </c>
      <c r="E1" s="157" t="s">
        <v>356</v>
      </c>
      <c r="F1" s="157" t="s">
        <v>641</v>
      </c>
      <c r="G1" s="157" t="s">
        <v>315</v>
      </c>
      <c r="H1" s="157" t="s">
        <v>583</v>
      </c>
      <c r="I1" s="157" t="s">
        <v>606</v>
      </c>
      <c r="J1" s="157" t="s">
        <v>584</v>
      </c>
      <c r="K1" s="157" t="s">
        <v>869</v>
      </c>
      <c r="L1" s="157" t="s">
        <v>165</v>
      </c>
    </row>
    <row r="2" spans="1:12">
      <c r="A2" s="221" t="s">
        <v>818</v>
      </c>
      <c r="B2" s="103" t="s">
        <v>798</v>
      </c>
      <c r="C2" s="144">
        <v>95498.61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95498.61</v>
      </c>
      <c r="L2" s="144">
        <v>0</v>
      </c>
    </row>
    <row r="3" spans="1:12">
      <c r="A3" s="221" t="s">
        <v>1023</v>
      </c>
      <c r="B3" s="103" t="s">
        <v>715</v>
      </c>
      <c r="C3" s="144">
        <v>0</v>
      </c>
      <c r="D3" s="144">
        <v>75120.44</v>
      </c>
      <c r="E3" s="144">
        <v>0</v>
      </c>
      <c r="F3" s="144">
        <v>6625.67</v>
      </c>
      <c r="G3" s="144">
        <v>0</v>
      </c>
      <c r="H3" s="144">
        <v>475</v>
      </c>
      <c r="I3" s="144">
        <v>0</v>
      </c>
      <c r="J3" s="144">
        <v>7100.67</v>
      </c>
      <c r="K3" s="144">
        <v>0</v>
      </c>
      <c r="L3" s="144">
        <v>82221.11</v>
      </c>
    </row>
    <row r="4" spans="1:12">
      <c r="A4" s="221" t="s">
        <v>126</v>
      </c>
      <c r="B4" s="103" t="s">
        <v>194</v>
      </c>
      <c r="C4" s="144">
        <v>692.71</v>
      </c>
      <c r="D4" s="144">
        <v>0</v>
      </c>
      <c r="E4" s="144">
        <v>7430</v>
      </c>
      <c r="F4" s="144">
        <v>7397.05</v>
      </c>
      <c r="G4" s="144">
        <v>1220</v>
      </c>
      <c r="H4" s="144">
        <v>731.64</v>
      </c>
      <c r="I4" s="144">
        <v>8650</v>
      </c>
      <c r="J4" s="144">
        <v>8128.69</v>
      </c>
      <c r="K4" s="144">
        <v>1214.02</v>
      </c>
      <c r="L4" s="144">
        <v>0</v>
      </c>
    </row>
    <row r="5" spans="1:12">
      <c r="A5" s="221" t="s">
        <v>893</v>
      </c>
      <c r="B5" s="103" t="s">
        <v>158</v>
      </c>
      <c r="C5" s="144">
        <v>284</v>
      </c>
      <c r="D5" s="144">
        <v>0</v>
      </c>
      <c r="E5" s="144">
        <v>1440</v>
      </c>
      <c r="F5" s="144">
        <v>1440</v>
      </c>
      <c r="G5" s="144">
        <v>0</v>
      </c>
      <c r="H5" s="144">
        <v>56</v>
      </c>
      <c r="I5" s="144">
        <v>1440</v>
      </c>
      <c r="J5" s="144">
        <v>1496</v>
      </c>
      <c r="K5" s="144">
        <v>228</v>
      </c>
      <c r="L5" s="144">
        <v>0</v>
      </c>
    </row>
    <row r="6" spans="1:12">
      <c r="A6" s="221" t="s">
        <v>565</v>
      </c>
      <c r="B6" s="103" t="s">
        <v>546</v>
      </c>
      <c r="C6" s="144">
        <v>87181.38</v>
      </c>
      <c r="D6" s="144">
        <v>0</v>
      </c>
      <c r="E6" s="144">
        <v>126473.28</v>
      </c>
      <c r="F6" s="144">
        <v>112545.8</v>
      </c>
      <c r="G6" s="144">
        <v>11073.12</v>
      </c>
      <c r="H6" s="144">
        <v>9603.07</v>
      </c>
      <c r="I6" s="144">
        <v>137546.4</v>
      </c>
      <c r="J6" s="144">
        <v>122148.87</v>
      </c>
      <c r="K6" s="144">
        <v>102578.91</v>
      </c>
      <c r="L6" s="144">
        <v>0</v>
      </c>
    </row>
    <row r="7" spans="1:12">
      <c r="A7" s="221" t="s">
        <v>484</v>
      </c>
      <c r="B7" s="103" t="s">
        <v>444</v>
      </c>
      <c r="C7" s="144">
        <v>0</v>
      </c>
      <c r="D7" s="144">
        <v>0</v>
      </c>
      <c r="E7" s="144">
        <v>6749</v>
      </c>
      <c r="F7" s="144">
        <v>6609</v>
      </c>
      <c r="G7" s="144">
        <v>1458.77</v>
      </c>
      <c r="H7" s="144">
        <v>1598.77</v>
      </c>
      <c r="I7" s="144">
        <v>8207.77</v>
      </c>
      <c r="J7" s="144">
        <v>8207.77</v>
      </c>
      <c r="K7" s="144">
        <v>0</v>
      </c>
      <c r="L7" s="144">
        <v>0</v>
      </c>
    </row>
    <row r="8" spans="1:12">
      <c r="A8" s="221" t="s">
        <v>914</v>
      </c>
      <c r="B8" s="103" t="s">
        <v>369</v>
      </c>
      <c r="C8" s="144">
        <v>18276.009999999998</v>
      </c>
      <c r="D8" s="144">
        <v>0</v>
      </c>
      <c r="E8" s="144">
        <v>121877.28</v>
      </c>
      <c r="F8" s="144">
        <v>126452.16</v>
      </c>
      <c r="G8" s="144">
        <v>10823.04</v>
      </c>
      <c r="H8" s="144">
        <v>11073.12</v>
      </c>
      <c r="I8" s="144">
        <v>132700.32</v>
      </c>
      <c r="J8" s="144">
        <v>137525.28</v>
      </c>
      <c r="K8" s="144">
        <v>13451.05</v>
      </c>
      <c r="L8" s="144">
        <v>0</v>
      </c>
    </row>
    <row r="9" spans="1:12">
      <c r="A9" s="221" t="s">
        <v>1114</v>
      </c>
      <c r="B9" s="103" t="s">
        <v>83</v>
      </c>
      <c r="C9" s="144">
        <v>13.28</v>
      </c>
      <c r="D9" s="144">
        <v>0</v>
      </c>
      <c r="E9" s="144">
        <v>0</v>
      </c>
      <c r="F9" s="144">
        <v>0</v>
      </c>
      <c r="G9" s="144">
        <v>0</v>
      </c>
      <c r="H9" s="144">
        <v>0</v>
      </c>
      <c r="I9" s="144">
        <v>0</v>
      </c>
      <c r="J9" s="144">
        <v>0</v>
      </c>
      <c r="K9" s="144">
        <v>13.28</v>
      </c>
      <c r="L9" s="144">
        <v>0</v>
      </c>
    </row>
    <row r="10" spans="1:12">
      <c r="A10" s="221" t="s">
        <v>961</v>
      </c>
      <c r="B10" s="103" t="s">
        <v>678</v>
      </c>
      <c r="C10" s="144">
        <v>0</v>
      </c>
      <c r="D10" s="144">
        <v>173.41</v>
      </c>
      <c r="E10" s="144">
        <v>15064.38</v>
      </c>
      <c r="F10" s="144">
        <v>15317.36</v>
      </c>
      <c r="G10" s="144">
        <v>2540.75</v>
      </c>
      <c r="H10" s="144">
        <v>2462.75</v>
      </c>
      <c r="I10" s="144">
        <v>17605.13</v>
      </c>
      <c r="J10" s="144">
        <v>17780.11</v>
      </c>
      <c r="K10" s="144">
        <v>0</v>
      </c>
      <c r="L10" s="144">
        <v>348.39</v>
      </c>
    </row>
    <row r="11" spans="1:12">
      <c r="A11" s="221" t="s">
        <v>50</v>
      </c>
      <c r="B11" s="103" t="s">
        <v>213</v>
      </c>
      <c r="C11" s="144">
        <v>0</v>
      </c>
      <c r="D11" s="144">
        <v>6000</v>
      </c>
      <c r="E11" s="144">
        <v>6000</v>
      </c>
      <c r="F11" s="144">
        <v>1500</v>
      </c>
      <c r="G11" s="144">
        <v>0</v>
      </c>
      <c r="H11" s="144">
        <v>0</v>
      </c>
      <c r="I11" s="144">
        <v>6000</v>
      </c>
      <c r="J11" s="144">
        <v>1500</v>
      </c>
      <c r="K11" s="144">
        <v>0</v>
      </c>
      <c r="L11" s="144">
        <v>1500</v>
      </c>
    </row>
    <row r="12" spans="1:12">
      <c r="A12" s="221" t="s">
        <v>1077</v>
      </c>
      <c r="B12" s="103" t="s">
        <v>204</v>
      </c>
      <c r="C12" s="144">
        <v>0</v>
      </c>
      <c r="D12" s="144">
        <v>4533.3900000000003</v>
      </c>
      <c r="E12" s="144">
        <v>47720.7</v>
      </c>
      <c r="F12" s="144">
        <v>46144.63</v>
      </c>
      <c r="G12" s="144">
        <v>4545.4799999999996</v>
      </c>
      <c r="H12" s="144">
        <v>5757.91</v>
      </c>
      <c r="I12" s="144">
        <v>52266.18</v>
      </c>
      <c r="J12" s="144">
        <v>51902.54</v>
      </c>
      <c r="K12" s="144">
        <v>0</v>
      </c>
      <c r="L12" s="144">
        <v>4169.75</v>
      </c>
    </row>
    <row r="13" spans="1:12">
      <c r="A13" s="221" t="s">
        <v>989</v>
      </c>
      <c r="B13" s="103" t="s">
        <v>381</v>
      </c>
      <c r="C13" s="144">
        <v>170</v>
      </c>
      <c r="D13" s="144">
        <v>0</v>
      </c>
      <c r="E13" s="144">
        <v>0</v>
      </c>
      <c r="F13" s="144">
        <v>0</v>
      </c>
      <c r="G13" s="144">
        <v>0</v>
      </c>
      <c r="H13" s="144">
        <v>0</v>
      </c>
      <c r="I13" s="144">
        <v>0</v>
      </c>
      <c r="J13" s="144">
        <v>0</v>
      </c>
      <c r="K13" s="144">
        <v>170</v>
      </c>
      <c r="L13" s="144">
        <v>0</v>
      </c>
    </row>
    <row r="14" spans="1:12">
      <c r="A14" s="221" t="s">
        <v>492</v>
      </c>
      <c r="B14" s="103" t="s">
        <v>849</v>
      </c>
      <c r="C14" s="144">
        <v>0</v>
      </c>
      <c r="D14" s="144">
        <v>3073.55</v>
      </c>
      <c r="E14" s="144">
        <v>23475</v>
      </c>
      <c r="F14" s="144">
        <v>22355.33</v>
      </c>
      <c r="G14" s="144">
        <v>1953.88</v>
      </c>
      <c r="H14" s="144">
        <v>2793.93</v>
      </c>
      <c r="I14" s="144">
        <v>25428.880000000001</v>
      </c>
      <c r="J14" s="144">
        <v>25149.26</v>
      </c>
      <c r="K14" s="144">
        <v>0</v>
      </c>
      <c r="L14" s="144">
        <v>2793.93</v>
      </c>
    </row>
    <row r="15" spans="1:12">
      <c r="A15" s="221" t="s">
        <v>924</v>
      </c>
      <c r="B15" s="103" t="s">
        <v>276</v>
      </c>
      <c r="C15" s="144">
        <v>0</v>
      </c>
      <c r="D15" s="144">
        <v>2178.08</v>
      </c>
      <c r="E15" s="144">
        <v>2178.08</v>
      </c>
      <c r="F15" s="144">
        <v>0</v>
      </c>
      <c r="G15" s="144">
        <v>0</v>
      </c>
      <c r="H15" s="144">
        <v>2460.19</v>
      </c>
      <c r="I15" s="144">
        <v>2178.08</v>
      </c>
      <c r="J15" s="144">
        <v>2460.19</v>
      </c>
      <c r="K15" s="144">
        <v>0</v>
      </c>
      <c r="L15" s="144">
        <v>2460.19</v>
      </c>
    </row>
    <row r="16" spans="1:12">
      <c r="A16" s="221" t="s">
        <v>826</v>
      </c>
      <c r="B16" s="103" t="s">
        <v>804</v>
      </c>
      <c r="C16" s="144">
        <v>0</v>
      </c>
      <c r="D16" s="144">
        <v>932</v>
      </c>
      <c r="E16" s="144">
        <v>7242.25</v>
      </c>
      <c r="F16" s="144">
        <v>6533.47</v>
      </c>
      <c r="G16" s="144">
        <v>523.87</v>
      </c>
      <c r="H16" s="144">
        <v>1357.84</v>
      </c>
      <c r="I16" s="144">
        <v>7766.12</v>
      </c>
      <c r="J16" s="144">
        <v>7891.31</v>
      </c>
      <c r="K16" s="144">
        <v>0</v>
      </c>
      <c r="L16" s="144">
        <v>1057.19</v>
      </c>
    </row>
    <row r="17" spans="1:12">
      <c r="A17" s="221" t="s">
        <v>245</v>
      </c>
      <c r="B17" s="103" t="s">
        <v>960</v>
      </c>
      <c r="C17" s="144">
        <v>0</v>
      </c>
      <c r="D17" s="144">
        <v>1372.21</v>
      </c>
      <c r="E17" s="144">
        <v>40867.480000000003</v>
      </c>
      <c r="F17" s="144">
        <v>40636.5</v>
      </c>
      <c r="G17" s="144">
        <v>3242.07</v>
      </c>
      <c r="H17" s="144">
        <v>3391.68</v>
      </c>
      <c r="I17" s="144">
        <v>44109.55</v>
      </c>
      <c r="J17" s="144">
        <v>44028.18</v>
      </c>
      <c r="K17" s="144">
        <v>0</v>
      </c>
      <c r="L17" s="144">
        <v>1290.8399999999999</v>
      </c>
    </row>
    <row r="18" spans="1:12">
      <c r="A18" s="221" t="s">
        <v>469</v>
      </c>
      <c r="B18" s="103" t="s">
        <v>942</v>
      </c>
      <c r="C18" s="144">
        <v>0</v>
      </c>
      <c r="D18" s="144">
        <v>7255.38</v>
      </c>
      <c r="E18" s="144">
        <v>0</v>
      </c>
      <c r="F18" s="144">
        <v>0</v>
      </c>
      <c r="G18" s="144">
        <v>0</v>
      </c>
      <c r="H18" s="144">
        <v>0</v>
      </c>
      <c r="I18" s="144">
        <v>0</v>
      </c>
      <c r="J18" s="144">
        <v>0</v>
      </c>
      <c r="K18" s="144">
        <v>0</v>
      </c>
      <c r="L18" s="144">
        <v>7255.38</v>
      </c>
    </row>
    <row r="19" spans="1:12">
      <c r="A19" s="221" t="s">
        <v>308</v>
      </c>
      <c r="B19" s="103" t="s">
        <v>1041</v>
      </c>
      <c r="C19" s="144">
        <v>0</v>
      </c>
      <c r="D19" s="144">
        <v>0</v>
      </c>
      <c r="E19" s="144">
        <v>0</v>
      </c>
      <c r="F19" s="144">
        <v>0</v>
      </c>
      <c r="G19" s="144">
        <v>0</v>
      </c>
      <c r="H19" s="144">
        <v>0</v>
      </c>
      <c r="I19" s="144">
        <v>0</v>
      </c>
      <c r="J19" s="144">
        <v>0</v>
      </c>
      <c r="K19" s="144">
        <v>0</v>
      </c>
      <c r="L19" s="144">
        <v>0</v>
      </c>
    </row>
    <row r="20" spans="1:12">
      <c r="A20" s="221" t="s">
        <v>120</v>
      </c>
      <c r="B20" s="103" t="s">
        <v>765</v>
      </c>
      <c r="C20" s="144">
        <v>0</v>
      </c>
      <c r="D20" s="144">
        <v>0</v>
      </c>
      <c r="E20" s="144">
        <v>2185.11</v>
      </c>
      <c r="F20" s="144">
        <v>2185.11</v>
      </c>
      <c r="G20" s="144">
        <v>0</v>
      </c>
      <c r="H20" s="144">
        <v>0</v>
      </c>
      <c r="I20" s="144">
        <v>2185.11</v>
      </c>
      <c r="J20" s="144">
        <v>2185.11</v>
      </c>
      <c r="K20" s="144">
        <v>0</v>
      </c>
      <c r="L20" s="144">
        <v>0</v>
      </c>
    </row>
    <row r="21" spans="1:12">
      <c r="A21" s="221" t="s">
        <v>139</v>
      </c>
      <c r="B21" s="103" t="s">
        <v>1076</v>
      </c>
      <c r="C21" s="144">
        <v>0</v>
      </c>
      <c r="D21" s="144">
        <v>0</v>
      </c>
      <c r="E21" s="144">
        <v>0</v>
      </c>
      <c r="F21" s="144">
        <v>0</v>
      </c>
      <c r="G21" s="144">
        <v>66.64</v>
      </c>
      <c r="H21" s="144">
        <v>0</v>
      </c>
      <c r="I21" s="144">
        <v>66.64</v>
      </c>
      <c r="J21" s="144">
        <v>0</v>
      </c>
      <c r="K21" s="144">
        <v>66.64</v>
      </c>
      <c r="L21" s="144">
        <v>0</v>
      </c>
    </row>
    <row r="22" spans="1:12">
      <c r="A22" s="221" t="s">
        <v>1089</v>
      </c>
      <c r="B22" s="103" t="s">
        <v>78</v>
      </c>
      <c r="C22" s="144">
        <v>0</v>
      </c>
      <c r="D22" s="144">
        <v>0</v>
      </c>
      <c r="E22" s="144">
        <v>0</v>
      </c>
      <c r="F22" s="144">
        <v>993.6</v>
      </c>
      <c r="G22" s="144">
        <v>0</v>
      </c>
      <c r="H22" s="144">
        <v>0</v>
      </c>
      <c r="I22" s="144">
        <v>0</v>
      </c>
      <c r="J22" s="144">
        <v>993.6</v>
      </c>
      <c r="K22" s="144">
        <v>0</v>
      </c>
      <c r="L22" s="144">
        <v>993.6</v>
      </c>
    </row>
    <row r="23" spans="1:12">
      <c r="A23" s="221" t="s">
        <v>1012</v>
      </c>
      <c r="B23" s="103" t="s">
        <v>311</v>
      </c>
      <c r="C23" s="144">
        <v>0</v>
      </c>
      <c r="D23" s="144">
        <v>16596.96</v>
      </c>
      <c r="E23" s="144">
        <v>0</v>
      </c>
      <c r="F23" s="144">
        <v>0</v>
      </c>
      <c r="G23" s="144">
        <v>0</v>
      </c>
      <c r="H23" s="144">
        <v>0</v>
      </c>
      <c r="I23" s="144">
        <v>0</v>
      </c>
      <c r="J23" s="144">
        <v>0</v>
      </c>
      <c r="K23" s="144">
        <v>0</v>
      </c>
      <c r="L23" s="144">
        <v>16596.96</v>
      </c>
    </row>
    <row r="24" spans="1:12">
      <c r="A24" s="221" t="s">
        <v>73</v>
      </c>
      <c r="B24" s="103" t="s">
        <v>328</v>
      </c>
      <c r="C24" s="144">
        <v>0</v>
      </c>
      <c r="D24" s="144">
        <v>1659.7</v>
      </c>
      <c r="E24" s="144">
        <v>0</v>
      </c>
      <c r="F24" s="144">
        <v>0</v>
      </c>
      <c r="G24" s="144">
        <v>0</v>
      </c>
      <c r="H24" s="144">
        <v>0</v>
      </c>
      <c r="I24" s="144">
        <v>0</v>
      </c>
      <c r="J24" s="144">
        <v>0</v>
      </c>
      <c r="K24" s="144">
        <v>0</v>
      </c>
      <c r="L24" s="144">
        <v>1659.7</v>
      </c>
    </row>
    <row r="25" spans="1:12">
      <c r="A25" s="221" t="s">
        <v>728</v>
      </c>
      <c r="B25" s="103" t="s">
        <v>613</v>
      </c>
      <c r="C25" s="144">
        <v>0</v>
      </c>
      <c r="D25" s="144">
        <v>64573.52</v>
      </c>
      <c r="E25" s="144">
        <v>0</v>
      </c>
      <c r="F25" s="144">
        <v>18029.59</v>
      </c>
      <c r="G25" s="144">
        <v>0</v>
      </c>
      <c r="H25" s="144">
        <v>0</v>
      </c>
      <c r="I25" s="144">
        <v>0</v>
      </c>
      <c r="J25" s="144">
        <v>18029.59</v>
      </c>
      <c r="K25" s="144">
        <v>0</v>
      </c>
      <c r="L25" s="144">
        <v>82603.11</v>
      </c>
    </row>
    <row r="26" spans="1:12">
      <c r="A26" s="221" t="s">
        <v>899</v>
      </c>
      <c r="B26" s="103" t="s">
        <v>468</v>
      </c>
      <c r="C26" s="144">
        <v>0</v>
      </c>
      <c r="D26" s="144">
        <v>18029.59</v>
      </c>
      <c r="E26" s="144">
        <v>18029.59</v>
      </c>
      <c r="F26" s="144">
        <v>0</v>
      </c>
      <c r="G26" s="144">
        <v>0</v>
      </c>
      <c r="H26" s="144">
        <v>0</v>
      </c>
      <c r="I26" s="144">
        <v>18029.59</v>
      </c>
      <c r="J26" s="144">
        <v>0</v>
      </c>
      <c r="K26" s="144">
        <v>0</v>
      </c>
      <c r="L26" s="144">
        <v>0</v>
      </c>
    </row>
    <row r="27" spans="1:12">
      <c r="A27" s="221" t="s">
        <v>614</v>
      </c>
      <c r="B27" s="103" t="s">
        <v>909</v>
      </c>
      <c r="C27" s="144">
        <v>0</v>
      </c>
      <c r="D27" s="144">
        <v>617.76</v>
      </c>
      <c r="E27" s="144">
        <v>180</v>
      </c>
      <c r="F27" s="144">
        <v>252.49</v>
      </c>
      <c r="G27" s="144">
        <v>7</v>
      </c>
      <c r="H27" s="144">
        <v>26.77</v>
      </c>
      <c r="I27" s="144">
        <v>187</v>
      </c>
      <c r="J27" s="144">
        <v>279.26</v>
      </c>
      <c r="K27" s="144">
        <v>0</v>
      </c>
      <c r="L27" s="144">
        <v>710.02</v>
      </c>
    </row>
    <row r="28" spans="1:12">
      <c r="A28" s="221" t="s">
        <v>69</v>
      </c>
      <c r="B28" s="103" t="s">
        <v>743</v>
      </c>
      <c r="C28" s="144">
        <v>0</v>
      </c>
      <c r="D28" s="144">
        <v>0</v>
      </c>
      <c r="E28" s="144">
        <v>5107.34</v>
      </c>
      <c r="F28" s="144">
        <v>0</v>
      </c>
      <c r="G28" s="144">
        <v>443.79</v>
      </c>
      <c r="H28" s="144">
        <v>0</v>
      </c>
      <c r="I28" s="144">
        <v>5551.13</v>
      </c>
      <c r="J28" s="144">
        <v>0</v>
      </c>
      <c r="K28" s="144">
        <v>5551.13</v>
      </c>
      <c r="L28" s="144">
        <v>0</v>
      </c>
    </row>
    <row r="29" spans="1:12">
      <c r="A29" s="221" t="s">
        <v>502</v>
      </c>
      <c r="B29" s="103" t="s">
        <v>60</v>
      </c>
      <c r="C29" s="144">
        <v>0</v>
      </c>
      <c r="D29" s="144">
        <v>0</v>
      </c>
      <c r="E29" s="144">
        <v>1624.82</v>
      </c>
      <c r="F29" s="144">
        <v>0</v>
      </c>
      <c r="G29" s="144">
        <v>0</v>
      </c>
      <c r="H29" s="144">
        <v>0</v>
      </c>
      <c r="I29" s="144">
        <v>1624.82</v>
      </c>
      <c r="J29" s="144">
        <v>0</v>
      </c>
      <c r="K29" s="144">
        <v>1624.82</v>
      </c>
      <c r="L29" s="144">
        <v>0</v>
      </c>
    </row>
    <row r="30" spans="1:12">
      <c r="A30" s="221" t="s">
        <v>1050</v>
      </c>
      <c r="B30" s="103" t="s">
        <v>445</v>
      </c>
      <c r="C30" s="144">
        <v>0</v>
      </c>
      <c r="D30" s="144">
        <v>0</v>
      </c>
      <c r="E30" s="144">
        <v>2783.39</v>
      </c>
      <c r="F30" s="144">
        <v>0</v>
      </c>
      <c r="G30" s="144">
        <v>852.2</v>
      </c>
      <c r="H30" s="144">
        <v>0</v>
      </c>
      <c r="I30" s="144">
        <v>3635.59</v>
      </c>
      <c r="J30" s="144">
        <v>0</v>
      </c>
      <c r="K30" s="144">
        <v>3635.59</v>
      </c>
      <c r="L30" s="144">
        <v>0</v>
      </c>
    </row>
    <row r="31" spans="1:12">
      <c r="A31" s="221" t="s">
        <v>506</v>
      </c>
      <c r="B31" s="103" t="s">
        <v>535</v>
      </c>
      <c r="C31" s="144">
        <v>0</v>
      </c>
      <c r="D31" s="144">
        <v>0</v>
      </c>
      <c r="E31" s="144">
        <v>736.93</v>
      </c>
      <c r="F31" s="144">
        <v>0</v>
      </c>
      <c r="G31" s="144">
        <v>60.83</v>
      </c>
      <c r="H31" s="144">
        <v>0</v>
      </c>
      <c r="I31" s="144">
        <v>797.76</v>
      </c>
      <c r="J31" s="144">
        <v>0</v>
      </c>
      <c r="K31" s="144">
        <v>797.76</v>
      </c>
      <c r="L31" s="144">
        <v>0</v>
      </c>
    </row>
    <row r="32" spans="1:12">
      <c r="A32" s="221" t="s">
        <v>340</v>
      </c>
      <c r="B32" s="103" t="s">
        <v>521</v>
      </c>
      <c r="C32" s="144">
        <v>0</v>
      </c>
      <c r="D32" s="144">
        <v>0</v>
      </c>
      <c r="E32" s="144">
        <v>7402.85</v>
      </c>
      <c r="F32" s="144">
        <v>0</v>
      </c>
      <c r="G32" s="144">
        <v>1328.05</v>
      </c>
      <c r="H32" s="144">
        <v>0</v>
      </c>
      <c r="I32" s="144">
        <v>8730.9</v>
      </c>
      <c r="J32" s="144">
        <v>0</v>
      </c>
      <c r="K32" s="144">
        <v>8730.9</v>
      </c>
      <c r="L32" s="144">
        <v>0</v>
      </c>
    </row>
    <row r="33" spans="1:12">
      <c r="A33" s="221" t="s">
        <v>137</v>
      </c>
      <c r="B33" s="103" t="s">
        <v>378</v>
      </c>
      <c r="C33" s="144">
        <v>0</v>
      </c>
      <c r="D33" s="144">
        <v>0</v>
      </c>
      <c r="E33" s="144">
        <v>46144.63</v>
      </c>
      <c r="F33" s="144">
        <v>0</v>
      </c>
      <c r="G33" s="144">
        <v>5769.01</v>
      </c>
      <c r="H33" s="144">
        <v>0</v>
      </c>
      <c r="I33" s="144">
        <v>51913.64</v>
      </c>
      <c r="J33" s="144">
        <v>0</v>
      </c>
      <c r="K33" s="144">
        <v>51913.64</v>
      </c>
      <c r="L33" s="144">
        <v>0</v>
      </c>
    </row>
    <row r="34" spans="1:12">
      <c r="A34" s="221" t="s">
        <v>892</v>
      </c>
      <c r="B34" s="103" t="s">
        <v>674</v>
      </c>
      <c r="C34" s="144">
        <v>0</v>
      </c>
      <c r="D34" s="144">
        <v>0</v>
      </c>
      <c r="E34" s="144">
        <v>16172.16</v>
      </c>
      <c r="F34" s="144">
        <v>0</v>
      </c>
      <c r="G34" s="144">
        <v>2020.93</v>
      </c>
      <c r="H34" s="144">
        <v>0</v>
      </c>
      <c r="I34" s="144">
        <v>18193.09</v>
      </c>
      <c r="J34" s="144">
        <v>0</v>
      </c>
      <c r="K34" s="144">
        <v>18193.09</v>
      </c>
      <c r="L34" s="144">
        <v>0</v>
      </c>
    </row>
    <row r="35" spans="1:12">
      <c r="A35" s="221" t="s">
        <v>712</v>
      </c>
      <c r="B35" s="103" t="s">
        <v>41</v>
      </c>
      <c r="C35" s="144">
        <v>0</v>
      </c>
      <c r="D35" s="144">
        <v>0</v>
      </c>
      <c r="E35" s="144">
        <v>1421.01</v>
      </c>
      <c r="F35" s="144">
        <v>0</v>
      </c>
      <c r="G35" s="144">
        <v>92.83</v>
      </c>
      <c r="H35" s="144">
        <v>0</v>
      </c>
      <c r="I35" s="144">
        <v>1513.84</v>
      </c>
      <c r="J35" s="144">
        <v>0</v>
      </c>
      <c r="K35" s="144">
        <v>1513.84</v>
      </c>
      <c r="L35" s="144">
        <v>0</v>
      </c>
    </row>
    <row r="36" spans="1:12">
      <c r="A36" s="221" t="s">
        <v>277</v>
      </c>
      <c r="B36" s="103" t="s">
        <v>1029</v>
      </c>
      <c r="C36" s="135">
        <v>0</v>
      </c>
      <c r="D36" s="135">
        <v>0</v>
      </c>
      <c r="E36" s="135">
        <v>0</v>
      </c>
      <c r="F36" s="135">
        <v>0</v>
      </c>
      <c r="G36" s="144">
        <v>245.91</v>
      </c>
      <c r="H36" s="135">
        <v>0</v>
      </c>
      <c r="I36" s="144">
        <v>245.91</v>
      </c>
      <c r="J36" s="135">
        <v>0</v>
      </c>
      <c r="K36" s="144">
        <v>245.91</v>
      </c>
      <c r="L36" s="144">
        <v>0</v>
      </c>
    </row>
    <row r="37" spans="1:12">
      <c r="A37" s="221" t="s">
        <v>802</v>
      </c>
      <c r="B37" s="103" t="s">
        <v>181</v>
      </c>
      <c r="C37" s="144">
        <v>0</v>
      </c>
      <c r="D37" s="144">
        <v>0</v>
      </c>
      <c r="E37" s="144">
        <v>206.66</v>
      </c>
      <c r="F37" s="144">
        <v>0</v>
      </c>
      <c r="G37" s="144">
        <v>0</v>
      </c>
      <c r="H37" s="144">
        <v>0</v>
      </c>
      <c r="I37" s="144">
        <v>206.66</v>
      </c>
      <c r="J37" s="144">
        <v>0</v>
      </c>
      <c r="K37" s="144">
        <v>206.66</v>
      </c>
      <c r="L37" s="144">
        <v>0</v>
      </c>
    </row>
    <row r="38" spans="1:12">
      <c r="A38" s="221" t="s">
        <v>291</v>
      </c>
      <c r="B38" s="103" t="s">
        <v>56</v>
      </c>
      <c r="C38" s="144">
        <v>0</v>
      </c>
      <c r="D38" s="144">
        <v>0</v>
      </c>
      <c r="E38" s="144">
        <v>993.6</v>
      </c>
      <c r="F38" s="144">
        <v>0</v>
      </c>
      <c r="G38" s="144">
        <v>0</v>
      </c>
      <c r="H38" s="144">
        <v>0</v>
      </c>
      <c r="I38" s="144">
        <v>993.6</v>
      </c>
      <c r="J38" s="144">
        <v>0</v>
      </c>
      <c r="K38" s="144">
        <v>993.6</v>
      </c>
      <c r="L38" s="144">
        <v>0</v>
      </c>
    </row>
    <row r="39" spans="1:12">
      <c r="A39" s="221" t="s">
        <v>795</v>
      </c>
      <c r="B39" s="103" t="s">
        <v>904</v>
      </c>
      <c r="C39" s="144">
        <v>0</v>
      </c>
      <c r="D39" s="144">
        <v>0</v>
      </c>
      <c r="E39" s="144">
        <v>7.45</v>
      </c>
      <c r="F39" s="144">
        <v>0</v>
      </c>
      <c r="G39" s="144">
        <v>300.64999999999998</v>
      </c>
      <c r="H39" s="144">
        <v>0</v>
      </c>
      <c r="I39" s="144">
        <v>308.10000000000002</v>
      </c>
      <c r="J39" s="144">
        <v>0</v>
      </c>
      <c r="K39" s="144">
        <v>308.10000000000002</v>
      </c>
      <c r="L39" s="144">
        <v>0</v>
      </c>
    </row>
    <row r="40" spans="1:12">
      <c r="A40" s="221" t="s">
        <v>240</v>
      </c>
      <c r="B40" s="103" t="s">
        <v>397</v>
      </c>
      <c r="C40" s="144">
        <v>0</v>
      </c>
      <c r="D40" s="144">
        <v>0</v>
      </c>
      <c r="E40" s="144">
        <v>6625.67</v>
      </c>
      <c r="F40" s="144">
        <v>0</v>
      </c>
      <c r="G40" s="144">
        <v>475</v>
      </c>
      <c r="H40" s="144">
        <v>0</v>
      </c>
      <c r="I40" s="144">
        <v>7100.67</v>
      </c>
      <c r="J40" s="144">
        <v>0</v>
      </c>
      <c r="K40" s="144">
        <v>7100.67</v>
      </c>
      <c r="L40" s="144">
        <v>0</v>
      </c>
    </row>
    <row r="41" spans="1:12">
      <c r="A41" s="221" t="s">
        <v>428</v>
      </c>
      <c r="B41" s="103" t="s">
        <v>722</v>
      </c>
      <c r="C41" s="144">
        <v>0</v>
      </c>
      <c r="D41" s="144">
        <v>0</v>
      </c>
      <c r="E41" s="144">
        <v>2257.81</v>
      </c>
      <c r="F41" s="144">
        <v>0</v>
      </c>
      <c r="G41" s="144">
        <v>15</v>
      </c>
      <c r="H41" s="144">
        <v>0</v>
      </c>
      <c r="I41" s="144">
        <v>2272.81</v>
      </c>
      <c r="J41" s="144">
        <v>0</v>
      </c>
      <c r="K41" s="144">
        <v>2272.81</v>
      </c>
      <c r="L41" s="144">
        <v>0</v>
      </c>
    </row>
    <row r="42" spans="1:12">
      <c r="A42" s="221" t="s">
        <v>2</v>
      </c>
      <c r="B42" s="103" t="s">
        <v>880</v>
      </c>
      <c r="C42" s="135">
        <v>0</v>
      </c>
      <c r="D42" s="135">
        <v>0</v>
      </c>
      <c r="E42" s="135">
        <v>0</v>
      </c>
      <c r="F42" s="135">
        <v>0</v>
      </c>
      <c r="G42" s="144">
        <v>2460.19</v>
      </c>
      <c r="H42" s="135">
        <v>0</v>
      </c>
      <c r="I42" s="144">
        <v>2460.19</v>
      </c>
      <c r="J42" s="135">
        <v>0</v>
      </c>
      <c r="K42" s="144">
        <v>2460.19</v>
      </c>
      <c r="L42" s="144">
        <v>0</v>
      </c>
    </row>
    <row r="43" spans="1:12">
      <c r="A43" s="221" t="s">
        <v>173</v>
      </c>
      <c r="B43" s="103" t="s">
        <v>585</v>
      </c>
      <c r="C43" s="144">
        <v>0</v>
      </c>
      <c r="D43" s="144">
        <v>0</v>
      </c>
      <c r="E43" s="144">
        <v>0</v>
      </c>
      <c r="F43" s="144">
        <v>99266.4</v>
      </c>
      <c r="G43" s="144">
        <v>0</v>
      </c>
      <c r="H43" s="144">
        <v>9127.2000000000007</v>
      </c>
      <c r="I43" s="144">
        <v>0</v>
      </c>
      <c r="J43" s="144">
        <v>108393.60000000001</v>
      </c>
      <c r="K43" s="144">
        <v>0</v>
      </c>
      <c r="L43" s="144">
        <v>108393.60000000001</v>
      </c>
    </row>
    <row r="44" spans="1:12">
      <c r="A44" s="221" t="s">
        <v>829</v>
      </c>
      <c r="B44" s="103" t="s">
        <v>891</v>
      </c>
      <c r="C44" s="144">
        <v>0</v>
      </c>
      <c r="D44" s="144">
        <v>0</v>
      </c>
      <c r="E44" s="144">
        <v>0</v>
      </c>
      <c r="F44" s="144">
        <v>2616</v>
      </c>
      <c r="G44" s="144">
        <v>0</v>
      </c>
      <c r="H44" s="144">
        <v>0</v>
      </c>
      <c r="I44" s="144">
        <v>0</v>
      </c>
      <c r="J44" s="144">
        <v>2616</v>
      </c>
      <c r="K44" s="144">
        <v>0</v>
      </c>
      <c r="L44" s="144">
        <v>2616</v>
      </c>
    </row>
    <row r="45" spans="1:12">
      <c r="A45" s="221" t="s">
        <v>316</v>
      </c>
      <c r="B45" s="103" t="s">
        <v>554</v>
      </c>
      <c r="C45" s="144">
        <v>0</v>
      </c>
      <c r="D45" s="144">
        <v>0</v>
      </c>
      <c r="E45" s="144">
        <v>0</v>
      </c>
      <c r="F45" s="144">
        <v>1496.31</v>
      </c>
      <c r="G45" s="144">
        <v>0</v>
      </c>
      <c r="H45" s="144">
        <v>603.14</v>
      </c>
      <c r="I45" s="144">
        <v>0</v>
      </c>
      <c r="J45" s="144">
        <v>2099.4499999999998</v>
      </c>
      <c r="K45" s="144">
        <v>0</v>
      </c>
      <c r="L45" s="144">
        <v>2099.4499999999998</v>
      </c>
    </row>
    <row r="46" spans="1:12">
      <c r="A46" s="221" t="s">
        <v>225</v>
      </c>
      <c r="B46" s="103" t="s">
        <v>657</v>
      </c>
      <c r="C46" s="144">
        <v>0</v>
      </c>
      <c r="D46" s="144">
        <v>0</v>
      </c>
      <c r="E46" s="144">
        <v>0</v>
      </c>
      <c r="F46" s="144">
        <v>0</v>
      </c>
      <c r="G46" s="144">
        <v>0</v>
      </c>
      <c r="H46" s="144">
        <v>0</v>
      </c>
      <c r="I46" s="144">
        <v>202115.99</v>
      </c>
      <c r="J46" s="144">
        <v>202115.99</v>
      </c>
      <c r="K46" s="144">
        <v>0</v>
      </c>
      <c r="L46" s="144">
        <v>0</v>
      </c>
    </row>
    <row r="47" spans="1:12">
      <c r="A47" s="221" t="s">
        <v>107</v>
      </c>
      <c r="B47" s="103" t="s">
        <v>946</v>
      </c>
      <c r="C47" s="135">
        <v>0</v>
      </c>
      <c r="D47" s="135">
        <v>0</v>
      </c>
      <c r="E47" s="135">
        <v>0</v>
      </c>
      <c r="F47" s="135">
        <v>0</v>
      </c>
      <c r="G47" s="135">
        <v>0</v>
      </c>
      <c r="H47" s="135">
        <v>0</v>
      </c>
      <c r="I47" s="135">
        <v>0</v>
      </c>
      <c r="J47" s="135">
        <v>0</v>
      </c>
      <c r="K47" s="135">
        <v>0</v>
      </c>
      <c r="L47" s="135">
        <v>0</v>
      </c>
    </row>
    <row r="48" spans="1:12">
      <c r="A48" s="221" t="s">
        <v>319</v>
      </c>
      <c r="B48" s="103" t="s">
        <v>216</v>
      </c>
      <c r="C48" s="135">
        <v>0</v>
      </c>
      <c r="D48" s="135">
        <v>0</v>
      </c>
      <c r="E48" s="135">
        <v>0</v>
      </c>
      <c r="F48" s="135">
        <v>0</v>
      </c>
      <c r="G48" s="135">
        <v>0</v>
      </c>
      <c r="H48" s="135">
        <v>0</v>
      </c>
      <c r="I48" s="135">
        <v>0</v>
      </c>
      <c r="J48" s="135">
        <v>0</v>
      </c>
      <c r="K48" s="135">
        <v>0</v>
      </c>
      <c r="L48" s="135">
        <v>0</v>
      </c>
    </row>
    <row r="49" spans="1:12">
      <c r="A49" s="221"/>
      <c r="B49" s="103"/>
      <c r="C49" s="135"/>
      <c r="D49" s="135"/>
      <c r="E49" s="135"/>
      <c r="F49" s="135"/>
      <c r="G49" s="135"/>
      <c r="H49" s="135"/>
      <c r="I49" s="135"/>
      <c r="J49" s="135"/>
      <c r="K49" s="135"/>
      <c r="L49" s="135"/>
    </row>
    <row r="50" spans="1:12">
      <c r="A50" s="221"/>
      <c r="B50" s="103"/>
      <c r="C50" s="135"/>
      <c r="D50" s="135"/>
      <c r="E50" s="135"/>
      <c r="F50" s="135"/>
      <c r="G50" s="135"/>
      <c r="H50" s="135"/>
      <c r="I50" s="135"/>
      <c r="J50" s="135"/>
      <c r="K50" s="135"/>
      <c r="L50" s="135"/>
    </row>
    <row r="51" spans="1:12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zoomScaleSheetLayoutView="100" workbookViewId="0"/>
  </sheetViews>
  <sheetFormatPr defaultColWidth="9.140625" defaultRowHeight="15"/>
  <cols>
    <col min="1" max="1" width="8.28515625" style="181" customWidth="1"/>
    <col min="2" max="2" width="86.140625" style="181" customWidth="1"/>
    <col min="3" max="3" width="4.42578125" style="147" customWidth="1"/>
    <col min="4" max="7" width="15.28515625" style="6" customWidth="1"/>
    <col min="8" max="16384" width="9.140625" style="112"/>
  </cols>
  <sheetData>
    <row r="1" spans="1:7" ht="33.75">
      <c r="A1" s="11" t="s">
        <v>621</v>
      </c>
      <c r="B1" s="11" t="s">
        <v>670</v>
      </c>
      <c r="C1" s="51" t="s">
        <v>752</v>
      </c>
      <c r="D1" s="157" t="s">
        <v>976</v>
      </c>
      <c r="E1" s="157" t="s">
        <v>1069</v>
      </c>
      <c r="F1" s="157" t="s">
        <v>288</v>
      </c>
      <c r="G1" s="157" t="s">
        <v>431</v>
      </c>
    </row>
    <row r="2" spans="1:7">
      <c r="A2" s="103" t="s">
        <v>1110</v>
      </c>
      <c r="B2" s="103" t="s">
        <v>508</v>
      </c>
      <c r="C2" s="221" t="s">
        <v>494</v>
      </c>
      <c r="D2" s="135">
        <v>0</v>
      </c>
      <c r="E2" s="144">
        <v>0</v>
      </c>
      <c r="F2" s="135">
        <v>0</v>
      </c>
      <c r="G2" s="144">
        <v>0</v>
      </c>
    </row>
    <row r="3" spans="1:7">
      <c r="A3" s="103" t="s">
        <v>839</v>
      </c>
      <c r="B3" s="103" t="s">
        <v>84</v>
      </c>
      <c r="C3" s="221" t="s">
        <v>1013</v>
      </c>
      <c r="D3" s="144">
        <v>121728</v>
      </c>
      <c r="E3" s="144">
        <v>113109</v>
      </c>
      <c r="F3" s="144">
        <v>121728</v>
      </c>
      <c r="G3" s="144">
        <v>113109</v>
      </c>
    </row>
    <row r="4" spans="1:7">
      <c r="A4" s="103" t="s">
        <v>393</v>
      </c>
      <c r="B4" s="103" t="s">
        <v>95</v>
      </c>
      <c r="C4" s="221" t="s">
        <v>474</v>
      </c>
      <c r="D4" s="144">
        <v>2760</v>
      </c>
      <c r="E4" s="144">
        <v>2616</v>
      </c>
      <c r="F4" s="144">
        <v>2760</v>
      </c>
      <c r="G4" s="144">
        <v>2616</v>
      </c>
    </row>
    <row r="5" spans="1:7">
      <c r="A5" s="103" t="s">
        <v>495</v>
      </c>
      <c r="B5" s="103" t="s">
        <v>754</v>
      </c>
      <c r="C5" s="221" t="s">
        <v>49</v>
      </c>
      <c r="D5" s="135">
        <v>0</v>
      </c>
      <c r="E5" s="144">
        <v>0</v>
      </c>
      <c r="F5" s="135">
        <v>0</v>
      </c>
      <c r="G5" s="144">
        <v>0</v>
      </c>
    </row>
    <row r="6" spans="1:7">
      <c r="A6" s="103" t="s">
        <v>398</v>
      </c>
      <c r="B6" s="103" t="s">
        <v>1088</v>
      </c>
      <c r="C6" s="221" t="s">
        <v>101</v>
      </c>
      <c r="D6" s="144">
        <v>118968</v>
      </c>
      <c r="E6" s="144">
        <v>108394</v>
      </c>
      <c r="F6" s="144">
        <v>118968</v>
      </c>
      <c r="G6" s="144">
        <v>108394</v>
      </c>
    </row>
    <row r="7" spans="1:7">
      <c r="A7" s="103" t="s">
        <v>250</v>
      </c>
      <c r="B7" s="103" t="s">
        <v>338</v>
      </c>
      <c r="C7" s="221" t="s">
        <v>395</v>
      </c>
      <c r="D7" s="135">
        <v>0</v>
      </c>
      <c r="E7" s="144">
        <v>0</v>
      </c>
      <c r="F7" s="135">
        <v>0</v>
      </c>
      <c r="G7" s="144">
        <v>0</v>
      </c>
    </row>
    <row r="8" spans="1:7">
      <c r="A8" s="103" t="s">
        <v>292</v>
      </c>
      <c r="B8" s="103" t="s">
        <v>687</v>
      </c>
      <c r="C8" s="221" t="s">
        <v>371</v>
      </c>
      <c r="D8" s="135">
        <v>0</v>
      </c>
      <c r="E8" s="144">
        <v>0</v>
      </c>
      <c r="F8" s="135">
        <v>0</v>
      </c>
      <c r="G8" s="144">
        <v>0</v>
      </c>
    </row>
    <row r="9" spans="1:7">
      <c r="A9" s="103" t="s">
        <v>1107</v>
      </c>
      <c r="B9" s="103" t="s">
        <v>375</v>
      </c>
      <c r="C9" s="221" t="s">
        <v>462</v>
      </c>
      <c r="D9" s="135">
        <v>0</v>
      </c>
      <c r="E9" s="144">
        <v>0</v>
      </c>
      <c r="F9" s="135">
        <v>0</v>
      </c>
      <c r="G9" s="144">
        <v>0</v>
      </c>
    </row>
    <row r="10" spans="1:7">
      <c r="A10" s="103" t="s">
        <v>436</v>
      </c>
      <c r="B10" s="103" t="s">
        <v>627</v>
      </c>
      <c r="C10" s="221" t="s">
        <v>487</v>
      </c>
      <c r="D10" s="135">
        <v>0</v>
      </c>
      <c r="E10" s="144">
        <v>2099</v>
      </c>
      <c r="F10" s="135">
        <v>0</v>
      </c>
      <c r="G10" s="144">
        <v>2099</v>
      </c>
    </row>
    <row r="11" spans="1:7">
      <c r="A11" s="103" t="s">
        <v>839</v>
      </c>
      <c r="B11" s="103" t="s">
        <v>1104</v>
      </c>
      <c r="C11" s="221" t="s">
        <v>322</v>
      </c>
      <c r="D11" s="144">
        <v>112554</v>
      </c>
      <c r="E11" s="144">
        <v>100816</v>
      </c>
      <c r="F11" s="144">
        <v>112554</v>
      </c>
      <c r="G11" s="144">
        <v>100816</v>
      </c>
    </row>
    <row r="12" spans="1:7">
      <c r="A12" s="103" t="s">
        <v>791</v>
      </c>
      <c r="B12" s="103" t="s">
        <v>591</v>
      </c>
      <c r="C12" s="221" t="s">
        <v>811</v>
      </c>
      <c r="D12" s="144">
        <v>2151</v>
      </c>
      <c r="E12" s="144">
        <v>1625</v>
      </c>
      <c r="F12" s="144">
        <v>2151</v>
      </c>
      <c r="G12" s="144">
        <v>1625</v>
      </c>
    </row>
    <row r="13" spans="1:7">
      <c r="A13" s="103" t="s">
        <v>306</v>
      </c>
      <c r="B13" s="103" t="s">
        <v>608</v>
      </c>
      <c r="C13" s="221" t="s">
        <v>1099</v>
      </c>
      <c r="D13" s="144">
        <v>5913</v>
      </c>
      <c r="E13" s="144">
        <v>5551</v>
      </c>
      <c r="F13" s="144">
        <v>5913</v>
      </c>
      <c r="G13" s="144">
        <v>5551</v>
      </c>
    </row>
    <row r="14" spans="1:7">
      <c r="A14" s="103" t="s">
        <v>293</v>
      </c>
      <c r="B14" s="103" t="s">
        <v>590</v>
      </c>
      <c r="C14" s="221" t="s">
        <v>366</v>
      </c>
      <c r="D14" s="135">
        <v>0</v>
      </c>
      <c r="E14" s="144">
        <v>0</v>
      </c>
      <c r="F14" s="135">
        <v>0</v>
      </c>
      <c r="G14" s="144">
        <v>0</v>
      </c>
    </row>
    <row r="15" spans="1:7">
      <c r="A15" s="103" t="s">
        <v>149</v>
      </c>
      <c r="B15" s="103" t="s">
        <v>405</v>
      </c>
      <c r="C15" s="221" t="s">
        <v>1097</v>
      </c>
      <c r="D15" s="144">
        <v>12163</v>
      </c>
      <c r="E15" s="144">
        <v>13163</v>
      </c>
      <c r="F15" s="144">
        <v>12163</v>
      </c>
      <c r="G15" s="144">
        <v>13163</v>
      </c>
    </row>
    <row r="16" spans="1:7">
      <c r="A16" s="103" t="s">
        <v>783</v>
      </c>
      <c r="B16" s="103" t="s">
        <v>663</v>
      </c>
      <c r="C16" s="221" t="s">
        <v>1073</v>
      </c>
      <c r="D16" s="144">
        <v>86189</v>
      </c>
      <c r="E16" s="144">
        <v>71621</v>
      </c>
      <c r="F16" s="144">
        <v>86189</v>
      </c>
      <c r="G16" s="144">
        <v>71621</v>
      </c>
    </row>
    <row r="17" spans="1:7">
      <c r="A17" s="103" t="s">
        <v>805</v>
      </c>
      <c r="B17" s="103" t="s">
        <v>382</v>
      </c>
      <c r="C17" s="221" t="s">
        <v>353</v>
      </c>
      <c r="D17" s="144">
        <v>62152</v>
      </c>
      <c r="E17" s="144">
        <v>51914</v>
      </c>
      <c r="F17" s="144">
        <v>62152</v>
      </c>
      <c r="G17" s="144">
        <v>51914</v>
      </c>
    </row>
    <row r="18" spans="1:7">
      <c r="A18" s="103" t="s">
        <v>865</v>
      </c>
      <c r="B18" s="103" t="s">
        <v>984</v>
      </c>
      <c r="C18" s="221" t="s">
        <v>746</v>
      </c>
      <c r="D18" s="135">
        <v>0</v>
      </c>
      <c r="E18" s="144">
        <v>0</v>
      </c>
      <c r="F18" s="135">
        <v>0</v>
      </c>
      <c r="G18" s="144">
        <v>0</v>
      </c>
    </row>
    <row r="19" spans="1:7">
      <c r="A19" s="103" t="s">
        <v>196</v>
      </c>
      <c r="B19" s="103" t="s">
        <v>349</v>
      </c>
      <c r="C19" s="221" t="s">
        <v>1108</v>
      </c>
      <c r="D19" s="144">
        <v>21599</v>
      </c>
      <c r="E19" s="144">
        <v>18193</v>
      </c>
      <c r="F19" s="144">
        <v>21599</v>
      </c>
      <c r="G19" s="144">
        <v>18193</v>
      </c>
    </row>
    <row r="20" spans="1:7">
      <c r="A20" s="103" t="s">
        <v>361</v>
      </c>
      <c r="B20" s="103" t="s">
        <v>260</v>
      </c>
      <c r="C20" s="221" t="s">
        <v>312</v>
      </c>
      <c r="D20" s="144">
        <v>2438</v>
      </c>
      <c r="E20" s="144">
        <v>1514</v>
      </c>
      <c r="F20" s="144">
        <v>2438</v>
      </c>
      <c r="G20" s="144">
        <v>1514</v>
      </c>
    </row>
    <row r="21" spans="1:7">
      <c r="A21" s="103" t="s">
        <v>740</v>
      </c>
      <c r="B21" s="103" t="s">
        <v>65</v>
      </c>
      <c r="C21" s="221" t="s">
        <v>1011</v>
      </c>
      <c r="D21" s="144">
        <v>433</v>
      </c>
      <c r="E21" s="144">
        <v>453</v>
      </c>
      <c r="F21" s="144">
        <v>433</v>
      </c>
      <c r="G21" s="144">
        <v>453</v>
      </c>
    </row>
    <row r="22" spans="1:7">
      <c r="A22" s="103" t="s">
        <v>772</v>
      </c>
      <c r="B22" s="103" t="s">
        <v>210</v>
      </c>
      <c r="C22" s="221" t="s">
        <v>464</v>
      </c>
      <c r="D22" s="144">
        <v>5700</v>
      </c>
      <c r="E22" s="144">
        <v>7101</v>
      </c>
      <c r="F22" s="144">
        <v>5700</v>
      </c>
      <c r="G22" s="144">
        <v>7101</v>
      </c>
    </row>
    <row r="23" spans="1:7">
      <c r="A23" s="103" t="s">
        <v>980</v>
      </c>
      <c r="B23" s="103" t="s">
        <v>823</v>
      </c>
      <c r="C23" s="221" t="s">
        <v>1096</v>
      </c>
      <c r="D23" s="144">
        <v>5700</v>
      </c>
      <c r="E23" s="144">
        <v>7101</v>
      </c>
      <c r="F23" s="144">
        <v>5700</v>
      </c>
      <c r="G23" s="144">
        <v>7101</v>
      </c>
    </row>
    <row r="24" spans="1:7">
      <c r="A24" s="103" t="s">
        <v>865</v>
      </c>
      <c r="B24" s="103" t="s">
        <v>350</v>
      </c>
      <c r="C24" s="221" t="s">
        <v>499</v>
      </c>
      <c r="D24" s="135">
        <v>0</v>
      </c>
      <c r="E24" s="144">
        <v>0</v>
      </c>
      <c r="F24" s="135">
        <v>0</v>
      </c>
      <c r="G24" s="144">
        <v>0</v>
      </c>
    </row>
    <row r="25" spans="1:7">
      <c r="A25" s="103" t="s">
        <v>734</v>
      </c>
      <c r="B25" s="103" t="s">
        <v>166</v>
      </c>
      <c r="C25" s="221" t="s">
        <v>63</v>
      </c>
      <c r="D25" s="135">
        <v>0</v>
      </c>
      <c r="E25" s="144">
        <v>0</v>
      </c>
      <c r="F25" s="135">
        <v>0</v>
      </c>
      <c r="G25" s="144">
        <v>0</v>
      </c>
    </row>
    <row r="26" spans="1:7">
      <c r="A26" s="103" t="s">
        <v>393</v>
      </c>
      <c r="B26" s="103" t="s">
        <v>958</v>
      </c>
      <c r="C26" s="221" t="s">
        <v>430</v>
      </c>
      <c r="D26" s="135">
        <v>0</v>
      </c>
      <c r="E26" s="144">
        <v>994</v>
      </c>
      <c r="F26" s="135">
        <v>0</v>
      </c>
      <c r="G26" s="144">
        <v>994</v>
      </c>
    </row>
    <row r="27" spans="1:7">
      <c r="A27" s="103" t="s">
        <v>354</v>
      </c>
      <c r="B27" s="103" t="s">
        <v>530</v>
      </c>
      <c r="C27" s="221" t="s">
        <v>134</v>
      </c>
      <c r="D27" s="144">
        <v>5</v>
      </c>
      <c r="E27" s="144">
        <v>308</v>
      </c>
      <c r="F27" s="144">
        <v>5</v>
      </c>
      <c r="G27" s="144">
        <v>308</v>
      </c>
    </row>
    <row r="28" spans="1:7">
      <c r="A28" s="103" t="s">
        <v>858</v>
      </c>
      <c r="B28" s="103" t="s">
        <v>123</v>
      </c>
      <c r="C28" s="221" t="s">
        <v>485</v>
      </c>
      <c r="D28" s="144">
        <v>9174</v>
      </c>
      <c r="E28" s="144">
        <v>12293</v>
      </c>
      <c r="F28" s="144">
        <v>9174</v>
      </c>
      <c r="G28" s="144">
        <v>12293</v>
      </c>
    </row>
    <row r="29" spans="1:7">
      <c r="A29" s="103" t="s">
        <v>1110</v>
      </c>
      <c r="B29" s="103" t="s">
        <v>47</v>
      </c>
      <c r="C29" s="221" t="s">
        <v>383</v>
      </c>
      <c r="D29" s="144">
        <v>101501</v>
      </c>
      <c r="E29" s="144">
        <v>90671</v>
      </c>
      <c r="F29" s="144">
        <v>101501</v>
      </c>
      <c r="G29" s="144">
        <v>90671</v>
      </c>
    </row>
    <row r="30" spans="1:7">
      <c r="A30" s="103" t="s">
        <v>839</v>
      </c>
      <c r="B30" s="103" t="s">
        <v>1031</v>
      </c>
      <c r="C30" s="221" t="s">
        <v>406</v>
      </c>
      <c r="D30" s="135">
        <v>0</v>
      </c>
      <c r="E30" s="144">
        <v>0</v>
      </c>
      <c r="F30" s="135">
        <v>0</v>
      </c>
      <c r="G30" s="144">
        <v>0</v>
      </c>
    </row>
    <row r="31" spans="1:7">
      <c r="A31" s="103" t="s">
        <v>1105</v>
      </c>
      <c r="B31" s="103" t="s">
        <v>1092</v>
      </c>
      <c r="C31" s="221" t="s">
        <v>744</v>
      </c>
      <c r="D31" s="135">
        <v>0</v>
      </c>
      <c r="E31" s="144">
        <v>0</v>
      </c>
      <c r="F31" s="135">
        <v>0</v>
      </c>
      <c r="G31" s="144">
        <v>0</v>
      </c>
    </row>
    <row r="32" spans="1:7">
      <c r="A32" s="103" t="s">
        <v>129</v>
      </c>
      <c r="B32" s="103" t="s">
        <v>363</v>
      </c>
      <c r="C32" s="221" t="s">
        <v>246</v>
      </c>
      <c r="D32" s="135">
        <v>0</v>
      </c>
      <c r="E32" s="144">
        <v>0</v>
      </c>
      <c r="F32" s="135">
        <v>0</v>
      </c>
      <c r="G32" s="144">
        <v>0</v>
      </c>
    </row>
    <row r="33" spans="1:7">
      <c r="A33" s="103" t="s">
        <v>898</v>
      </c>
      <c r="B33" s="103" t="s">
        <v>1106</v>
      </c>
      <c r="C33" s="221" t="s">
        <v>493</v>
      </c>
      <c r="D33" s="135">
        <v>0</v>
      </c>
      <c r="E33" s="144">
        <v>0</v>
      </c>
      <c r="F33" s="135">
        <v>0</v>
      </c>
      <c r="G33" s="144">
        <v>0</v>
      </c>
    </row>
    <row r="34" spans="1:7">
      <c r="A34" s="103" t="s">
        <v>865</v>
      </c>
      <c r="B34" s="103" t="s">
        <v>964</v>
      </c>
      <c r="C34" s="221" t="s">
        <v>286</v>
      </c>
      <c r="D34" s="135">
        <v>0</v>
      </c>
      <c r="E34" s="144">
        <v>0</v>
      </c>
      <c r="F34" s="135">
        <v>0</v>
      </c>
      <c r="G34" s="144">
        <v>0</v>
      </c>
    </row>
    <row r="35" spans="1:7">
      <c r="A35" s="103" t="s">
        <v>196</v>
      </c>
      <c r="B35" s="103" t="s">
        <v>555</v>
      </c>
      <c r="C35" s="221" t="s">
        <v>638</v>
      </c>
      <c r="D35" s="135">
        <v>0</v>
      </c>
      <c r="E35" s="144">
        <v>0</v>
      </c>
      <c r="F35" s="135">
        <v>0</v>
      </c>
      <c r="G35" s="144">
        <v>0</v>
      </c>
    </row>
    <row r="36" spans="1:7">
      <c r="A36" s="103" t="s">
        <v>142</v>
      </c>
      <c r="B36" s="103" t="s">
        <v>175</v>
      </c>
      <c r="C36" s="221" t="s">
        <v>920</v>
      </c>
      <c r="D36" s="135">
        <v>0</v>
      </c>
      <c r="E36" s="144">
        <v>0</v>
      </c>
      <c r="F36" s="135">
        <v>0</v>
      </c>
      <c r="G36" s="144">
        <v>0</v>
      </c>
    </row>
    <row r="37" spans="1:7">
      <c r="A37" s="103" t="s">
        <v>682</v>
      </c>
      <c r="B37" s="103" t="s">
        <v>458</v>
      </c>
      <c r="C37" s="221" t="s">
        <v>190</v>
      </c>
      <c r="D37" s="135">
        <v>0</v>
      </c>
      <c r="E37" s="144">
        <v>0</v>
      </c>
      <c r="F37" s="135">
        <v>0</v>
      </c>
      <c r="G37" s="144">
        <v>0</v>
      </c>
    </row>
    <row r="38" spans="1:7">
      <c r="A38" s="103" t="s">
        <v>865</v>
      </c>
      <c r="B38" s="103" t="s">
        <v>947</v>
      </c>
      <c r="C38" s="221" t="s">
        <v>93</v>
      </c>
      <c r="D38" s="135">
        <v>0</v>
      </c>
      <c r="E38" s="144">
        <v>0</v>
      </c>
      <c r="F38" s="135">
        <v>0</v>
      </c>
      <c r="G38" s="144">
        <v>0</v>
      </c>
    </row>
    <row r="39" spans="1:7">
      <c r="A39" s="103" t="s">
        <v>196</v>
      </c>
      <c r="B39" s="103" t="s">
        <v>352</v>
      </c>
      <c r="C39" s="221" t="s">
        <v>247</v>
      </c>
      <c r="D39" s="135">
        <v>0</v>
      </c>
      <c r="E39" s="144">
        <v>0</v>
      </c>
      <c r="F39" s="135">
        <v>0</v>
      </c>
      <c r="G39" s="144">
        <v>0</v>
      </c>
    </row>
    <row r="40" spans="1:7">
      <c r="A40" s="103" t="s">
        <v>580</v>
      </c>
      <c r="B40" s="103" t="s">
        <v>396</v>
      </c>
      <c r="C40" s="221" t="s">
        <v>843</v>
      </c>
      <c r="D40" s="135">
        <v>0</v>
      </c>
      <c r="E40" s="144">
        <v>0</v>
      </c>
      <c r="F40" s="135">
        <v>0</v>
      </c>
      <c r="G40" s="144">
        <v>0</v>
      </c>
    </row>
    <row r="41" spans="1:7">
      <c r="A41" s="103" t="s">
        <v>449</v>
      </c>
      <c r="B41" s="103" t="s">
        <v>1001</v>
      </c>
      <c r="C41" s="221" t="s">
        <v>510</v>
      </c>
      <c r="D41" s="135">
        <v>0</v>
      </c>
      <c r="E41" s="144">
        <v>0</v>
      </c>
      <c r="F41" s="135">
        <v>0</v>
      </c>
      <c r="G41" s="144">
        <v>0</v>
      </c>
    </row>
    <row r="42" spans="1:7">
      <c r="A42" s="103" t="s">
        <v>865</v>
      </c>
      <c r="B42" s="103" t="s">
        <v>759</v>
      </c>
      <c r="C42" s="221" t="s">
        <v>1057</v>
      </c>
      <c r="D42" s="135">
        <v>0</v>
      </c>
      <c r="E42" s="144">
        <v>0</v>
      </c>
      <c r="F42" s="135">
        <v>0</v>
      </c>
      <c r="G42" s="144">
        <v>0</v>
      </c>
    </row>
    <row r="43" spans="1:7">
      <c r="A43" s="103" t="s">
        <v>617</v>
      </c>
      <c r="B43" s="103" t="s">
        <v>413</v>
      </c>
      <c r="C43" s="221" t="s">
        <v>933</v>
      </c>
      <c r="D43" s="135">
        <v>0</v>
      </c>
      <c r="E43" s="144">
        <v>0</v>
      </c>
      <c r="F43" s="135">
        <v>0</v>
      </c>
      <c r="G43" s="144">
        <v>0</v>
      </c>
    </row>
    <row r="44" spans="1:7">
      <c r="A44" s="103" t="s">
        <v>978</v>
      </c>
      <c r="B44" s="103" t="s">
        <v>918</v>
      </c>
      <c r="C44" s="221" t="s">
        <v>324</v>
      </c>
      <c r="D44" s="135">
        <v>0</v>
      </c>
      <c r="E44" s="144">
        <v>0</v>
      </c>
      <c r="F44" s="135">
        <v>0</v>
      </c>
      <c r="G44" s="144">
        <v>0</v>
      </c>
    </row>
    <row r="45" spans="1:7">
      <c r="A45" s="103" t="s">
        <v>171</v>
      </c>
      <c r="B45" s="103" t="s">
        <v>237</v>
      </c>
      <c r="C45" s="221" t="s">
        <v>901</v>
      </c>
      <c r="D45" s="135">
        <v>0</v>
      </c>
      <c r="E45" s="144">
        <v>0</v>
      </c>
      <c r="F45" s="135">
        <v>0</v>
      </c>
      <c r="G45" s="144">
        <v>0</v>
      </c>
    </row>
    <row r="46" spans="1:7">
      <c r="A46" s="103" t="s">
        <v>839</v>
      </c>
      <c r="B46" s="103" t="s">
        <v>831</v>
      </c>
      <c r="C46" s="221" t="s">
        <v>540</v>
      </c>
      <c r="D46" s="144">
        <v>2719</v>
      </c>
      <c r="E46" s="144">
        <v>2273</v>
      </c>
      <c r="F46" s="144">
        <v>2719</v>
      </c>
      <c r="G46" s="144">
        <v>2273</v>
      </c>
    </row>
    <row r="47" spans="1:7">
      <c r="A47" s="103" t="s">
        <v>294</v>
      </c>
      <c r="B47" s="103" t="s">
        <v>836</v>
      </c>
      <c r="C47" s="221" t="s">
        <v>36</v>
      </c>
      <c r="D47" s="135">
        <v>0</v>
      </c>
      <c r="E47" s="144">
        <v>0</v>
      </c>
      <c r="F47" s="135">
        <v>0</v>
      </c>
      <c r="G47" s="144">
        <v>0</v>
      </c>
    </row>
    <row r="48" spans="1:7">
      <c r="A48" s="103" t="s">
        <v>479</v>
      </c>
      <c r="B48" s="103" t="s">
        <v>434</v>
      </c>
      <c r="C48" s="221" t="s">
        <v>551</v>
      </c>
      <c r="D48" s="135">
        <v>0</v>
      </c>
      <c r="E48" s="144">
        <v>0</v>
      </c>
      <c r="F48" s="135">
        <v>0</v>
      </c>
      <c r="G48" s="144">
        <v>0</v>
      </c>
    </row>
    <row r="49" spans="1:7">
      <c r="A49" s="103" t="s">
        <v>651</v>
      </c>
      <c r="B49" s="103" t="s">
        <v>278</v>
      </c>
      <c r="C49" s="221" t="s">
        <v>1034</v>
      </c>
      <c r="D49" s="135">
        <v>0</v>
      </c>
      <c r="E49" s="144">
        <v>0</v>
      </c>
      <c r="F49" s="135">
        <v>0</v>
      </c>
      <c r="G49" s="144">
        <v>0</v>
      </c>
    </row>
    <row r="50" spans="1:7">
      <c r="A50" s="103" t="s">
        <v>402</v>
      </c>
      <c r="B50" s="103" t="s">
        <v>974</v>
      </c>
      <c r="C50" s="221" t="s">
        <v>179</v>
      </c>
      <c r="D50" s="135">
        <v>0</v>
      </c>
      <c r="E50" s="144">
        <v>0</v>
      </c>
      <c r="F50" s="135">
        <v>0</v>
      </c>
      <c r="G50" s="144">
        <v>0</v>
      </c>
    </row>
    <row r="51" spans="1:7">
      <c r="A51" s="103" t="s">
        <v>59</v>
      </c>
      <c r="B51" s="103" t="s">
        <v>894</v>
      </c>
      <c r="C51" s="221" t="s">
        <v>866</v>
      </c>
      <c r="D51" s="135">
        <v>0</v>
      </c>
      <c r="E51" s="144">
        <v>0</v>
      </c>
      <c r="F51" s="135">
        <v>0</v>
      </c>
      <c r="G51" s="144">
        <v>0</v>
      </c>
    </row>
    <row r="52" spans="1:7">
      <c r="A52" s="103" t="s">
        <v>865</v>
      </c>
      <c r="B52" s="103" t="s">
        <v>466</v>
      </c>
      <c r="C52" s="221" t="s">
        <v>31</v>
      </c>
      <c r="D52" s="135">
        <v>0</v>
      </c>
      <c r="E52" s="144">
        <v>0</v>
      </c>
      <c r="F52" s="135">
        <v>0</v>
      </c>
      <c r="G52" s="144">
        <v>0</v>
      </c>
    </row>
    <row r="53" spans="1:7">
      <c r="A53" s="103" t="s">
        <v>1100</v>
      </c>
      <c r="B53" s="103" t="s">
        <v>114</v>
      </c>
      <c r="C53" s="221" t="s">
        <v>547</v>
      </c>
      <c r="D53" s="144">
        <v>2</v>
      </c>
      <c r="E53" s="144">
        <v>0</v>
      </c>
      <c r="F53" s="144">
        <v>2</v>
      </c>
      <c r="G53" s="144">
        <v>0</v>
      </c>
    </row>
    <row r="54" spans="1:7">
      <c r="A54" s="103" t="s">
        <v>411</v>
      </c>
      <c r="B54" s="103" t="s">
        <v>440</v>
      </c>
      <c r="C54" s="221" t="s">
        <v>477</v>
      </c>
      <c r="D54" s="135">
        <v>0</v>
      </c>
      <c r="E54" s="144">
        <v>0</v>
      </c>
      <c r="F54" s="135">
        <v>0</v>
      </c>
      <c r="G54" s="144">
        <v>0</v>
      </c>
    </row>
    <row r="55" spans="1:7">
      <c r="A55" s="103" t="s">
        <v>747</v>
      </c>
      <c r="B55" s="103" t="s">
        <v>390</v>
      </c>
      <c r="C55" s="221" t="s">
        <v>700</v>
      </c>
      <c r="D55" s="144">
        <v>2717</v>
      </c>
      <c r="E55" s="144">
        <v>2273</v>
      </c>
      <c r="F55" s="144">
        <v>2717</v>
      </c>
      <c r="G55" s="144">
        <v>2273</v>
      </c>
    </row>
    <row r="56" spans="1:7">
      <c r="A56" s="103" t="s">
        <v>858</v>
      </c>
      <c r="B56" s="103" t="s">
        <v>280</v>
      </c>
      <c r="C56" s="221" t="s">
        <v>1066</v>
      </c>
      <c r="D56" s="144">
        <v>-2719</v>
      </c>
      <c r="E56" s="144">
        <v>-2273</v>
      </c>
      <c r="F56" s="144">
        <v>-2719</v>
      </c>
      <c r="G56" s="144">
        <v>-2273</v>
      </c>
    </row>
    <row r="57" spans="1:7">
      <c r="A57" s="103" t="s">
        <v>697</v>
      </c>
      <c r="B57" s="103" t="s">
        <v>1083</v>
      </c>
      <c r="C57" s="221" t="s">
        <v>185</v>
      </c>
      <c r="D57" s="144">
        <v>6455</v>
      </c>
      <c r="E57" s="144">
        <v>10020</v>
      </c>
      <c r="F57" s="144">
        <v>6455</v>
      </c>
      <c r="G57" s="144">
        <v>10020</v>
      </c>
    </row>
    <row r="58" spans="1:7">
      <c r="A58" s="103" t="s">
        <v>775</v>
      </c>
      <c r="B58" s="103" t="s">
        <v>594</v>
      </c>
      <c r="C58" s="221" t="s">
        <v>281</v>
      </c>
      <c r="D58" s="144">
        <v>1357</v>
      </c>
      <c r="E58" s="144">
        <v>2460</v>
      </c>
      <c r="F58" s="144">
        <v>1357</v>
      </c>
      <c r="G58" s="144">
        <v>2460</v>
      </c>
    </row>
    <row r="59" spans="1:7">
      <c r="A59" s="103" t="s">
        <v>457</v>
      </c>
      <c r="B59" s="103" t="s">
        <v>751</v>
      </c>
      <c r="C59" s="221" t="s">
        <v>537</v>
      </c>
      <c r="D59" s="144">
        <v>1357</v>
      </c>
      <c r="E59" s="144">
        <v>2460</v>
      </c>
      <c r="F59" s="144">
        <v>1357</v>
      </c>
      <c r="G59" s="144">
        <v>2460</v>
      </c>
    </row>
    <row r="60" spans="1:7">
      <c r="A60" s="103" t="s">
        <v>865</v>
      </c>
      <c r="B60" s="103" t="s">
        <v>201</v>
      </c>
      <c r="C60" s="221" t="s">
        <v>548</v>
      </c>
      <c r="D60" s="135">
        <v>0</v>
      </c>
      <c r="E60" s="144">
        <v>0</v>
      </c>
      <c r="F60" s="135">
        <v>0</v>
      </c>
      <c r="G60" s="144">
        <v>0</v>
      </c>
    </row>
    <row r="61" spans="1:7">
      <c r="A61" s="103" t="s">
        <v>1093</v>
      </c>
      <c r="B61" s="103" t="s">
        <v>421</v>
      </c>
      <c r="C61" s="221" t="s">
        <v>556</v>
      </c>
      <c r="D61" s="135">
        <v>0</v>
      </c>
      <c r="E61" s="144">
        <v>0</v>
      </c>
      <c r="F61" s="135">
        <v>0</v>
      </c>
      <c r="G61" s="144">
        <v>0</v>
      </c>
    </row>
    <row r="62" spans="1:7">
      <c r="A62" s="103" t="s">
        <v>697</v>
      </c>
      <c r="B62" s="103" t="s">
        <v>929</v>
      </c>
      <c r="C62" s="221" t="s">
        <v>808</v>
      </c>
      <c r="D62" s="144">
        <v>5098</v>
      </c>
      <c r="E62" s="144">
        <v>7560</v>
      </c>
      <c r="F62" s="144">
        <v>5098</v>
      </c>
      <c r="G62" s="144">
        <v>7560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topLeftCell="A45" zoomScaleSheetLayoutView="100" workbookViewId="0"/>
  </sheetViews>
  <sheetFormatPr defaultColWidth="9.140625" defaultRowHeight="15"/>
  <cols>
    <col min="1" max="1" width="8.28515625" style="2" customWidth="1"/>
    <col min="2" max="2" width="86.1406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33.75">
      <c r="A1" s="11" t="s">
        <v>621</v>
      </c>
      <c r="B1" s="11" t="s">
        <v>670</v>
      </c>
      <c r="C1" s="51" t="s">
        <v>752</v>
      </c>
      <c r="D1" s="157" t="s">
        <v>976</v>
      </c>
      <c r="E1" s="157" t="s">
        <v>1069</v>
      </c>
      <c r="F1" s="157" t="s">
        <v>288</v>
      </c>
      <c r="G1" s="157" t="s">
        <v>431</v>
      </c>
    </row>
    <row r="2" spans="1:7">
      <c r="A2" s="70" t="s">
        <v>1110</v>
      </c>
      <c r="B2" s="70" t="s">
        <v>508</v>
      </c>
      <c r="C2" s="246" t="s">
        <v>494</v>
      </c>
      <c r="D2" s="162">
        <v>0</v>
      </c>
      <c r="E2" s="176">
        <v>0</v>
      </c>
      <c r="F2" s="162">
        <v>0</v>
      </c>
      <c r="G2" s="176">
        <v>0</v>
      </c>
    </row>
    <row r="3" spans="1:7">
      <c r="A3" s="70" t="s">
        <v>839</v>
      </c>
      <c r="B3" s="70" t="s">
        <v>84</v>
      </c>
      <c r="C3" s="246" t="s">
        <v>1013</v>
      </c>
      <c r="D3" s="144">
        <v>113109</v>
      </c>
      <c r="E3" s="144">
        <v>132779</v>
      </c>
      <c r="F3" s="144">
        <v>113109</v>
      </c>
      <c r="G3" s="144">
        <v>132779</v>
      </c>
    </row>
    <row r="4" spans="1:7">
      <c r="A4" s="70" t="s">
        <v>393</v>
      </c>
      <c r="B4" s="70" t="s">
        <v>95</v>
      </c>
      <c r="C4" s="246" t="s">
        <v>474</v>
      </c>
      <c r="D4" s="176">
        <v>2616</v>
      </c>
      <c r="E4" s="176">
        <v>669</v>
      </c>
      <c r="F4" s="176">
        <v>2616</v>
      </c>
      <c r="G4" s="176">
        <v>669</v>
      </c>
    </row>
    <row r="5" spans="1:7">
      <c r="A5" s="70" t="s">
        <v>495</v>
      </c>
      <c r="B5" s="70" t="s">
        <v>754</v>
      </c>
      <c r="C5" s="246" t="s">
        <v>49</v>
      </c>
      <c r="D5" s="162">
        <v>0</v>
      </c>
      <c r="E5" s="176">
        <v>0</v>
      </c>
      <c r="F5" s="162">
        <v>0</v>
      </c>
      <c r="G5" s="176">
        <v>0</v>
      </c>
    </row>
    <row r="6" spans="1:7">
      <c r="A6" s="70" t="s">
        <v>398</v>
      </c>
      <c r="B6" s="70" t="s">
        <v>1088</v>
      </c>
      <c r="C6" s="246" t="s">
        <v>101</v>
      </c>
      <c r="D6" s="176">
        <v>108394</v>
      </c>
      <c r="E6" s="176">
        <v>130695</v>
      </c>
      <c r="F6" s="176">
        <v>108394</v>
      </c>
      <c r="G6" s="176">
        <v>130695</v>
      </c>
    </row>
    <row r="7" spans="1:7">
      <c r="A7" s="70" t="s">
        <v>250</v>
      </c>
      <c r="B7" s="70" t="s">
        <v>338</v>
      </c>
      <c r="C7" s="246" t="s">
        <v>395</v>
      </c>
      <c r="D7" s="162">
        <v>0</v>
      </c>
      <c r="E7" s="176">
        <v>0</v>
      </c>
      <c r="F7" s="162">
        <v>0</v>
      </c>
      <c r="G7" s="176">
        <v>0</v>
      </c>
    </row>
    <row r="8" spans="1:7">
      <c r="A8" s="70" t="s">
        <v>292</v>
      </c>
      <c r="B8" s="70" t="s">
        <v>687</v>
      </c>
      <c r="C8" s="246" t="s">
        <v>371</v>
      </c>
      <c r="D8" s="162">
        <v>0</v>
      </c>
      <c r="E8" s="176">
        <v>0</v>
      </c>
      <c r="F8" s="162">
        <v>0</v>
      </c>
      <c r="G8" s="176">
        <v>0</v>
      </c>
    </row>
    <row r="9" spans="1:7">
      <c r="A9" s="70" t="s">
        <v>1107</v>
      </c>
      <c r="B9" s="70" t="s">
        <v>375</v>
      </c>
      <c r="C9" s="246" t="s">
        <v>462</v>
      </c>
      <c r="D9" s="162">
        <v>0</v>
      </c>
      <c r="E9" s="176">
        <v>1250</v>
      </c>
      <c r="F9" s="162">
        <v>0</v>
      </c>
      <c r="G9" s="176">
        <v>1250</v>
      </c>
    </row>
    <row r="10" spans="1:7">
      <c r="A10" s="70" t="s">
        <v>436</v>
      </c>
      <c r="B10" s="70" t="s">
        <v>627</v>
      </c>
      <c r="C10" s="246" t="s">
        <v>487</v>
      </c>
      <c r="D10" s="176">
        <v>2099</v>
      </c>
      <c r="E10" s="176">
        <v>165</v>
      </c>
      <c r="F10" s="176">
        <v>2099</v>
      </c>
      <c r="G10" s="176">
        <v>165</v>
      </c>
    </row>
    <row r="11" spans="1:7">
      <c r="A11" s="70" t="s">
        <v>839</v>
      </c>
      <c r="B11" s="70" t="s">
        <v>1104</v>
      </c>
      <c r="C11" s="246" t="s">
        <v>322</v>
      </c>
      <c r="D11" s="176">
        <v>100816</v>
      </c>
      <c r="E11" s="176">
        <v>107083</v>
      </c>
      <c r="F11" s="176">
        <v>100816</v>
      </c>
      <c r="G11" s="176">
        <v>107083</v>
      </c>
    </row>
    <row r="12" spans="1:7">
      <c r="A12" s="70" t="s">
        <v>791</v>
      </c>
      <c r="B12" s="70" t="s">
        <v>591</v>
      </c>
      <c r="C12" s="246" t="s">
        <v>811</v>
      </c>
      <c r="D12" s="176">
        <v>1625</v>
      </c>
      <c r="E12" s="176">
        <v>939</v>
      </c>
      <c r="F12" s="176">
        <v>1625</v>
      </c>
      <c r="G12" s="176">
        <v>939</v>
      </c>
    </row>
    <row r="13" spans="1:7">
      <c r="A13" s="70" t="s">
        <v>306</v>
      </c>
      <c r="B13" s="70" t="s">
        <v>608</v>
      </c>
      <c r="C13" s="246" t="s">
        <v>1099</v>
      </c>
      <c r="D13" s="176">
        <v>5551</v>
      </c>
      <c r="E13" s="176">
        <v>7749</v>
      </c>
      <c r="F13" s="176">
        <v>5551</v>
      </c>
      <c r="G13" s="176">
        <v>7749</v>
      </c>
    </row>
    <row r="14" spans="1:7">
      <c r="A14" s="70" t="s">
        <v>293</v>
      </c>
      <c r="B14" s="70" t="s">
        <v>590</v>
      </c>
      <c r="C14" s="246" t="s">
        <v>366</v>
      </c>
      <c r="D14" s="162">
        <v>0</v>
      </c>
      <c r="E14" s="176">
        <v>0</v>
      </c>
      <c r="F14" s="162">
        <v>0</v>
      </c>
      <c r="G14" s="176">
        <v>0</v>
      </c>
    </row>
    <row r="15" spans="1:7">
      <c r="A15" s="70" t="s">
        <v>149</v>
      </c>
      <c r="B15" s="70" t="s">
        <v>405</v>
      </c>
      <c r="C15" s="246" t="s">
        <v>1097</v>
      </c>
      <c r="D15" s="176">
        <v>13163</v>
      </c>
      <c r="E15" s="176">
        <v>11988</v>
      </c>
      <c r="F15" s="176">
        <v>13163</v>
      </c>
      <c r="G15" s="176">
        <v>11988</v>
      </c>
    </row>
    <row r="16" spans="1:7">
      <c r="A16" s="70" t="s">
        <v>783</v>
      </c>
      <c r="B16" s="70" t="s">
        <v>663</v>
      </c>
      <c r="C16" s="246" t="s">
        <v>1073</v>
      </c>
      <c r="D16" s="176">
        <v>71621</v>
      </c>
      <c r="E16" s="176">
        <v>75169</v>
      </c>
      <c r="F16" s="176">
        <v>71621</v>
      </c>
      <c r="G16" s="176">
        <v>75169</v>
      </c>
    </row>
    <row r="17" spans="1:7">
      <c r="A17" s="70" t="s">
        <v>805</v>
      </c>
      <c r="B17" s="70" t="s">
        <v>382</v>
      </c>
      <c r="C17" s="246" t="s">
        <v>353</v>
      </c>
      <c r="D17" s="176">
        <v>51914</v>
      </c>
      <c r="E17" s="176">
        <v>54602</v>
      </c>
      <c r="F17" s="176">
        <v>51914</v>
      </c>
      <c r="G17" s="176">
        <v>54602</v>
      </c>
    </row>
    <row r="18" spans="1:7">
      <c r="A18" s="70" t="s">
        <v>865</v>
      </c>
      <c r="B18" s="70" t="s">
        <v>984</v>
      </c>
      <c r="C18" s="246" t="s">
        <v>746</v>
      </c>
      <c r="D18" s="162">
        <v>0</v>
      </c>
      <c r="E18" s="176">
        <v>0</v>
      </c>
      <c r="F18" s="162">
        <v>0</v>
      </c>
      <c r="G18" s="176">
        <v>0</v>
      </c>
    </row>
    <row r="19" spans="1:7">
      <c r="A19" s="70" t="s">
        <v>196</v>
      </c>
      <c r="B19" s="70" t="s">
        <v>349</v>
      </c>
      <c r="C19" s="246" t="s">
        <v>1108</v>
      </c>
      <c r="D19" s="176">
        <v>18193</v>
      </c>
      <c r="E19" s="176">
        <v>19130</v>
      </c>
      <c r="F19" s="176">
        <v>18193</v>
      </c>
      <c r="G19" s="176">
        <v>19130</v>
      </c>
    </row>
    <row r="20" spans="1:7">
      <c r="A20" s="70" t="s">
        <v>361</v>
      </c>
      <c r="B20" s="70" t="s">
        <v>260</v>
      </c>
      <c r="C20" s="246" t="s">
        <v>312</v>
      </c>
      <c r="D20" s="176">
        <v>1514</v>
      </c>
      <c r="E20" s="176">
        <v>1437</v>
      </c>
      <c r="F20" s="176">
        <v>1514</v>
      </c>
      <c r="G20" s="176">
        <v>1437</v>
      </c>
    </row>
    <row r="21" spans="1:7">
      <c r="A21" s="70" t="s">
        <v>740</v>
      </c>
      <c r="B21" s="70" t="s">
        <v>65</v>
      </c>
      <c r="C21" s="246" t="s">
        <v>1011</v>
      </c>
      <c r="D21" s="176">
        <v>453</v>
      </c>
      <c r="E21" s="176">
        <v>546</v>
      </c>
      <c r="F21" s="176">
        <v>453</v>
      </c>
      <c r="G21" s="176">
        <v>546</v>
      </c>
    </row>
    <row r="22" spans="1:7">
      <c r="A22" s="70" t="s">
        <v>772</v>
      </c>
      <c r="B22" s="70" t="s">
        <v>210</v>
      </c>
      <c r="C22" s="246" t="s">
        <v>464</v>
      </c>
      <c r="D22" s="176">
        <v>7101</v>
      </c>
      <c r="E22" s="176">
        <v>10652</v>
      </c>
      <c r="F22" s="176">
        <v>7101</v>
      </c>
      <c r="G22" s="176">
        <v>10652</v>
      </c>
    </row>
    <row r="23" spans="1:7">
      <c r="A23" s="70" t="s">
        <v>980</v>
      </c>
      <c r="B23" s="70" t="s">
        <v>823</v>
      </c>
      <c r="C23" s="246" t="s">
        <v>1096</v>
      </c>
      <c r="D23" s="176">
        <v>7101</v>
      </c>
      <c r="E23" s="176">
        <v>10652</v>
      </c>
      <c r="F23" s="176">
        <v>7101</v>
      </c>
      <c r="G23" s="176">
        <v>10652</v>
      </c>
    </row>
    <row r="24" spans="1:7">
      <c r="A24" s="70" t="s">
        <v>865</v>
      </c>
      <c r="B24" s="70" t="s">
        <v>350</v>
      </c>
      <c r="C24" s="246" t="s">
        <v>499</v>
      </c>
      <c r="D24" s="162">
        <v>0</v>
      </c>
      <c r="E24" s="176">
        <v>0</v>
      </c>
      <c r="F24" s="162">
        <v>0</v>
      </c>
      <c r="G24" s="176">
        <v>0</v>
      </c>
    </row>
    <row r="25" spans="1:7">
      <c r="A25" s="70" t="s">
        <v>734</v>
      </c>
      <c r="B25" s="70" t="s">
        <v>166</v>
      </c>
      <c r="C25" s="246" t="s">
        <v>63</v>
      </c>
      <c r="D25" s="162">
        <v>0</v>
      </c>
      <c r="E25" s="176">
        <v>0</v>
      </c>
      <c r="F25" s="162">
        <v>0</v>
      </c>
      <c r="G25" s="176">
        <v>0</v>
      </c>
    </row>
    <row r="26" spans="1:7">
      <c r="A26" s="70" t="s">
        <v>393</v>
      </c>
      <c r="B26" s="70" t="s">
        <v>958</v>
      </c>
      <c r="C26" s="246" t="s">
        <v>430</v>
      </c>
      <c r="D26" s="176">
        <v>994</v>
      </c>
      <c r="E26" s="176">
        <v>0</v>
      </c>
      <c r="F26" s="176">
        <v>994</v>
      </c>
      <c r="G26" s="176">
        <v>0</v>
      </c>
    </row>
    <row r="27" spans="1:7">
      <c r="A27" s="70" t="s">
        <v>354</v>
      </c>
      <c r="B27" s="70" t="s">
        <v>530</v>
      </c>
      <c r="C27" s="246" t="s">
        <v>134</v>
      </c>
      <c r="D27" s="176">
        <v>308</v>
      </c>
      <c r="E27" s="176">
        <v>40</v>
      </c>
      <c r="F27" s="176">
        <v>308</v>
      </c>
      <c r="G27" s="176">
        <v>40</v>
      </c>
    </row>
    <row r="28" spans="1:7">
      <c r="A28" s="70" t="s">
        <v>858</v>
      </c>
      <c r="B28" s="70" t="s">
        <v>123</v>
      </c>
      <c r="C28" s="246" t="s">
        <v>485</v>
      </c>
      <c r="D28" s="176">
        <v>12293</v>
      </c>
      <c r="E28" s="176">
        <v>25696</v>
      </c>
      <c r="F28" s="176">
        <v>12293</v>
      </c>
      <c r="G28" s="176">
        <v>25696</v>
      </c>
    </row>
    <row r="29" spans="1:7">
      <c r="A29" s="70" t="s">
        <v>1110</v>
      </c>
      <c r="B29" s="70" t="s">
        <v>47</v>
      </c>
      <c r="C29" s="246" t="s">
        <v>383</v>
      </c>
      <c r="D29" s="176">
        <v>90671</v>
      </c>
      <c r="E29" s="176">
        <v>110688</v>
      </c>
      <c r="F29" s="176">
        <v>90671</v>
      </c>
      <c r="G29" s="176">
        <v>110688</v>
      </c>
    </row>
    <row r="30" spans="1:7">
      <c r="A30" s="70" t="s">
        <v>839</v>
      </c>
      <c r="B30" s="70" t="s">
        <v>1031</v>
      </c>
      <c r="C30" s="246" t="s">
        <v>406</v>
      </c>
      <c r="D30" s="162">
        <v>0</v>
      </c>
      <c r="E30" s="176">
        <v>0</v>
      </c>
      <c r="F30" s="162">
        <v>0</v>
      </c>
      <c r="G30" s="176">
        <v>0</v>
      </c>
    </row>
    <row r="31" spans="1:7">
      <c r="A31" s="70" t="s">
        <v>1105</v>
      </c>
      <c r="B31" s="70" t="s">
        <v>1092</v>
      </c>
      <c r="C31" s="246" t="s">
        <v>744</v>
      </c>
      <c r="D31" s="162">
        <v>0</v>
      </c>
      <c r="E31" s="176">
        <v>0</v>
      </c>
      <c r="F31" s="162">
        <v>0</v>
      </c>
      <c r="G31" s="176">
        <v>0</v>
      </c>
    </row>
    <row r="32" spans="1:7">
      <c r="A32" s="70" t="s">
        <v>129</v>
      </c>
      <c r="B32" s="70" t="s">
        <v>363</v>
      </c>
      <c r="C32" s="246" t="s">
        <v>246</v>
      </c>
      <c r="D32" s="162">
        <v>0</v>
      </c>
      <c r="E32" s="176">
        <v>0</v>
      </c>
      <c r="F32" s="162">
        <v>0</v>
      </c>
      <c r="G32" s="176">
        <v>0</v>
      </c>
    </row>
    <row r="33" spans="1:7">
      <c r="A33" s="70" t="s">
        <v>898</v>
      </c>
      <c r="B33" s="70" t="s">
        <v>1106</v>
      </c>
      <c r="C33" s="246" t="s">
        <v>493</v>
      </c>
      <c r="D33" s="162">
        <v>0</v>
      </c>
      <c r="E33" s="176">
        <v>0</v>
      </c>
      <c r="F33" s="162">
        <v>0</v>
      </c>
      <c r="G33" s="176">
        <v>0</v>
      </c>
    </row>
    <row r="34" spans="1:7">
      <c r="A34" s="70" t="s">
        <v>865</v>
      </c>
      <c r="B34" s="70" t="s">
        <v>964</v>
      </c>
      <c r="C34" s="246" t="s">
        <v>286</v>
      </c>
      <c r="D34" s="162">
        <v>0</v>
      </c>
      <c r="E34" s="176">
        <v>0</v>
      </c>
      <c r="F34" s="162">
        <v>0</v>
      </c>
      <c r="G34" s="176">
        <v>0</v>
      </c>
    </row>
    <row r="35" spans="1:7">
      <c r="A35" s="70" t="s">
        <v>196</v>
      </c>
      <c r="B35" s="70" t="s">
        <v>555</v>
      </c>
      <c r="C35" s="246" t="s">
        <v>638</v>
      </c>
      <c r="D35" s="162">
        <v>0</v>
      </c>
      <c r="E35" s="176">
        <v>0</v>
      </c>
      <c r="F35" s="162">
        <v>0</v>
      </c>
      <c r="G35" s="176">
        <v>0</v>
      </c>
    </row>
    <row r="36" spans="1:7">
      <c r="A36" s="70" t="s">
        <v>142</v>
      </c>
      <c r="B36" s="70" t="s">
        <v>175</v>
      </c>
      <c r="C36" s="246" t="s">
        <v>920</v>
      </c>
      <c r="D36" s="162">
        <v>0</v>
      </c>
      <c r="E36" s="176">
        <v>0</v>
      </c>
      <c r="F36" s="162">
        <v>0</v>
      </c>
      <c r="G36" s="176">
        <v>0</v>
      </c>
    </row>
    <row r="37" spans="1:7">
      <c r="A37" s="70" t="s">
        <v>682</v>
      </c>
      <c r="B37" s="70" t="s">
        <v>458</v>
      </c>
      <c r="C37" s="246" t="s">
        <v>190</v>
      </c>
      <c r="D37" s="162">
        <v>0</v>
      </c>
      <c r="E37" s="176">
        <v>0</v>
      </c>
      <c r="F37" s="162">
        <v>0</v>
      </c>
      <c r="G37" s="176">
        <v>0</v>
      </c>
    </row>
    <row r="38" spans="1:7">
      <c r="A38" s="70" t="s">
        <v>865</v>
      </c>
      <c r="B38" s="70" t="s">
        <v>947</v>
      </c>
      <c r="C38" s="246" t="s">
        <v>93</v>
      </c>
      <c r="D38" s="162">
        <v>0</v>
      </c>
      <c r="E38" s="176">
        <v>0</v>
      </c>
      <c r="F38" s="162">
        <v>0</v>
      </c>
      <c r="G38" s="176">
        <v>0</v>
      </c>
    </row>
    <row r="39" spans="1:7">
      <c r="A39" s="70" t="s">
        <v>196</v>
      </c>
      <c r="B39" s="70" t="s">
        <v>352</v>
      </c>
      <c r="C39" s="246" t="s">
        <v>247</v>
      </c>
      <c r="D39" s="162">
        <v>0</v>
      </c>
      <c r="E39" s="176">
        <v>0</v>
      </c>
      <c r="F39" s="162">
        <v>0</v>
      </c>
      <c r="G39" s="176">
        <v>0</v>
      </c>
    </row>
    <row r="40" spans="1:7">
      <c r="A40" s="70" t="s">
        <v>580</v>
      </c>
      <c r="B40" s="70" t="s">
        <v>396</v>
      </c>
      <c r="C40" s="246" t="s">
        <v>843</v>
      </c>
      <c r="D40" s="162">
        <v>0</v>
      </c>
      <c r="E40" s="176">
        <v>0</v>
      </c>
      <c r="F40" s="162">
        <v>0</v>
      </c>
      <c r="G40" s="176">
        <v>0</v>
      </c>
    </row>
    <row r="41" spans="1:7">
      <c r="A41" s="70" t="s">
        <v>449</v>
      </c>
      <c r="B41" s="70" t="s">
        <v>1001</v>
      </c>
      <c r="C41" s="246" t="s">
        <v>510</v>
      </c>
      <c r="D41" s="162">
        <v>0</v>
      </c>
      <c r="E41" s="176">
        <v>0</v>
      </c>
      <c r="F41" s="162">
        <v>0</v>
      </c>
      <c r="G41" s="176">
        <v>0</v>
      </c>
    </row>
    <row r="42" spans="1:7">
      <c r="A42" s="70" t="s">
        <v>865</v>
      </c>
      <c r="B42" s="70" t="s">
        <v>759</v>
      </c>
      <c r="C42" s="246" t="s">
        <v>1057</v>
      </c>
      <c r="D42" s="162">
        <v>0</v>
      </c>
      <c r="E42" s="176">
        <v>0</v>
      </c>
      <c r="F42" s="162">
        <v>0</v>
      </c>
      <c r="G42" s="176">
        <v>0</v>
      </c>
    </row>
    <row r="43" spans="1:7">
      <c r="A43" s="70" t="s">
        <v>617</v>
      </c>
      <c r="B43" s="70" t="s">
        <v>413</v>
      </c>
      <c r="C43" s="246" t="s">
        <v>933</v>
      </c>
      <c r="D43" s="162">
        <v>0</v>
      </c>
      <c r="E43" s="176">
        <v>0</v>
      </c>
      <c r="F43" s="162">
        <v>0</v>
      </c>
      <c r="G43" s="176">
        <v>0</v>
      </c>
    </row>
    <row r="44" spans="1:7">
      <c r="A44" s="70" t="s">
        <v>978</v>
      </c>
      <c r="B44" s="70" t="s">
        <v>918</v>
      </c>
      <c r="C44" s="246" t="s">
        <v>324</v>
      </c>
      <c r="D44" s="162">
        <v>0</v>
      </c>
      <c r="E44" s="176">
        <v>0</v>
      </c>
      <c r="F44" s="162">
        <v>0</v>
      </c>
      <c r="G44" s="176">
        <v>0</v>
      </c>
    </row>
    <row r="45" spans="1:7">
      <c r="A45" s="70" t="s">
        <v>171</v>
      </c>
      <c r="B45" s="70" t="s">
        <v>237</v>
      </c>
      <c r="C45" s="246" t="s">
        <v>901</v>
      </c>
      <c r="D45" s="162">
        <v>0</v>
      </c>
      <c r="E45" s="176">
        <v>0</v>
      </c>
      <c r="F45" s="162">
        <v>0</v>
      </c>
      <c r="G45" s="176">
        <v>0</v>
      </c>
    </row>
    <row r="46" spans="1:7">
      <c r="A46" s="70" t="s">
        <v>839</v>
      </c>
      <c r="B46" s="70" t="s">
        <v>831</v>
      </c>
      <c r="C46" s="246" t="s">
        <v>540</v>
      </c>
      <c r="D46" s="176">
        <v>2273</v>
      </c>
      <c r="E46" s="176">
        <v>2863</v>
      </c>
      <c r="F46" s="176">
        <v>2273</v>
      </c>
      <c r="G46" s="176">
        <v>2863</v>
      </c>
    </row>
    <row r="47" spans="1:7">
      <c r="A47" s="70" t="s">
        <v>294</v>
      </c>
      <c r="B47" s="70" t="s">
        <v>836</v>
      </c>
      <c r="C47" s="246" t="s">
        <v>36</v>
      </c>
      <c r="D47" s="162">
        <v>0</v>
      </c>
      <c r="E47" s="176">
        <v>0</v>
      </c>
      <c r="F47" s="162">
        <v>0</v>
      </c>
      <c r="G47" s="176">
        <v>0</v>
      </c>
    </row>
    <row r="48" spans="1:7">
      <c r="A48" s="70" t="s">
        <v>479</v>
      </c>
      <c r="B48" s="70" t="s">
        <v>434</v>
      </c>
      <c r="C48" s="246" t="s">
        <v>551</v>
      </c>
      <c r="D48" s="162">
        <v>0</v>
      </c>
      <c r="E48" s="176">
        <v>0</v>
      </c>
      <c r="F48" s="162">
        <v>0</v>
      </c>
      <c r="G48" s="176">
        <v>0</v>
      </c>
    </row>
    <row r="49" spans="1:7">
      <c r="A49" s="70" t="s">
        <v>651</v>
      </c>
      <c r="B49" s="70" t="s">
        <v>278</v>
      </c>
      <c r="C49" s="246" t="s">
        <v>1034</v>
      </c>
      <c r="D49" s="162">
        <v>0</v>
      </c>
      <c r="E49" s="176">
        <v>0</v>
      </c>
      <c r="F49" s="162">
        <v>0</v>
      </c>
      <c r="G49" s="176">
        <v>0</v>
      </c>
    </row>
    <row r="50" spans="1:7">
      <c r="A50" s="70" t="s">
        <v>402</v>
      </c>
      <c r="B50" s="70" t="s">
        <v>974</v>
      </c>
      <c r="C50" s="246" t="s">
        <v>179</v>
      </c>
      <c r="D50" s="162">
        <v>0</v>
      </c>
      <c r="E50" s="176">
        <v>0</v>
      </c>
      <c r="F50" s="162">
        <v>0</v>
      </c>
      <c r="G50" s="176">
        <v>0</v>
      </c>
    </row>
    <row r="51" spans="1:7">
      <c r="A51" s="70" t="s">
        <v>59</v>
      </c>
      <c r="B51" s="70" t="s">
        <v>894</v>
      </c>
      <c r="C51" s="246" t="s">
        <v>866</v>
      </c>
      <c r="D51" s="162">
        <v>0</v>
      </c>
      <c r="E51" s="176">
        <v>0</v>
      </c>
      <c r="F51" s="162">
        <v>0</v>
      </c>
      <c r="G51" s="176">
        <v>0</v>
      </c>
    </row>
    <row r="52" spans="1:7">
      <c r="A52" s="70" t="s">
        <v>865</v>
      </c>
      <c r="B52" s="70" t="s">
        <v>466</v>
      </c>
      <c r="C52" s="246" t="s">
        <v>31</v>
      </c>
      <c r="D52" s="162">
        <v>0</v>
      </c>
      <c r="E52" s="176">
        <v>0</v>
      </c>
      <c r="F52" s="162">
        <v>0</v>
      </c>
      <c r="G52" s="176">
        <v>0</v>
      </c>
    </row>
    <row r="53" spans="1:7">
      <c r="A53" s="70" t="s">
        <v>1100</v>
      </c>
      <c r="B53" s="70" t="s">
        <v>114</v>
      </c>
      <c r="C53" s="246" t="s">
        <v>547</v>
      </c>
      <c r="D53" s="162">
        <v>0</v>
      </c>
      <c r="E53" s="176">
        <v>1</v>
      </c>
      <c r="F53" s="162">
        <v>0</v>
      </c>
      <c r="G53" s="176">
        <v>1</v>
      </c>
    </row>
    <row r="54" spans="1:7">
      <c r="A54" s="70" t="s">
        <v>411</v>
      </c>
      <c r="B54" s="70" t="s">
        <v>440</v>
      </c>
      <c r="C54" s="246" t="s">
        <v>477</v>
      </c>
      <c r="D54" s="162">
        <v>0</v>
      </c>
      <c r="E54" s="176">
        <v>0</v>
      </c>
      <c r="F54" s="162">
        <v>0</v>
      </c>
      <c r="G54" s="176">
        <v>0</v>
      </c>
    </row>
    <row r="55" spans="1:7">
      <c r="A55" s="70" t="s">
        <v>747</v>
      </c>
      <c r="B55" s="70" t="s">
        <v>390</v>
      </c>
      <c r="C55" s="246" t="s">
        <v>700</v>
      </c>
      <c r="D55" s="176">
        <v>2273</v>
      </c>
      <c r="E55" s="176">
        <v>2862</v>
      </c>
      <c r="F55" s="176">
        <v>2273</v>
      </c>
      <c r="G55" s="176">
        <v>2862</v>
      </c>
    </row>
    <row r="56" spans="1:7">
      <c r="A56" s="70" t="s">
        <v>858</v>
      </c>
      <c r="B56" s="70" t="s">
        <v>280</v>
      </c>
      <c r="C56" s="246" t="s">
        <v>1066</v>
      </c>
      <c r="D56" s="176">
        <v>-2273</v>
      </c>
      <c r="E56" s="176">
        <v>-2863</v>
      </c>
      <c r="F56" s="176">
        <v>-2273</v>
      </c>
      <c r="G56" s="176">
        <v>-2863</v>
      </c>
    </row>
    <row r="57" spans="1:7">
      <c r="A57" s="70" t="s">
        <v>697</v>
      </c>
      <c r="B57" s="70" t="s">
        <v>1083</v>
      </c>
      <c r="C57" s="246" t="s">
        <v>185</v>
      </c>
      <c r="D57" s="176">
        <v>10020</v>
      </c>
      <c r="E57" s="176">
        <v>22833</v>
      </c>
      <c r="F57" s="176">
        <v>10020</v>
      </c>
      <c r="G57" s="176">
        <v>22833</v>
      </c>
    </row>
    <row r="58" spans="1:7">
      <c r="A58" s="70" t="s">
        <v>775</v>
      </c>
      <c r="B58" s="70" t="s">
        <v>594</v>
      </c>
      <c r="C58" s="246" t="s">
        <v>281</v>
      </c>
      <c r="D58" s="176">
        <v>2460</v>
      </c>
      <c r="E58" s="176">
        <v>4803</v>
      </c>
      <c r="F58" s="176">
        <v>2460</v>
      </c>
      <c r="G58" s="176">
        <v>4803</v>
      </c>
    </row>
    <row r="59" spans="1:7">
      <c r="A59" s="70" t="s">
        <v>457</v>
      </c>
      <c r="B59" s="70" t="s">
        <v>751</v>
      </c>
      <c r="C59" s="246" t="s">
        <v>537</v>
      </c>
      <c r="D59" s="176">
        <v>2460</v>
      </c>
      <c r="E59" s="176">
        <v>4803</v>
      </c>
      <c r="F59" s="176">
        <v>2460</v>
      </c>
      <c r="G59" s="176">
        <v>4803</v>
      </c>
    </row>
    <row r="60" spans="1:7">
      <c r="A60" s="70" t="s">
        <v>865</v>
      </c>
      <c r="B60" s="70" t="s">
        <v>201</v>
      </c>
      <c r="C60" s="246" t="s">
        <v>548</v>
      </c>
      <c r="D60" s="162">
        <v>0</v>
      </c>
      <c r="E60" s="176">
        <v>0</v>
      </c>
      <c r="F60" s="162">
        <v>0</v>
      </c>
      <c r="G60" s="176">
        <v>0</v>
      </c>
    </row>
    <row r="61" spans="1:7">
      <c r="A61" s="70" t="s">
        <v>1093</v>
      </c>
      <c r="B61" s="70" t="s">
        <v>421</v>
      </c>
      <c r="C61" s="246" t="s">
        <v>556</v>
      </c>
      <c r="D61" s="162">
        <v>0</v>
      </c>
      <c r="E61" s="176">
        <v>0</v>
      </c>
      <c r="F61" s="162">
        <v>0</v>
      </c>
      <c r="G61" s="176">
        <v>0</v>
      </c>
    </row>
    <row r="62" spans="1:7">
      <c r="A62" s="70" t="s">
        <v>697</v>
      </c>
      <c r="B62" s="70" t="s">
        <v>929</v>
      </c>
      <c r="C62" s="246" t="s">
        <v>808</v>
      </c>
      <c r="D62" s="176">
        <v>7560</v>
      </c>
      <c r="E62" s="176">
        <v>18030</v>
      </c>
      <c r="F62" s="176">
        <v>7560</v>
      </c>
      <c r="G62" s="176">
        <v>18030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rgb="FF0070C0"/>
  </sheetPr>
  <dimension ref="A1:K79"/>
  <sheetViews>
    <sheetView zoomScaleSheetLayoutView="100" workbookViewId="0"/>
  </sheetViews>
  <sheetFormatPr defaultColWidth="9.140625" defaultRowHeight="15"/>
  <cols>
    <col min="1" max="1" width="8.28515625" style="181" customWidth="1"/>
    <col min="2" max="2" width="63.5703125" style="181" customWidth="1"/>
    <col min="3" max="3" width="4.42578125" style="147" customWidth="1"/>
    <col min="4" max="11" width="15.28515625" style="6" customWidth="1"/>
    <col min="12" max="16384" width="9.140625" style="112"/>
  </cols>
  <sheetData>
    <row r="1" spans="1:11" ht="22.5">
      <c r="A1" s="11" t="s">
        <v>621</v>
      </c>
      <c r="B1" s="11" t="s">
        <v>450</v>
      </c>
      <c r="C1" s="51" t="s">
        <v>752</v>
      </c>
      <c r="D1" s="157" t="s">
        <v>1056</v>
      </c>
      <c r="E1" s="157" t="s">
        <v>1049</v>
      </c>
      <c r="F1" s="157" t="s">
        <v>266</v>
      </c>
      <c r="G1" s="157" t="s">
        <v>609</v>
      </c>
      <c r="H1" s="157" t="s">
        <v>283</v>
      </c>
      <c r="I1" s="157" t="s">
        <v>455</v>
      </c>
      <c r="J1" s="157" t="s">
        <v>622</v>
      </c>
      <c r="K1" s="157" t="s">
        <v>431</v>
      </c>
    </row>
    <row r="2" spans="1:11">
      <c r="A2" s="103" t="s">
        <v>923</v>
      </c>
      <c r="B2" s="103" t="s">
        <v>1043</v>
      </c>
      <c r="C2" s="221" t="s">
        <v>895</v>
      </c>
      <c r="D2" s="144">
        <v>205923</v>
      </c>
      <c r="E2" s="144">
        <v>70514</v>
      </c>
      <c r="F2" s="144">
        <v>135409</v>
      </c>
      <c r="G2" s="144">
        <v>130006</v>
      </c>
      <c r="H2" s="144">
        <v>205923</v>
      </c>
      <c r="I2" s="144">
        <v>70514</v>
      </c>
      <c r="J2" s="144">
        <v>135409</v>
      </c>
      <c r="K2" s="144">
        <v>130006</v>
      </c>
    </row>
    <row r="3" spans="1:11">
      <c r="A3" s="103" t="s">
        <v>791</v>
      </c>
      <c r="B3" s="103" t="s">
        <v>1014</v>
      </c>
      <c r="C3" s="221" t="s">
        <v>379</v>
      </c>
      <c r="D3" s="144">
        <v>77098</v>
      </c>
      <c r="E3" s="144">
        <v>69520</v>
      </c>
      <c r="F3" s="144">
        <v>7578</v>
      </c>
      <c r="G3" s="144">
        <v>13278</v>
      </c>
      <c r="H3" s="144">
        <v>77098</v>
      </c>
      <c r="I3" s="144">
        <v>69520</v>
      </c>
      <c r="J3" s="144">
        <v>7578</v>
      </c>
      <c r="K3" s="144">
        <v>13278</v>
      </c>
    </row>
    <row r="4" spans="1:11">
      <c r="A4" s="103" t="s">
        <v>975</v>
      </c>
      <c r="B4" s="103" t="s">
        <v>576</v>
      </c>
      <c r="C4" s="221" t="s">
        <v>66</v>
      </c>
      <c r="D4" s="135">
        <v>0</v>
      </c>
      <c r="E4" s="135">
        <v>0</v>
      </c>
      <c r="F4" s="135">
        <v>0</v>
      </c>
      <c r="G4" s="144">
        <v>0</v>
      </c>
      <c r="H4" s="135">
        <v>0</v>
      </c>
      <c r="I4" s="135">
        <v>0</v>
      </c>
      <c r="J4" s="135">
        <v>0</v>
      </c>
      <c r="K4" s="144">
        <v>0</v>
      </c>
    </row>
    <row r="5" spans="1:11">
      <c r="A5" s="103" t="s">
        <v>630</v>
      </c>
      <c r="B5" s="103" t="s">
        <v>702</v>
      </c>
      <c r="C5" s="221" t="s">
        <v>122</v>
      </c>
      <c r="D5" s="135">
        <v>0</v>
      </c>
      <c r="E5" s="135">
        <v>0</v>
      </c>
      <c r="F5" s="135">
        <v>0</v>
      </c>
      <c r="G5" s="144">
        <v>0</v>
      </c>
      <c r="H5" s="135">
        <v>0</v>
      </c>
      <c r="I5" s="135">
        <v>0</v>
      </c>
      <c r="J5" s="135">
        <v>0</v>
      </c>
      <c r="K5" s="144">
        <v>0</v>
      </c>
    </row>
    <row r="6" spans="1:11">
      <c r="A6" s="103" t="s">
        <v>865</v>
      </c>
      <c r="B6" s="103" t="s">
        <v>662</v>
      </c>
      <c r="C6" s="221" t="s">
        <v>441</v>
      </c>
      <c r="D6" s="135">
        <v>0</v>
      </c>
      <c r="E6" s="135">
        <v>0</v>
      </c>
      <c r="F6" s="135">
        <v>0</v>
      </c>
      <c r="G6" s="144">
        <v>0</v>
      </c>
      <c r="H6" s="135">
        <v>0</v>
      </c>
      <c r="I6" s="135">
        <v>0</v>
      </c>
      <c r="J6" s="135">
        <v>0</v>
      </c>
      <c r="K6" s="144">
        <v>0</v>
      </c>
    </row>
    <row r="7" spans="1:11">
      <c r="A7" s="103" t="s">
        <v>196</v>
      </c>
      <c r="B7" s="103" t="s">
        <v>647</v>
      </c>
      <c r="C7" s="221" t="s">
        <v>635</v>
      </c>
      <c r="D7" s="135">
        <v>0</v>
      </c>
      <c r="E7" s="135">
        <v>0</v>
      </c>
      <c r="F7" s="135">
        <v>0</v>
      </c>
      <c r="G7" s="144">
        <v>0</v>
      </c>
      <c r="H7" s="135">
        <v>0</v>
      </c>
      <c r="I7" s="135">
        <v>0</v>
      </c>
      <c r="J7" s="135">
        <v>0</v>
      </c>
      <c r="K7" s="144">
        <v>0</v>
      </c>
    </row>
    <row r="8" spans="1:11">
      <c r="A8" s="103" t="s">
        <v>361</v>
      </c>
      <c r="B8" s="103" t="s">
        <v>713</v>
      </c>
      <c r="C8" s="221" t="s">
        <v>710</v>
      </c>
      <c r="D8" s="135">
        <v>0</v>
      </c>
      <c r="E8" s="135">
        <v>0</v>
      </c>
      <c r="F8" s="135">
        <v>0</v>
      </c>
      <c r="G8" s="144">
        <v>0</v>
      </c>
      <c r="H8" s="135">
        <v>0</v>
      </c>
      <c r="I8" s="135">
        <v>0</v>
      </c>
      <c r="J8" s="135">
        <v>0</v>
      </c>
      <c r="K8" s="144">
        <v>0</v>
      </c>
    </row>
    <row r="9" spans="1:11">
      <c r="A9" s="103" t="s">
        <v>437</v>
      </c>
      <c r="B9" s="103" t="s">
        <v>472</v>
      </c>
      <c r="C9" s="221" t="s">
        <v>855</v>
      </c>
      <c r="D9" s="135">
        <v>0</v>
      </c>
      <c r="E9" s="135">
        <v>0</v>
      </c>
      <c r="F9" s="135">
        <v>0</v>
      </c>
      <c r="G9" s="144">
        <v>0</v>
      </c>
      <c r="H9" s="135">
        <v>0</v>
      </c>
      <c r="I9" s="135">
        <v>0</v>
      </c>
      <c r="J9" s="135">
        <v>0</v>
      </c>
      <c r="K9" s="144">
        <v>0</v>
      </c>
    </row>
    <row r="10" spans="1:11">
      <c r="A10" s="103" t="s">
        <v>868</v>
      </c>
      <c r="B10" s="103" t="s">
        <v>403</v>
      </c>
      <c r="C10" s="221" t="s">
        <v>528</v>
      </c>
      <c r="D10" s="135">
        <v>0</v>
      </c>
      <c r="E10" s="135">
        <v>0</v>
      </c>
      <c r="F10" s="135">
        <v>0</v>
      </c>
      <c r="G10" s="144">
        <v>0</v>
      </c>
      <c r="H10" s="135">
        <v>0</v>
      </c>
      <c r="I10" s="135">
        <v>0</v>
      </c>
      <c r="J10" s="135">
        <v>0</v>
      </c>
      <c r="K10" s="144">
        <v>0</v>
      </c>
    </row>
    <row r="11" spans="1:11">
      <c r="A11" s="103" t="s">
        <v>915</v>
      </c>
      <c r="B11" s="103" t="s">
        <v>490</v>
      </c>
      <c r="C11" s="221" t="s">
        <v>878</v>
      </c>
      <c r="D11" s="135">
        <v>0</v>
      </c>
      <c r="E11" s="135">
        <v>0</v>
      </c>
      <c r="F11" s="135">
        <v>0</v>
      </c>
      <c r="G11" s="144">
        <v>0</v>
      </c>
      <c r="H11" s="135">
        <v>0</v>
      </c>
      <c r="I11" s="135">
        <v>0</v>
      </c>
      <c r="J11" s="135">
        <v>0</v>
      </c>
      <c r="K11" s="144">
        <v>0</v>
      </c>
    </row>
    <row r="12" spans="1:11">
      <c r="A12" s="103" t="s">
        <v>74</v>
      </c>
      <c r="B12" s="103" t="s">
        <v>857</v>
      </c>
      <c r="C12" s="221" t="s">
        <v>863</v>
      </c>
      <c r="D12" s="144">
        <v>77098</v>
      </c>
      <c r="E12" s="144">
        <v>69520</v>
      </c>
      <c r="F12" s="144">
        <v>7578</v>
      </c>
      <c r="G12" s="144">
        <v>13278</v>
      </c>
      <c r="H12" s="144">
        <v>77098</v>
      </c>
      <c r="I12" s="144">
        <v>69520</v>
      </c>
      <c r="J12" s="144">
        <v>7578</v>
      </c>
      <c r="K12" s="144">
        <v>13278</v>
      </c>
    </row>
    <row r="13" spans="1:11">
      <c r="A13" s="103" t="s">
        <v>454</v>
      </c>
      <c r="B13" s="103" t="s">
        <v>20</v>
      </c>
      <c r="C13" s="221" t="s">
        <v>331</v>
      </c>
      <c r="D13" s="135">
        <v>0</v>
      </c>
      <c r="E13" s="135">
        <v>0</v>
      </c>
      <c r="F13" s="135">
        <v>0</v>
      </c>
      <c r="G13" s="144">
        <v>0</v>
      </c>
      <c r="H13" s="135">
        <v>0</v>
      </c>
      <c r="I13" s="135">
        <v>0</v>
      </c>
      <c r="J13" s="135">
        <v>0</v>
      </c>
      <c r="K13" s="144">
        <v>0</v>
      </c>
    </row>
    <row r="14" spans="1:11">
      <c r="A14" s="103" t="s">
        <v>865</v>
      </c>
      <c r="B14" s="103" t="s">
        <v>461</v>
      </c>
      <c r="C14" s="221" t="s">
        <v>125</v>
      </c>
      <c r="D14" s="135">
        <v>0</v>
      </c>
      <c r="E14" s="135">
        <v>0</v>
      </c>
      <c r="F14" s="135">
        <v>0</v>
      </c>
      <c r="G14" s="144">
        <v>0</v>
      </c>
      <c r="H14" s="135">
        <v>0</v>
      </c>
      <c r="I14" s="135">
        <v>0</v>
      </c>
      <c r="J14" s="135">
        <v>0</v>
      </c>
      <c r="K14" s="144">
        <v>0</v>
      </c>
    </row>
    <row r="15" spans="1:11">
      <c r="A15" s="103" t="s">
        <v>196</v>
      </c>
      <c r="B15" s="103" t="s">
        <v>684</v>
      </c>
      <c r="C15" s="221" t="s">
        <v>111</v>
      </c>
      <c r="D15" s="144">
        <v>77098</v>
      </c>
      <c r="E15" s="144">
        <v>69520</v>
      </c>
      <c r="F15" s="144">
        <v>7578</v>
      </c>
      <c r="G15" s="144">
        <v>13278</v>
      </c>
      <c r="H15" s="144">
        <v>77098</v>
      </c>
      <c r="I15" s="144">
        <v>69520</v>
      </c>
      <c r="J15" s="144">
        <v>7578</v>
      </c>
      <c r="K15" s="144">
        <v>13278</v>
      </c>
    </row>
    <row r="16" spans="1:11">
      <c r="A16" s="103" t="s">
        <v>361</v>
      </c>
      <c r="B16" s="103" t="s">
        <v>1037</v>
      </c>
      <c r="C16" s="221" t="s">
        <v>496</v>
      </c>
      <c r="D16" s="135">
        <v>0</v>
      </c>
      <c r="E16" s="135">
        <v>0</v>
      </c>
      <c r="F16" s="135">
        <v>0</v>
      </c>
      <c r="G16" s="144">
        <v>0</v>
      </c>
      <c r="H16" s="135">
        <v>0</v>
      </c>
      <c r="I16" s="135">
        <v>0</v>
      </c>
      <c r="J16" s="135">
        <v>0</v>
      </c>
      <c r="K16" s="144">
        <v>0</v>
      </c>
    </row>
    <row r="17" spans="1:11">
      <c r="A17" s="103" t="s">
        <v>437</v>
      </c>
      <c r="B17" s="103" t="s">
        <v>907</v>
      </c>
      <c r="C17" s="221" t="s">
        <v>533</v>
      </c>
      <c r="D17" s="135">
        <v>0</v>
      </c>
      <c r="E17" s="135">
        <v>0</v>
      </c>
      <c r="F17" s="135">
        <v>0</v>
      </c>
      <c r="G17" s="144">
        <v>0</v>
      </c>
      <c r="H17" s="135">
        <v>0</v>
      </c>
      <c r="I17" s="135">
        <v>0</v>
      </c>
      <c r="J17" s="135">
        <v>0</v>
      </c>
      <c r="K17" s="144">
        <v>0</v>
      </c>
    </row>
    <row r="18" spans="1:11">
      <c r="A18" s="103" t="s">
        <v>868</v>
      </c>
      <c r="B18" s="103" t="s">
        <v>241</v>
      </c>
      <c r="C18" s="221" t="s">
        <v>409</v>
      </c>
      <c r="D18" s="135">
        <v>0</v>
      </c>
      <c r="E18" s="135">
        <v>0</v>
      </c>
      <c r="F18" s="135">
        <v>0</v>
      </c>
      <c r="G18" s="144">
        <v>0</v>
      </c>
      <c r="H18" s="135">
        <v>0</v>
      </c>
      <c r="I18" s="135">
        <v>0</v>
      </c>
      <c r="J18" s="135">
        <v>0</v>
      </c>
      <c r="K18" s="144">
        <v>0</v>
      </c>
    </row>
    <row r="19" spans="1:11">
      <c r="A19" s="103" t="s">
        <v>915</v>
      </c>
      <c r="B19" s="103" t="s">
        <v>1111</v>
      </c>
      <c r="C19" s="221" t="s">
        <v>16</v>
      </c>
      <c r="D19" s="135">
        <v>0</v>
      </c>
      <c r="E19" s="135">
        <v>0</v>
      </c>
      <c r="F19" s="135">
        <v>0</v>
      </c>
      <c r="G19" s="144">
        <v>0</v>
      </c>
      <c r="H19" s="135">
        <v>0</v>
      </c>
      <c r="I19" s="135">
        <v>0</v>
      </c>
      <c r="J19" s="135">
        <v>0</v>
      </c>
      <c r="K19" s="144">
        <v>0</v>
      </c>
    </row>
    <row r="20" spans="1:11">
      <c r="A20" s="103" t="s">
        <v>832</v>
      </c>
      <c r="B20" s="103" t="s">
        <v>217</v>
      </c>
      <c r="C20" s="221" t="s">
        <v>1007</v>
      </c>
      <c r="D20" s="135">
        <v>0</v>
      </c>
      <c r="E20" s="135">
        <v>0</v>
      </c>
      <c r="F20" s="135">
        <v>0</v>
      </c>
      <c r="G20" s="144">
        <v>0</v>
      </c>
      <c r="H20" s="135">
        <v>0</v>
      </c>
      <c r="I20" s="135">
        <v>0</v>
      </c>
      <c r="J20" s="135">
        <v>0</v>
      </c>
      <c r="K20" s="144">
        <v>0</v>
      </c>
    </row>
    <row r="21" spans="1:11">
      <c r="A21" s="103" t="s">
        <v>27</v>
      </c>
      <c r="B21" s="103" t="s">
        <v>971</v>
      </c>
      <c r="C21" s="221" t="s">
        <v>264</v>
      </c>
      <c r="D21" s="135">
        <v>0</v>
      </c>
      <c r="E21" s="135">
        <v>0</v>
      </c>
      <c r="F21" s="135">
        <v>0</v>
      </c>
      <c r="G21" s="144">
        <v>0</v>
      </c>
      <c r="H21" s="135">
        <v>0</v>
      </c>
      <c r="I21" s="135">
        <v>0</v>
      </c>
      <c r="J21" s="135">
        <v>0</v>
      </c>
      <c r="K21" s="144">
        <v>0</v>
      </c>
    </row>
    <row r="22" spans="1:11">
      <c r="A22" s="103" t="s">
        <v>1046</v>
      </c>
      <c r="B22" s="103" t="s">
        <v>272</v>
      </c>
      <c r="C22" s="221" t="s">
        <v>7</v>
      </c>
      <c r="D22" s="135">
        <v>0</v>
      </c>
      <c r="E22" s="135">
        <v>0</v>
      </c>
      <c r="F22" s="135">
        <v>0</v>
      </c>
      <c r="G22" s="144">
        <v>0</v>
      </c>
      <c r="H22" s="135">
        <v>0</v>
      </c>
      <c r="I22" s="135">
        <v>0</v>
      </c>
      <c r="J22" s="135">
        <v>0</v>
      </c>
      <c r="K22" s="144">
        <v>0</v>
      </c>
    </row>
    <row r="23" spans="1:11">
      <c r="A23" s="103" t="s">
        <v>512</v>
      </c>
      <c r="B23" s="103" t="s">
        <v>874</v>
      </c>
      <c r="C23" s="221" t="s">
        <v>818</v>
      </c>
      <c r="D23" s="135">
        <v>0</v>
      </c>
      <c r="E23" s="135">
        <v>0</v>
      </c>
      <c r="F23" s="135">
        <v>0</v>
      </c>
      <c r="G23" s="144">
        <v>0</v>
      </c>
      <c r="H23" s="135">
        <v>0</v>
      </c>
      <c r="I23" s="135">
        <v>0</v>
      </c>
      <c r="J23" s="135">
        <v>0</v>
      </c>
      <c r="K23" s="144">
        <v>0</v>
      </c>
    </row>
    <row r="24" spans="1:11">
      <c r="A24" s="103" t="s">
        <v>865</v>
      </c>
      <c r="B24" s="103" t="s">
        <v>296</v>
      </c>
      <c r="C24" s="221" t="s">
        <v>983</v>
      </c>
      <c r="D24" s="135">
        <v>0</v>
      </c>
      <c r="E24" s="135">
        <v>0</v>
      </c>
      <c r="F24" s="135">
        <v>0</v>
      </c>
      <c r="G24" s="144">
        <v>0</v>
      </c>
      <c r="H24" s="135">
        <v>0</v>
      </c>
      <c r="I24" s="135">
        <v>0</v>
      </c>
      <c r="J24" s="135">
        <v>0</v>
      </c>
      <c r="K24" s="144">
        <v>0</v>
      </c>
    </row>
    <row r="25" spans="1:11">
      <c r="A25" s="103" t="s">
        <v>196</v>
      </c>
      <c r="B25" s="103" t="s">
        <v>34</v>
      </c>
      <c r="C25" s="221" t="s">
        <v>518</v>
      </c>
      <c r="D25" s="135">
        <v>0</v>
      </c>
      <c r="E25" s="135">
        <v>0</v>
      </c>
      <c r="F25" s="135">
        <v>0</v>
      </c>
      <c r="G25" s="144">
        <v>0</v>
      </c>
      <c r="H25" s="135">
        <v>0</v>
      </c>
      <c r="I25" s="135">
        <v>0</v>
      </c>
      <c r="J25" s="135">
        <v>0</v>
      </c>
      <c r="K25" s="144">
        <v>0</v>
      </c>
    </row>
    <row r="26" spans="1:11">
      <c r="A26" s="103" t="s">
        <v>361</v>
      </c>
      <c r="B26" s="103" t="s">
        <v>112</v>
      </c>
      <c r="C26" s="221" t="s">
        <v>539</v>
      </c>
      <c r="D26" s="135">
        <v>0</v>
      </c>
      <c r="E26" s="135">
        <v>0</v>
      </c>
      <c r="F26" s="135">
        <v>0</v>
      </c>
      <c r="G26" s="144">
        <v>0</v>
      </c>
      <c r="H26" s="135">
        <v>0</v>
      </c>
      <c r="I26" s="135">
        <v>0</v>
      </c>
      <c r="J26" s="135">
        <v>0</v>
      </c>
      <c r="K26" s="144">
        <v>0</v>
      </c>
    </row>
    <row r="27" spans="1:11">
      <c r="A27" s="103" t="s">
        <v>437</v>
      </c>
      <c r="B27" s="103" t="s">
        <v>749</v>
      </c>
      <c r="C27" s="221" t="s">
        <v>48</v>
      </c>
      <c r="D27" s="135">
        <v>0</v>
      </c>
      <c r="E27" s="135">
        <v>0</v>
      </c>
      <c r="F27" s="135">
        <v>0</v>
      </c>
      <c r="G27" s="144">
        <v>0</v>
      </c>
      <c r="H27" s="135">
        <v>0</v>
      </c>
      <c r="I27" s="135">
        <v>0</v>
      </c>
      <c r="J27" s="135">
        <v>0</v>
      </c>
      <c r="K27" s="144">
        <v>0</v>
      </c>
    </row>
    <row r="28" spans="1:11">
      <c r="A28" s="103" t="s">
        <v>868</v>
      </c>
      <c r="B28" s="103" t="s">
        <v>766</v>
      </c>
      <c r="C28" s="221" t="s">
        <v>730</v>
      </c>
      <c r="D28" s="135">
        <v>0</v>
      </c>
      <c r="E28" s="135">
        <v>0</v>
      </c>
      <c r="F28" s="135">
        <v>0</v>
      </c>
      <c r="G28" s="144">
        <v>0</v>
      </c>
      <c r="H28" s="135">
        <v>0</v>
      </c>
      <c r="I28" s="135">
        <v>0</v>
      </c>
      <c r="J28" s="135">
        <v>0</v>
      </c>
      <c r="K28" s="144">
        <v>0</v>
      </c>
    </row>
    <row r="29" spans="1:11">
      <c r="A29" s="103" t="s">
        <v>915</v>
      </c>
      <c r="B29" s="103" t="s">
        <v>645</v>
      </c>
      <c r="C29" s="221" t="s">
        <v>1061</v>
      </c>
      <c r="D29" s="135">
        <v>0</v>
      </c>
      <c r="E29" s="135">
        <v>0</v>
      </c>
      <c r="F29" s="135">
        <v>0</v>
      </c>
      <c r="G29" s="144">
        <v>0</v>
      </c>
      <c r="H29" s="135">
        <v>0</v>
      </c>
      <c r="I29" s="135">
        <v>0</v>
      </c>
      <c r="J29" s="135">
        <v>0</v>
      </c>
      <c r="K29" s="144">
        <v>0</v>
      </c>
    </row>
    <row r="30" spans="1:11">
      <c r="A30" s="103" t="s">
        <v>832</v>
      </c>
      <c r="B30" s="103" t="s">
        <v>1094</v>
      </c>
      <c r="C30" s="221" t="s">
        <v>1103</v>
      </c>
      <c r="D30" s="135">
        <v>0</v>
      </c>
      <c r="E30" s="135">
        <v>0</v>
      </c>
      <c r="F30" s="135">
        <v>0</v>
      </c>
      <c r="G30" s="144">
        <v>0</v>
      </c>
      <c r="H30" s="135">
        <v>0</v>
      </c>
      <c r="I30" s="135">
        <v>0</v>
      </c>
      <c r="J30" s="135">
        <v>0</v>
      </c>
      <c r="K30" s="144">
        <v>0</v>
      </c>
    </row>
    <row r="31" spans="1:11">
      <c r="A31" s="103" t="s">
        <v>27</v>
      </c>
      <c r="B31" s="103" t="s">
        <v>741</v>
      </c>
      <c r="C31" s="221" t="s">
        <v>268</v>
      </c>
      <c r="D31" s="135">
        <v>0</v>
      </c>
      <c r="E31" s="135">
        <v>0</v>
      </c>
      <c r="F31" s="135">
        <v>0</v>
      </c>
      <c r="G31" s="144">
        <v>0</v>
      </c>
      <c r="H31" s="135">
        <v>0</v>
      </c>
      <c r="I31" s="135">
        <v>0</v>
      </c>
      <c r="J31" s="135">
        <v>0</v>
      </c>
      <c r="K31" s="144">
        <v>0</v>
      </c>
    </row>
    <row r="32" spans="1:11">
      <c r="A32" s="103" t="s">
        <v>658</v>
      </c>
      <c r="B32" s="103" t="s">
        <v>104</v>
      </c>
      <c r="C32" s="221" t="s">
        <v>982</v>
      </c>
      <c r="D32" s="135">
        <v>0</v>
      </c>
      <c r="E32" s="135">
        <v>0</v>
      </c>
      <c r="F32" s="135">
        <v>0</v>
      </c>
      <c r="G32" s="144">
        <v>0</v>
      </c>
      <c r="H32" s="135">
        <v>0</v>
      </c>
      <c r="I32" s="135">
        <v>0</v>
      </c>
      <c r="J32" s="135">
        <v>0</v>
      </c>
      <c r="K32" s="144">
        <v>0</v>
      </c>
    </row>
    <row r="33" spans="1:11">
      <c r="A33" s="103" t="s">
        <v>780</v>
      </c>
      <c r="B33" s="103" t="s">
        <v>1058</v>
      </c>
      <c r="C33" s="221" t="s">
        <v>317</v>
      </c>
      <c r="D33" s="135">
        <v>0</v>
      </c>
      <c r="E33" s="135">
        <v>0</v>
      </c>
      <c r="F33" s="135">
        <v>0</v>
      </c>
      <c r="G33" s="144">
        <v>0</v>
      </c>
      <c r="H33" s="135">
        <v>0</v>
      </c>
      <c r="I33" s="135">
        <v>0</v>
      </c>
      <c r="J33" s="135">
        <v>0</v>
      </c>
      <c r="K33" s="144">
        <v>0</v>
      </c>
    </row>
    <row r="34" spans="1:11">
      <c r="A34" s="103" t="s">
        <v>306</v>
      </c>
      <c r="B34" s="103" t="s">
        <v>300</v>
      </c>
      <c r="C34" s="221" t="s">
        <v>615</v>
      </c>
      <c r="D34" s="144">
        <v>128767</v>
      </c>
      <c r="E34" s="144">
        <v>994</v>
      </c>
      <c r="F34" s="144">
        <v>127773</v>
      </c>
      <c r="G34" s="144">
        <v>116661</v>
      </c>
      <c r="H34" s="144">
        <v>128767</v>
      </c>
      <c r="I34" s="144">
        <v>994</v>
      </c>
      <c r="J34" s="144">
        <v>127773</v>
      </c>
      <c r="K34" s="144">
        <v>116661</v>
      </c>
    </row>
    <row r="35" spans="1:11">
      <c r="A35" s="103" t="s">
        <v>1000</v>
      </c>
      <c r="B35" s="103" t="s">
        <v>504</v>
      </c>
      <c r="C35" s="221" t="s">
        <v>480</v>
      </c>
      <c r="D35" s="135">
        <v>0</v>
      </c>
      <c r="E35" s="135">
        <v>0</v>
      </c>
      <c r="F35" s="135">
        <v>0</v>
      </c>
      <c r="G35" s="144">
        <v>0</v>
      </c>
      <c r="H35" s="135">
        <v>0</v>
      </c>
      <c r="I35" s="135">
        <v>0</v>
      </c>
      <c r="J35" s="135">
        <v>0</v>
      </c>
      <c r="K35" s="144">
        <v>0</v>
      </c>
    </row>
    <row r="36" spans="1:11">
      <c r="A36" s="103" t="s">
        <v>238</v>
      </c>
      <c r="B36" s="103" t="s">
        <v>821</v>
      </c>
      <c r="C36" s="221" t="s">
        <v>446</v>
      </c>
      <c r="D36" s="135">
        <v>0</v>
      </c>
      <c r="E36" s="135">
        <v>0</v>
      </c>
      <c r="F36" s="135">
        <v>0</v>
      </c>
      <c r="G36" s="144">
        <v>0</v>
      </c>
      <c r="H36" s="135">
        <v>0</v>
      </c>
      <c r="I36" s="135">
        <v>0</v>
      </c>
      <c r="J36" s="135">
        <v>0</v>
      </c>
      <c r="K36" s="144">
        <v>0</v>
      </c>
    </row>
    <row r="37" spans="1:11">
      <c r="A37" s="103" t="s">
        <v>865</v>
      </c>
      <c r="B37" s="103" t="s">
        <v>686</v>
      </c>
      <c r="C37" s="221" t="s">
        <v>456</v>
      </c>
      <c r="D37" s="135">
        <v>0</v>
      </c>
      <c r="E37" s="135">
        <v>0</v>
      </c>
      <c r="F37" s="135">
        <v>0</v>
      </c>
      <c r="G37" s="144">
        <v>0</v>
      </c>
      <c r="H37" s="135">
        <v>0</v>
      </c>
      <c r="I37" s="135">
        <v>0</v>
      </c>
      <c r="J37" s="135">
        <v>0</v>
      </c>
      <c r="K37" s="144">
        <v>0</v>
      </c>
    </row>
    <row r="38" spans="1:11">
      <c r="A38" s="103" t="s">
        <v>196</v>
      </c>
      <c r="B38" s="103" t="s">
        <v>572</v>
      </c>
      <c r="C38" s="221" t="s">
        <v>582</v>
      </c>
      <c r="D38" s="135">
        <v>0</v>
      </c>
      <c r="E38" s="135">
        <v>0</v>
      </c>
      <c r="F38" s="135">
        <v>0</v>
      </c>
      <c r="G38" s="144">
        <v>0</v>
      </c>
      <c r="H38" s="135">
        <v>0</v>
      </c>
      <c r="I38" s="135">
        <v>0</v>
      </c>
      <c r="J38" s="135">
        <v>0</v>
      </c>
      <c r="K38" s="144">
        <v>0</v>
      </c>
    </row>
    <row r="39" spans="1:11">
      <c r="A39" s="103" t="s">
        <v>361</v>
      </c>
      <c r="B39" s="103" t="s">
        <v>664</v>
      </c>
      <c r="C39" s="221" t="s">
        <v>169</v>
      </c>
      <c r="D39" s="135">
        <v>0</v>
      </c>
      <c r="E39" s="135">
        <v>0</v>
      </c>
      <c r="F39" s="135">
        <v>0</v>
      </c>
      <c r="G39" s="144">
        <v>0</v>
      </c>
      <c r="H39" s="135">
        <v>0</v>
      </c>
      <c r="I39" s="135">
        <v>0</v>
      </c>
      <c r="J39" s="135">
        <v>0</v>
      </c>
      <c r="K39" s="144">
        <v>0</v>
      </c>
    </row>
    <row r="40" spans="1:11">
      <c r="A40" s="103" t="s">
        <v>437</v>
      </c>
      <c r="B40" s="103" t="s">
        <v>394</v>
      </c>
      <c r="C40" s="221" t="s">
        <v>12</v>
      </c>
      <c r="D40" s="135">
        <v>0</v>
      </c>
      <c r="E40" s="135">
        <v>0</v>
      </c>
      <c r="F40" s="135">
        <v>0</v>
      </c>
      <c r="G40" s="144">
        <v>0</v>
      </c>
      <c r="H40" s="135">
        <v>0</v>
      </c>
      <c r="I40" s="135">
        <v>0</v>
      </c>
      <c r="J40" s="135">
        <v>0</v>
      </c>
      <c r="K40" s="144">
        <v>0</v>
      </c>
    </row>
    <row r="41" spans="1:11">
      <c r="A41" s="103" t="s">
        <v>868</v>
      </c>
      <c r="B41" s="103" t="s">
        <v>577</v>
      </c>
      <c r="C41" s="221" t="s">
        <v>763</v>
      </c>
      <c r="D41" s="135">
        <v>0</v>
      </c>
      <c r="E41" s="135">
        <v>0</v>
      </c>
      <c r="F41" s="135">
        <v>0</v>
      </c>
      <c r="G41" s="144">
        <v>0</v>
      </c>
      <c r="H41" s="135">
        <v>0</v>
      </c>
      <c r="I41" s="135">
        <v>0</v>
      </c>
      <c r="J41" s="135">
        <v>0</v>
      </c>
      <c r="K41" s="144">
        <v>0</v>
      </c>
    </row>
    <row r="42" spans="1:11">
      <c r="A42" s="103" t="s">
        <v>335</v>
      </c>
      <c r="B42" s="103" t="s">
        <v>563</v>
      </c>
      <c r="C42" s="221" t="s">
        <v>199</v>
      </c>
      <c r="D42" s="135">
        <v>0</v>
      </c>
      <c r="E42" s="135">
        <v>0</v>
      </c>
      <c r="F42" s="135">
        <v>0</v>
      </c>
      <c r="G42" s="144">
        <v>0</v>
      </c>
      <c r="H42" s="135">
        <v>0</v>
      </c>
      <c r="I42" s="135">
        <v>0</v>
      </c>
      <c r="J42" s="135">
        <v>0</v>
      </c>
      <c r="K42" s="144">
        <v>0</v>
      </c>
    </row>
    <row r="43" spans="1:11">
      <c r="A43" s="103" t="s">
        <v>310</v>
      </c>
      <c r="B43" s="103" t="s">
        <v>298</v>
      </c>
      <c r="C43" s="221" t="s">
        <v>543</v>
      </c>
      <c r="D43" s="135">
        <v>0</v>
      </c>
      <c r="E43" s="135">
        <v>0</v>
      </c>
      <c r="F43" s="135">
        <v>0</v>
      </c>
      <c r="G43" s="144">
        <v>0</v>
      </c>
      <c r="H43" s="135">
        <v>0</v>
      </c>
      <c r="I43" s="135">
        <v>0</v>
      </c>
      <c r="J43" s="135">
        <v>0</v>
      </c>
      <c r="K43" s="144">
        <v>0</v>
      </c>
    </row>
    <row r="44" spans="1:11">
      <c r="A44" s="103" t="s">
        <v>701</v>
      </c>
      <c r="B44" s="103" t="s">
        <v>385</v>
      </c>
      <c r="C44" s="221" t="s">
        <v>1090</v>
      </c>
      <c r="D44" s="135">
        <v>0</v>
      </c>
      <c r="E44" s="135">
        <v>0</v>
      </c>
      <c r="F44" s="135">
        <v>0</v>
      </c>
      <c r="G44" s="144">
        <v>0</v>
      </c>
      <c r="H44" s="135">
        <v>0</v>
      </c>
      <c r="I44" s="135">
        <v>0</v>
      </c>
      <c r="J44" s="135">
        <v>0</v>
      </c>
      <c r="K44" s="144">
        <v>0</v>
      </c>
    </row>
    <row r="45" spans="1:11">
      <c r="A45" s="103" t="s">
        <v>374</v>
      </c>
      <c r="B45" s="103" t="s">
        <v>981</v>
      </c>
      <c r="C45" s="221" t="s">
        <v>465</v>
      </c>
      <c r="D45" s="135">
        <v>0</v>
      </c>
      <c r="E45" s="135">
        <v>0</v>
      </c>
      <c r="F45" s="135">
        <v>0</v>
      </c>
      <c r="G45" s="144">
        <v>0</v>
      </c>
      <c r="H45" s="135">
        <v>0</v>
      </c>
      <c r="I45" s="135">
        <v>0</v>
      </c>
      <c r="J45" s="135">
        <v>0</v>
      </c>
      <c r="K45" s="144">
        <v>0</v>
      </c>
    </row>
    <row r="46" spans="1:11">
      <c r="A46" s="103" t="s">
        <v>433</v>
      </c>
      <c r="B46" s="103" t="s">
        <v>156</v>
      </c>
      <c r="C46" s="221" t="s">
        <v>784</v>
      </c>
      <c r="D46" s="135">
        <v>0</v>
      </c>
      <c r="E46" s="135">
        <v>0</v>
      </c>
      <c r="F46" s="135">
        <v>0</v>
      </c>
      <c r="G46" s="144">
        <v>0</v>
      </c>
      <c r="H46" s="135">
        <v>0</v>
      </c>
      <c r="I46" s="135">
        <v>0</v>
      </c>
      <c r="J46" s="135">
        <v>0</v>
      </c>
      <c r="K46" s="144">
        <v>0</v>
      </c>
    </row>
    <row r="47" spans="1:11">
      <c r="A47" s="103" t="s">
        <v>865</v>
      </c>
      <c r="B47" s="103" t="s">
        <v>718</v>
      </c>
      <c r="C47" s="221" t="s">
        <v>925</v>
      </c>
      <c r="D47" s="135">
        <v>0</v>
      </c>
      <c r="E47" s="135">
        <v>0</v>
      </c>
      <c r="F47" s="135">
        <v>0</v>
      </c>
      <c r="G47" s="144">
        <v>0</v>
      </c>
      <c r="H47" s="135">
        <v>0</v>
      </c>
      <c r="I47" s="135">
        <v>0</v>
      </c>
      <c r="J47" s="135">
        <v>0</v>
      </c>
      <c r="K47" s="144">
        <v>0</v>
      </c>
    </row>
    <row r="48" spans="1:11">
      <c r="A48" s="103" t="s">
        <v>196</v>
      </c>
      <c r="B48" s="103" t="s">
        <v>962</v>
      </c>
      <c r="C48" s="221" t="s">
        <v>938</v>
      </c>
      <c r="D48" s="135">
        <v>0</v>
      </c>
      <c r="E48" s="135">
        <v>0</v>
      </c>
      <c r="F48" s="135">
        <v>0</v>
      </c>
      <c r="G48" s="144">
        <v>0</v>
      </c>
      <c r="H48" s="135">
        <v>0</v>
      </c>
      <c r="I48" s="135">
        <v>0</v>
      </c>
      <c r="J48" s="135">
        <v>0</v>
      </c>
      <c r="K48" s="144">
        <v>0</v>
      </c>
    </row>
    <row r="49" spans="1:11">
      <c r="A49" s="103" t="s">
        <v>361</v>
      </c>
      <c r="B49" s="103" t="s">
        <v>531</v>
      </c>
      <c r="C49" s="221" t="s">
        <v>816</v>
      </c>
      <c r="D49" s="135">
        <v>0</v>
      </c>
      <c r="E49" s="135">
        <v>0</v>
      </c>
      <c r="F49" s="135">
        <v>0</v>
      </c>
      <c r="G49" s="144">
        <v>0</v>
      </c>
      <c r="H49" s="135">
        <v>0</v>
      </c>
      <c r="I49" s="135">
        <v>0</v>
      </c>
      <c r="J49" s="135">
        <v>0</v>
      </c>
      <c r="K49" s="144">
        <v>0</v>
      </c>
    </row>
    <row r="50" spans="1:11">
      <c r="A50" s="103" t="s">
        <v>437</v>
      </c>
      <c r="B50" s="103" t="s">
        <v>135</v>
      </c>
      <c r="C50" s="221" t="s">
        <v>299</v>
      </c>
      <c r="D50" s="135">
        <v>0</v>
      </c>
      <c r="E50" s="135">
        <v>0</v>
      </c>
      <c r="F50" s="135">
        <v>0</v>
      </c>
      <c r="G50" s="144">
        <v>0</v>
      </c>
      <c r="H50" s="135">
        <v>0</v>
      </c>
      <c r="I50" s="135">
        <v>0</v>
      </c>
      <c r="J50" s="135">
        <v>0</v>
      </c>
      <c r="K50" s="144">
        <v>0</v>
      </c>
    </row>
    <row r="51" spans="1:11">
      <c r="A51" s="103" t="s">
        <v>868</v>
      </c>
      <c r="B51" s="103" t="s">
        <v>325</v>
      </c>
      <c r="C51" s="221" t="s">
        <v>756</v>
      </c>
      <c r="D51" s="135">
        <v>0</v>
      </c>
      <c r="E51" s="135">
        <v>0</v>
      </c>
      <c r="F51" s="135">
        <v>0</v>
      </c>
      <c r="G51" s="144">
        <v>0</v>
      </c>
      <c r="H51" s="135">
        <v>0</v>
      </c>
      <c r="I51" s="135">
        <v>0</v>
      </c>
      <c r="J51" s="135">
        <v>0</v>
      </c>
      <c r="K51" s="144">
        <v>0</v>
      </c>
    </row>
    <row r="52" spans="1:11">
      <c r="A52" s="103" t="s">
        <v>915</v>
      </c>
      <c r="B52" s="103" t="s">
        <v>963</v>
      </c>
      <c r="C52" s="221" t="s">
        <v>258</v>
      </c>
      <c r="D52" s="135">
        <v>0</v>
      </c>
      <c r="E52" s="135">
        <v>0</v>
      </c>
      <c r="F52" s="135">
        <v>0</v>
      </c>
      <c r="G52" s="144">
        <v>0</v>
      </c>
      <c r="H52" s="135">
        <v>0</v>
      </c>
      <c r="I52" s="135">
        <v>0</v>
      </c>
      <c r="J52" s="135">
        <v>0</v>
      </c>
      <c r="K52" s="144">
        <v>0</v>
      </c>
    </row>
    <row r="53" spans="1:11">
      <c r="A53" s="103" t="s">
        <v>832</v>
      </c>
      <c r="B53" s="103" t="s">
        <v>23</v>
      </c>
      <c r="C53" s="221" t="s">
        <v>589</v>
      </c>
      <c r="D53" s="135">
        <v>0</v>
      </c>
      <c r="E53" s="135">
        <v>0</v>
      </c>
      <c r="F53" s="135">
        <v>0</v>
      </c>
      <c r="G53" s="144">
        <v>0</v>
      </c>
      <c r="H53" s="135">
        <v>0</v>
      </c>
      <c r="I53" s="135">
        <v>0</v>
      </c>
      <c r="J53" s="135">
        <v>0</v>
      </c>
      <c r="K53" s="144">
        <v>0</v>
      </c>
    </row>
    <row r="54" spans="1:11">
      <c r="A54" s="103" t="s">
        <v>707</v>
      </c>
      <c r="B54" s="103" t="s">
        <v>228</v>
      </c>
      <c r="C54" s="221" t="s">
        <v>529</v>
      </c>
      <c r="D54" s="144">
        <v>14366</v>
      </c>
      <c r="E54" s="144">
        <v>994</v>
      </c>
      <c r="F54" s="144">
        <v>13372</v>
      </c>
      <c r="G54" s="144">
        <v>12640</v>
      </c>
      <c r="H54" s="144">
        <v>14366</v>
      </c>
      <c r="I54" s="144">
        <v>994</v>
      </c>
      <c r="J54" s="144">
        <v>13372</v>
      </c>
      <c r="K54" s="144">
        <v>12640</v>
      </c>
    </row>
    <row r="55" spans="1:11">
      <c r="A55" s="103" t="s">
        <v>1101</v>
      </c>
      <c r="B55" s="103" t="s">
        <v>607</v>
      </c>
      <c r="C55" s="221" t="s">
        <v>318</v>
      </c>
      <c r="D55" s="144">
        <v>14196</v>
      </c>
      <c r="E55" s="144">
        <v>994</v>
      </c>
      <c r="F55" s="144">
        <v>13202</v>
      </c>
      <c r="G55" s="144">
        <v>12470</v>
      </c>
      <c r="H55" s="144">
        <v>14196</v>
      </c>
      <c r="I55" s="144">
        <v>994</v>
      </c>
      <c r="J55" s="144">
        <v>13202</v>
      </c>
      <c r="K55" s="144">
        <v>12470</v>
      </c>
    </row>
    <row r="56" spans="1:11">
      <c r="A56" s="103" t="s">
        <v>701</v>
      </c>
      <c r="B56" s="103" t="s">
        <v>385</v>
      </c>
      <c r="C56" s="221" t="s">
        <v>936</v>
      </c>
      <c r="D56" s="135">
        <v>0</v>
      </c>
      <c r="E56" s="135">
        <v>0</v>
      </c>
      <c r="F56" s="135">
        <v>0</v>
      </c>
      <c r="G56" s="144">
        <v>0</v>
      </c>
      <c r="H56" s="135">
        <v>0</v>
      </c>
      <c r="I56" s="135">
        <v>0</v>
      </c>
      <c r="J56" s="135">
        <v>0</v>
      </c>
      <c r="K56" s="144">
        <v>0</v>
      </c>
    </row>
    <row r="57" spans="1:11">
      <c r="A57" s="103" t="s">
        <v>374</v>
      </c>
      <c r="B57" s="103" t="s">
        <v>981</v>
      </c>
      <c r="C57" s="221" t="s">
        <v>295</v>
      </c>
      <c r="D57" s="135">
        <v>0</v>
      </c>
      <c r="E57" s="135">
        <v>0</v>
      </c>
      <c r="F57" s="135">
        <v>0</v>
      </c>
      <c r="G57" s="144">
        <v>0</v>
      </c>
      <c r="H57" s="135">
        <v>0</v>
      </c>
      <c r="I57" s="135">
        <v>0</v>
      </c>
      <c r="J57" s="135">
        <v>0</v>
      </c>
      <c r="K57" s="144">
        <v>0</v>
      </c>
    </row>
    <row r="58" spans="1:11">
      <c r="A58" s="103" t="s">
        <v>433</v>
      </c>
      <c r="B58" s="103" t="s">
        <v>156</v>
      </c>
      <c r="C58" s="221" t="s">
        <v>1082</v>
      </c>
      <c r="D58" s="144">
        <v>14196</v>
      </c>
      <c r="E58" s="144">
        <v>994</v>
      </c>
      <c r="F58" s="144">
        <v>13202</v>
      </c>
      <c r="G58" s="144">
        <v>12470</v>
      </c>
      <c r="H58" s="144">
        <v>14196</v>
      </c>
      <c r="I58" s="144">
        <v>994</v>
      </c>
      <c r="J58" s="144">
        <v>13202</v>
      </c>
      <c r="K58" s="144">
        <v>12470</v>
      </c>
    </row>
    <row r="59" spans="1:11">
      <c r="A59" s="103" t="s">
        <v>865</v>
      </c>
      <c r="B59" s="103" t="s">
        <v>718</v>
      </c>
      <c r="C59" s="221" t="s">
        <v>564</v>
      </c>
      <c r="D59" s="135">
        <v>0</v>
      </c>
      <c r="E59" s="135">
        <v>0</v>
      </c>
      <c r="F59" s="135">
        <v>0</v>
      </c>
      <c r="G59" s="144">
        <v>0</v>
      </c>
      <c r="H59" s="135">
        <v>0</v>
      </c>
      <c r="I59" s="135">
        <v>0</v>
      </c>
      <c r="J59" s="135">
        <v>0</v>
      </c>
      <c r="K59" s="144">
        <v>0</v>
      </c>
    </row>
    <row r="60" spans="1:11">
      <c r="A60" s="103" t="s">
        <v>196</v>
      </c>
      <c r="B60" s="103" t="s">
        <v>962</v>
      </c>
      <c r="C60" s="221" t="s">
        <v>351</v>
      </c>
      <c r="D60" s="135">
        <v>0</v>
      </c>
      <c r="E60" s="135">
        <v>0</v>
      </c>
      <c r="F60" s="135">
        <v>0</v>
      </c>
      <c r="G60" s="144">
        <v>0</v>
      </c>
      <c r="H60" s="135">
        <v>0</v>
      </c>
      <c r="I60" s="135">
        <v>0</v>
      </c>
      <c r="J60" s="135">
        <v>0</v>
      </c>
      <c r="K60" s="144">
        <v>0</v>
      </c>
    </row>
    <row r="61" spans="1:11">
      <c r="A61" s="103" t="s">
        <v>361</v>
      </c>
      <c r="B61" s="103" t="s">
        <v>531</v>
      </c>
      <c r="C61" s="221" t="s">
        <v>1005</v>
      </c>
      <c r="D61" s="135">
        <v>0</v>
      </c>
      <c r="E61" s="135">
        <v>0</v>
      </c>
      <c r="F61" s="135">
        <v>0</v>
      </c>
      <c r="G61" s="144">
        <v>0</v>
      </c>
      <c r="H61" s="135">
        <v>0</v>
      </c>
      <c r="I61" s="135">
        <v>0</v>
      </c>
      <c r="J61" s="135">
        <v>0</v>
      </c>
      <c r="K61" s="144">
        <v>0</v>
      </c>
    </row>
    <row r="62" spans="1:11">
      <c r="A62" s="103" t="s">
        <v>437</v>
      </c>
      <c r="B62" s="103" t="s">
        <v>896</v>
      </c>
      <c r="C62" s="221" t="s">
        <v>888</v>
      </c>
      <c r="D62" s="135">
        <v>0</v>
      </c>
      <c r="E62" s="135">
        <v>0</v>
      </c>
      <c r="F62" s="135">
        <v>0</v>
      </c>
      <c r="G62" s="144">
        <v>0</v>
      </c>
      <c r="H62" s="135">
        <v>0</v>
      </c>
      <c r="I62" s="135">
        <v>0</v>
      </c>
      <c r="J62" s="135">
        <v>0</v>
      </c>
      <c r="K62" s="144">
        <v>0</v>
      </c>
    </row>
    <row r="63" spans="1:11">
      <c r="A63" s="103" t="s">
        <v>868</v>
      </c>
      <c r="B63" s="103" t="s">
        <v>639</v>
      </c>
      <c r="C63" s="221" t="s">
        <v>184</v>
      </c>
      <c r="D63" s="144">
        <v>0</v>
      </c>
      <c r="E63" s="135">
        <v>0</v>
      </c>
      <c r="F63" s="144">
        <v>0</v>
      </c>
      <c r="G63" s="144">
        <v>0</v>
      </c>
      <c r="H63" s="144">
        <v>0</v>
      </c>
      <c r="I63" s="135">
        <v>0</v>
      </c>
      <c r="J63" s="144">
        <v>0</v>
      </c>
      <c r="K63" s="144">
        <v>0</v>
      </c>
    </row>
    <row r="64" spans="1:11">
      <c r="A64" s="103" t="s">
        <v>915</v>
      </c>
      <c r="B64" s="103" t="s">
        <v>992</v>
      </c>
      <c r="C64" s="221" t="s">
        <v>675</v>
      </c>
      <c r="D64" s="144">
        <v>0</v>
      </c>
      <c r="E64" s="135">
        <v>0</v>
      </c>
      <c r="F64" s="144">
        <v>0</v>
      </c>
      <c r="G64" s="144">
        <v>0</v>
      </c>
      <c r="H64" s="144">
        <v>0</v>
      </c>
      <c r="I64" s="135">
        <v>0</v>
      </c>
      <c r="J64" s="144">
        <v>0</v>
      </c>
      <c r="K64" s="144">
        <v>0</v>
      </c>
    </row>
    <row r="65" spans="1:11">
      <c r="A65" s="103" t="s">
        <v>832</v>
      </c>
      <c r="B65" s="103" t="s">
        <v>325</v>
      </c>
      <c r="C65" s="221" t="s">
        <v>1030</v>
      </c>
      <c r="D65" s="135">
        <v>0</v>
      </c>
      <c r="E65" s="135">
        <v>0</v>
      </c>
      <c r="F65" s="135">
        <v>0</v>
      </c>
      <c r="G65" s="144">
        <v>0</v>
      </c>
      <c r="H65" s="135">
        <v>0</v>
      </c>
      <c r="I65" s="135">
        <v>0</v>
      </c>
      <c r="J65" s="135">
        <v>0</v>
      </c>
      <c r="K65" s="144">
        <v>0</v>
      </c>
    </row>
    <row r="66" spans="1:11">
      <c r="A66" s="103" t="s">
        <v>27</v>
      </c>
      <c r="B66" s="103" t="s">
        <v>517</v>
      </c>
      <c r="C66" s="221" t="s">
        <v>11</v>
      </c>
      <c r="D66" s="144">
        <v>170</v>
      </c>
      <c r="E66" s="135">
        <v>0</v>
      </c>
      <c r="F66" s="144">
        <v>170</v>
      </c>
      <c r="G66" s="144">
        <v>170</v>
      </c>
      <c r="H66" s="144">
        <v>170</v>
      </c>
      <c r="I66" s="135">
        <v>0</v>
      </c>
      <c r="J66" s="144">
        <v>170</v>
      </c>
      <c r="K66" s="144">
        <v>170</v>
      </c>
    </row>
    <row r="67" spans="1:11">
      <c r="A67" s="103" t="s">
        <v>94</v>
      </c>
      <c r="B67" s="103" t="s">
        <v>916</v>
      </c>
      <c r="C67" s="221" t="s">
        <v>986</v>
      </c>
      <c r="D67" s="135">
        <v>0</v>
      </c>
      <c r="E67" s="135">
        <v>0</v>
      </c>
      <c r="F67" s="135">
        <v>0</v>
      </c>
      <c r="G67" s="144">
        <v>0</v>
      </c>
      <c r="H67" s="135">
        <v>0</v>
      </c>
      <c r="I67" s="135">
        <v>0</v>
      </c>
      <c r="J67" s="135">
        <v>0</v>
      </c>
      <c r="K67" s="144">
        <v>0</v>
      </c>
    </row>
    <row r="68" spans="1:11">
      <c r="A68" s="103" t="s">
        <v>806</v>
      </c>
      <c r="B68" s="103" t="s">
        <v>21</v>
      </c>
      <c r="C68" s="221" t="s">
        <v>988</v>
      </c>
      <c r="D68" s="135">
        <v>0</v>
      </c>
      <c r="E68" s="135">
        <v>0</v>
      </c>
      <c r="F68" s="135">
        <v>0</v>
      </c>
      <c r="G68" s="144">
        <v>0</v>
      </c>
      <c r="H68" s="135">
        <v>0</v>
      </c>
      <c r="I68" s="135">
        <v>0</v>
      </c>
      <c r="J68" s="135">
        <v>0</v>
      </c>
      <c r="K68" s="144">
        <v>0</v>
      </c>
    </row>
    <row r="69" spans="1:11">
      <c r="A69" s="248" t="s">
        <v>865</v>
      </c>
      <c r="B69" s="248" t="s">
        <v>796</v>
      </c>
      <c r="C69" s="84" t="s">
        <v>422</v>
      </c>
      <c r="D69" s="202">
        <v>0</v>
      </c>
      <c r="E69" s="202">
        <v>0</v>
      </c>
      <c r="F69" s="202">
        <v>0</v>
      </c>
      <c r="G69" s="210">
        <v>0</v>
      </c>
      <c r="H69" s="202">
        <v>0</v>
      </c>
      <c r="I69" s="202">
        <v>0</v>
      </c>
      <c r="J69" s="202">
        <v>0</v>
      </c>
      <c r="K69" s="210">
        <v>0</v>
      </c>
    </row>
    <row r="70" spans="1:11">
      <c r="A70" s="248" t="s">
        <v>196</v>
      </c>
      <c r="B70" s="248" t="s">
        <v>930</v>
      </c>
      <c r="C70" s="84" t="s">
        <v>750</v>
      </c>
      <c r="D70" s="202">
        <v>0</v>
      </c>
      <c r="E70" s="202">
        <v>0</v>
      </c>
      <c r="F70" s="202">
        <v>0</v>
      </c>
      <c r="G70" s="210">
        <v>0</v>
      </c>
      <c r="H70" s="202">
        <v>0</v>
      </c>
      <c r="I70" s="202">
        <v>0</v>
      </c>
      <c r="J70" s="202">
        <v>0</v>
      </c>
      <c r="K70" s="210">
        <v>0</v>
      </c>
    </row>
    <row r="71" spans="1:11">
      <c r="A71" s="248" t="s">
        <v>361</v>
      </c>
      <c r="B71" s="248" t="s">
        <v>220</v>
      </c>
      <c r="C71" s="84" t="s">
        <v>313</v>
      </c>
      <c r="D71" s="202">
        <v>0</v>
      </c>
      <c r="E71" s="202">
        <v>0</v>
      </c>
      <c r="F71" s="202">
        <v>0</v>
      </c>
      <c r="G71" s="210">
        <v>0</v>
      </c>
      <c r="H71" s="202">
        <v>0</v>
      </c>
      <c r="I71" s="202">
        <v>0</v>
      </c>
      <c r="J71" s="202">
        <v>0</v>
      </c>
      <c r="K71" s="210">
        <v>0</v>
      </c>
    </row>
    <row r="72" spans="1:11">
      <c r="A72" s="248" t="s">
        <v>10</v>
      </c>
      <c r="B72" s="248" t="s">
        <v>193</v>
      </c>
      <c r="C72" s="84" t="s">
        <v>1075</v>
      </c>
      <c r="D72" s="210">
        <v>114401</v>
      </c>
      <c r="E72" s="202">
        <v>0</v>
      </c>
      <c r="F72" s="210">
        <v>114401</v>
      </c>
      <c r="G72" s="210">
        <v>104021</v>
      </c>
      <c r="H72" s="210">
        <v>114401</v>
      </c>
      <c r="I72" s="202">
        <v>0</v>
      </c>
      <c r="J72" s="210">
        <v>114401</v>
      </c>
      <c r="K72" s="210">
        <v>104021</v>
      </c>
    </row>
    <row r="73" spans="1:11">
      <c r="A73" s="248" t="s">
        <v>864</v>
      </c>
      <c r="B73" s="248" t="s">
        <v>758</v>
      </c>
      <c r="C73" s="84" t="s">
        <v>790</v>
      </c>
      <c r="D73" s="210">
        <v>2229</v>
      </c>
      <c r="E73" s="202">
        <v>0</v>
      </c>
      <c r="F73" s="210">
        <v>2229</v>
      </c>
      <c r="G73" s="210">
        <v>1442</v>
      </c>
      <c r="H73" s="210">
        <v>2229</v>
      </c>
      <c r="I73" s="202">
        <v>0</v>
      </c>
      <c r="J73" s="210">
        <v>2229</v>
      </c>
      <c r="K73" s="210">
        <v>1442</v>
      </c>
    </row>
    <row r="74" spans="1:11">
      <c r="A74" s="248" t="s">
        <v>865</v>
      </c>
      <c r="B74" s="248" t="s">
        <v>302</v>
      </c>
      <c r="C74" s="84" t="s">
        <v>570</v>
      </c>
      <c r="D74" s="210">
        <v>112172</v>
      </c>
      <c r="E74" s="202">
        <v>0</v>
      </c>
      <c r="F74" s="210">
        <v>112172</v>
      </c>
      <c r="G74" s="210">
        <v>102579</v>
      </c>
      <c r="H74" s="210">
        <v>112172</v>
      </c>
      <c r="I74" s="202">
        <v>0</v>
      </c>
      <c r="J74" s="210">
        <v>112172</v>
      </c>
      <c r="K74" s="210">
        <v>102579</v>
      </c>
    </row>
    <row r="75" spans="1:11">
      <c r="A75" s="248" t="s">
        <v>293</v>
      </c>
      <c r="B75" s="248" t="s">
        <v>538</v>
      </c>
      <c r="C75" s="84" t="s">
        <v>218</v>
      </c>
      <c r="D75" s="210">
        <v>58</v>
      </c>
      <c r="E75" s="202">
        <v>0</v>
      </c>
      <c r="F75" s="210">
        <v>58</v>
      </c>
      <c r="G75" s="210">
        <v>67</v>
      </c>
      <c r="H75" s="210">
        <v>58</v>
      </c>
      <c r="I75" s="202">
        <v>0</v>
      </c>
      <c r="J75" s="210">
        <v>58</v>
      </c>
      <c r="K75" s="210">
        <v>67</v>
      </c>
    </row>
    <row r="76" spans="1:11">
      <c r="A76" s="248" t="s">
        <v>717</v>
      </c>
      <c r="B76" s="248" t="s">
        <v>223</v>
      </c>
      <c r="C76" s="84" t="s">
        <v>846</v>
      </c>
      <c r="D76" s="202">
        <v>0</v>
      </c>
      <c r="E76" s="202">
        <v>0</v>
      </c>
      <c r="F76" s="202">
        <v>0</v>
      </c>
      <c r="G76" s="210">
        <v>0</v>
      </c>
      <c r="H76" s="202">
        <v>0</v>
      </c>
      <c r="I76" s="202">
        <v>0</v>
      </c>
      <c r="J76" s="202">
        <v>0</v>
      </c>
      <c r="K76" s="210">
        <v>0</v>
      </c>
    </row>
    <row r="77" spans="1:11">
      <c r="A77" s="248" t="s">
        <v>865</v>
      </c>
      <c r="B77" s="248" t="s">
        <v>669</v>
      </c>
      <c r="C77" s="84" t="s">
        <v>599</v>
      </c>
      <c r="D77" s="210">
        <v>58</v>
      </c>
      <c r="E77" s="202">
        <v>0</v>
      </c>
      <c r="F77" s="210">
        <v>58</v>
      </c>
      <c r="G77" s="210">
        <v>67</v>
      </c>
      <c r="H77" s="210">
        <v>58</v>
      </c>
      <c r="I77" s="202">
        <v>0</v>
      </c>
      <c r="J77" s="210">
        <v>58</v>
      </c>
      <c r="K77" s="210">
        <v>67</v>
      </c>
    </row>
    <row r="78" spans="1:11">
      <c r="A78" s="248" t="s">
        <v>196</v>
      </c>
      <c r="B78" s="248" t="s">
        <v>1098</v>
      </c>
      <c r="C78" s="84" t="s">
        <v>688</v>
      </c>
      <c r="D78" s="202">
        <v>0</v>
      </c>
      <c r="E78" s="202">
        <v>0</v>
      </c>
      <c r="F78" s="202">
        <v>0</v>
      </c>
      <c r="G78" s="210">
        <v>0</v>
      </c>
      <c r="H78" s="202">
        <v>0</v>
      </c>
      <c r="I78" s="202">
        <v>0</v>
      </c>
      <c r="J78" s="202">
        <v>0</v>
      </c>
      <c r="K78" s="210">
        <v>0</v>
      </c>
    </row>
    <row r="79" spans="1:11">
      <c r="A79" s="248" t="s">
        <v>361</v>
      </c>
      <c r="B79" s="248" t="s">
        <v>285</v>
      </c>
      <c r="C79" s="84" t="s">
        <v>844</v>
      </c>
      <c r="D79" s="202">
        <v>0</v>
      </c>
      <c r="E79" s="202">
        <v>0</v>
      </c>
      <c r="F79" s="202">
        <v>0</v>
      </c>
      <c r="G79" s="210">
        <v>0</v>
      </c>
      <c r="H79" s="202">
        <v>0</v>
      </c>
      <c r="I79" s="202">
        <v>0</v>
      </c>
      <c r="J79" s="202">
        <v>0</v>
      </c>
      <c r="K79" s="210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AG53"/>
  <sheetViews>
    <sheetView showGridLines="0" zoomScaleSheetLayoutView="100" workbookViewId="0"/>
  </sheetViews>
  <sheetFormatPr defaultColWidth="9.140625" defaultRowHeight="15"/>
  <cols>
    <col min="1" max="1" width="29.28515625" style="78" customWidth="1"/>
    <col min="2" max="4" width="11.28515625" style="78" customWidth="1"/>
    <col min="5" max="5" width="12.5703125" style="78" customWidth="1"/>
    <col min="6" max="10" width="11.28515625" style="78" customWidth="1"/>
    <col min="11" max="16384" width="9.140625" style="78"/>
  </cols>
  <sheetData>
    <row r="1" spans="1:33" ht="16.5">
      <c r="A1" s="101" t="s">
        <v>525</v>
      </c>
    </row>
    <row r="2" spans="1:33" ht="17.25" thickBot="1">
      <c r="A2" s="136" t="s">
        <v>214</v>
      </c>
    </row>
    <row r="3" spans="1:33" ht="16.5" customHeight="1" thickTop="1" thickBot="1">
      <c r="A3" s="260" t="s">
        <v>486</v>
      </c>
      <c r="B3" s="254" t="s">
        <v>115</v>
      </c>
      <c r="C3" s="255"/>
      <c r="D3" s="255"/>
      <c r="E3" s="255"/>
      <c r="F3" s="255"/>
      <c r="G3" s="255"/>
      <c r="H3" s="255"/>
      <c r="I3" s="255"/>
      <c r="J3" s="256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</row>
    <row r="4" spans="1:33" ht="62.25" customHeight="1" thickTop="1" thickBot="1">
      <c r="A4" s="261"/>
      <c r="B4" s="247" t="s">
        <v>889</v>
      </c>
      <c r="C4" s="247" t="s">
        <v>420</v>
      </c>
      <c r="D4" s="247" t="s">
        <v>736</v>
      </c>
      <c r="E4" s="247" t="s">
        <v>99</v>
      </c>
      <c r="F4" s="247" t="s">
        <v>242</v>
      </c>
      <c r="G4" s="247" t="s">
        <v>1068</v>
      </c>
      <c r="H4" s="247" t="s">
        <v>29</v>
      </c>
      <c r="I4" s="247" t="s">
        <v>972</v>
      </c>
      <c r="J4" s="247" t="s">
        <v>854</v>
      </c>
    </row>
    <row r="5" spans="1:33" ht="15" customHeight="1" thickTop="1" thickBot="1">
      <c r="A5" s="214" t="s">
        <v>1079</v>
      </c>
      <c r="B5" s="111"/>
      <c r="C5" s="111"/>
      <c r="D5" s="111"/>
      <c r="E5" s="111"/>
      <c r="F5" s="111"/>
      <c r="G5" s="111"/>
      <c r="H5" s="111"/>
      <c r="I5" s="111"/>
      <c r="J5" s="11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33" ht="24" thickTop="1" thickBot="1">
      <c r="A6" s="216" t="s">
        <v>921</v>
      </c>
      <c r="B6" s="139">
        <f>SUMIF(HK!A:A,"031*",HK!C:C)-SUMIF(HK!A:A,"031*",HK!D:D)</f>
        <v>0</v>
      </c>
      <c r="C6" s="139">
        <f>SUMIF(HK!A:A,"021*",HK!C:C)-SUMIF(HK!A:A,"021*",HK!D:D)</f>
        <v>0</v>
      </c>
      <c r="D6" s="139">
        <f>SUMIF(HK!A:A,"022*",HK!C:C)-SUMIF(HK!A:A,"022*",HK!D:D)</f>
        <v>95498.61</v>
      </c>
      <c r="E6" s="139">
        <f>SUMIF(HK!A:A,"025*",HK!C:C)-SUMIF(HK!A:A,"025*",HK!D:D)</f>
        <v>0</v>
      </c>
      <c r="F6" s="139">
        <f>SUMIF(HK!A:A,"026*",HK!C:C)-SUMIF(HK!A:A,"026*",HK!D:D)</f>
        <v>0</v>
      </c>
      <c r="G6" s="139">
        <f>SUMIF(HK!A:A,"029*",HK!C:C)-SUMIF(HK!A:A,"029*",HK!D:D)</f>
        <v>0</v>
      </c>
      <c r="H6" s="139">
        <f>SUMIF(HK!A:A,"042*",HK!C:C)-SUMIF(HK!A:A,"042*",HK!D:D)</f>
        <v>0</v>
      </c>
      <c r="I6" s="139">
        <f>SUMIF(HK!A:A,"052*",HK!C:C)-SUMIF(HK!A:A,"052*",HK!D:D)</f>
        <v>0</v>
      </c>
      <c r="J6" s="73">
        <f>SUM(B6:I6)</f>
        <v>95498.61</v>
      </c>
      <c r="L6" s="38"/>
    </row>
    <row r="7" spans="1:33" ht="15" customHeight="1" thickBot="1">
      <c r="A7" s="116" t="s">
        <v>1052</v>
      </c>
      <c r="B7" s="241"/>
      <c r="C7" s="241"/>
      <c r="D7" s="241"/>
      <c r="E7" s="241"/>
      <c r="F7" s="29"/>
      <c r="G7" s="241"/>
      <c r="H7" s="241"/>
      <c r="I7" s="241"/>
      <c r="J7" s="73">
        <f>SUM(B7:I7)</f>
        <v>0</v>
      </c>
    </row>
    <row r="8" spans="1:33" ht="15" customHeight="1" thickBot="1">
      <c r="A8" s="116" t="s">
        <v>13</v>
      </c>
      <c r="B8" s="241"/>
      <c r="C8" s="241"/>
      <c r="D8" s="241"/>
      <c r="E8" s="241"/>
      <c r="F8" s="29"/>
      <c r="G8" s="241"/>
      <c r="H8" s="241"/>
      <c r="I8" s="241"/>
      <c r="J8" s="73">
        <f>SUM(B8:I8)</f>
        <v>0</v>
      </c>
    </row>
    <row r="9" spans="1:33" ht="15" customHeight="1" thickBot="1">
      <c r="A9" s="116" t="s">
        <v>424</v>
      </c>
      <c r="B9" s="241"/>
      <c r="C9" s="241"/>
      <c r="D9" s="241"/>
      <c r="E9" s="241"/>
      <c r="F9" s="29"/>
      <c r="G9" s="241"/>
      <c r="H9" s="241"/>
      <c r="I9" s="241"/>
      <c r="J9" s="73">
        <f>SUM(B9:I9)</f>
        <v>0</v>
      </c>
    </row>
    <row r="10" spans="1:33" ht="15.75" thickBot="1">
      <c r="A10" s="90" t="s">
        <v>80</v>
      </c>
      <c r="B10" s="139">
        <f>SUMIF(HK!A:A,"031*",HK!K:K)-SUMIF(HK!A:A,"031*",HK!L:L)</f>
        <v>0</v>
      </c>
      <c r="C10" s="139">
        <f>SUMIF(HK!A:A,"021*",HK!K:K)-SUMIF(HK!A:A,"021*",HK!L:L)</f>
        <v>0</v>
      </c>
      <c r="D10" s="139">
        <f>SUMIF(HK!A:A,"022*",HK!K:K)-SUMIF(HK!A:A,"022*",HK!L:L)</f>
        <v>77097.88</v>
      </c>
      <c r="E10" s="139">
        <f>SUMIF(HK!A:A,"025*",HK!K:K)-SUMIF(HK!A:A,"025*",HK!L:L)</f>
        <v>0</v>
      </c>
      <c r="F10" s="139">
        <f>SUMIF(HK!A:A,"026*",HK!K:K)-SUMIF(HK!A:A,"026*",HK!L:L)</f>
        <v>0</v>
      </c>
      <c r="G10" s="139">
        <f>SUMIF(HK!A:A,"029*",HK!K:K)-SUMIF(HK!A:A,"029*",HK!L:L)</f>
        <v>0</v>
      </c>
      <c r="H10" s="139">
        <f>SUMIF(HK!A:A,"042*",HK!K:K)-SUMIF(HK!A:A,"042*",HK!L:L)</f>
        <v>0</v>
      </c>
      <c r="I10" s="139">
        <f>SUMIF(HK!A:A,"052*",HK!K:K)-SUMIF(HK!A:A,"052*",HK!L:L)</f>
        <v>0</v>
      </c>
      <c r="J10" s="152">
        <f>J6+J7-J8+J9</f>
        <v>95498.61</v>
      </c>
      <c r="L10" s="38"/>
    </row>
    <row r="11" spans="1:33" ht="15" customHeight="1" thickTop="1" thickBot="1">
      <c r="A11" s="5" t="s">
        <v>252</v>
      </c>
      <c r="B11" s="145"/>
      <c r="C11" s="145"/>
      <c r="D11" s="145"/>
      <c r="E11" s="145"/>
      <c r="F11" s="145"/>
      <c r="G11" s="145"/>
      <c r="H11" s="145"/>
      <c r="I11" s="145"/>
      <c r="J11" s="118"/>
    </row>
    <row r="12" spans="1:33" ht="23.25" thickBot="1">
      <c r="A12" s="216" t="s">
        <v>51</v>
      </c>
      <c r="B12" s="241"/>
      <c r="C12" s="139">
        <f>SUMIF(HK!A:A,"081*",HK!D:D)-SUMIF(HK!A:A,"081*",HK!C:C)</f>
        <v>0</v>
      </c>
      <c r="D12" s="139">
        <f>SUMIF(HK!A:A,"082*",HK!D:D)-SUMIF(HK!A:A,"082*",HK!C:C)</f>
        <v>82221.11</v>
      </c>
      <c r="E12" s="139">
        <f>SUMIF(HK!A:A,"085*",HK!D:D)-SUMIF(HK!A:A,"085*",HK!C:C)</f>
        <v>0</v>
      </c>
      <c r="F12" s="139">
        <f>SUMIF(HK!A:A,"086*",HK!D:D)-SUMIF(HK!A:A,"086*",HK!C:C)</f>
        <v>0</v>
      </c>
      <c r="G12" s="139">
        <f>SUMIF(HK!A:A,"089*",HK!D:D)-SUMIF(HK!A:A,"089*",HK!C:C)</f>
        <v>0</v>
      </c>
      <c r="H12" s="241"/>
      <c r="I12" s="241"/>
      <c r="J12" s="73">
        <f>SUM(B12:I12)</f>
        <v>82221.11</v>
      </c>
      <c r="L12" s="38"/>
    </row>
    <row r="13" spans="1:33" ht="15" customHeight="1" thickBot="1">
      <c r="A13" s="116" t="s">
        <v>1052</v>
      </c>
      <c r="B13" s="241"/>
      <c r="C13" s="241"/>
      <c r="D13" s="241"/>
      <c r="E13" s="241"/>
      <c r="F13" s="241"/>
      <c r="G13" s="241"/>
      <c r="H13" s="241"/>
      <c r="I13" s="241"/>
      <c r="J13" s="73">
        <f>SUM(B13:I13)</f>
        <v>0</v>
      </c>
    </row>
    <row r="14" spans="1:33" ht="15" customHeight="1" thickBot="1">
      <c r="A14" s="116" t="s">
        <v>13</v>
      </c>
      <c r="B14" s="241"/>
      <c r="C14" s="241"/>
      <c r="D14" s="241"/>
      <c r="E14" s="241"/>
      <c r="F14" s="241"/>
      <c r="G14" s="241"/>
      <c r="H14" s="241"/>
      <c r="I14" s="241"/>
      <c r="J14" s="73">
        <f>SUM(B14:I14)</f>
        <v>0</v>
      </c>
    </row>
    <row r="15" spans="1:33" ht="15" customHeight="1" thickBot="1">
      <c r="A15" s="5" t="s">
        <v>424</v>
      </c>
      <c r="B15" s="172"/>
      <c r="C15" s="241"/>
      <c r="D15" s="241"/>
      <c r="E15" s="241"/>
      <c r="F15" s="241"/>
      <c r="G15" s="241"/>
      <c r="H15" s="172"/>
      <c r="I15" s="29"/>
      <c r="J15" s="29"/>
    </row>
    <row r="16" spans="1:33" ht="15.75" thickBot="1">
      <c r="A16" s="74" t="s">
        <v>80</v>
      </c>
      <c r="B16" s="49"/>
      <c r="C16" s="139">
        <f>SUMIF(HK!A:A,"081*",HK!L:L)-SUMIF(HK!A:A,"081*",HK!K:K)</f>
        <v>0</v>
      </c>
      <c r="D16" s="139">
        <f>SUMIF(HK!A:A,"082*",HK!L:L)-SUMIF(HK!A:A,"082*",HK!K:K)</f>
        <v>69520.38</v>
      </c>
      <c r="E16" s="139">
        <f>SUMIF(HK!A:A,"085*",HK!L:L)-SUMIF(HK!A:A,"085*",HK!K:K)</f>
        <v>0</v>
      </c>
      <c r="F16" s="139">
        <f>SUMIF(HK!A:A,"086*",HK!L:L)-SUMIF(HK!A:A,"086*",HK!K:K)</f>
        <v>0</v>
      </c>
      <c r="G16" s="139">
        <f>SUMIF(HK!A:A,"089*",HK!L:L)-SUMIF(HK!A:A,"089*",HK!K:K)</f>
        <v>0</v>
      </c>
      <c r="H16" s="49"/>
      <c r="I16" s="49"/>
      <c r="J16" s="152">
        <f>J12+J13-J14</f>
        <v>82221.11</v>
      </c>
      <c r="L16" s="38"/>
    </row>
    <row r="17" spans="1:33" ht="15" customHeight="1" thickTop="1" thickBot="1">
      <c r="A17" s="214" t="s">
        <v>1067</v>
      </c>
      <c r="B17" s="145"/>
      <c r="C17" s="145"/>
      <c r="D17" s="145"/>
      <c r="E17" s="145"/>
      <c r="F17" s="145"/>
      <c r="G17" s="145"/>
      <c r="H17" s="145"/>
      <c r="I17" s="145"/>
      <c r="J17" s="118"/>
    </row>
    <row r="18" spans="1:33" ht="24" thickTop="1" thickBot="1">
      <c r="A18" s="216" t="s">
        <v>51</v>
      </c>
      <c r="B18" s="241"/>
      <c r="C18" s="139"/>
      <c r="D18" s="139"/>
      <c r="E18" s="139"/>
      <c r="F18" s="139"/>
      <c r="G18" s="139"/>
      <c r="H18" s="139">
        <f>SUMIF(HK!A:A,"094*",HK!D:D)-SUMIF(HK!A:A,"094*",HK!C:C)</f>
        <v>0</v>
      </c>
      <c r="I18" s="139">
        <f>SUMIF(SUAM!C:C,"019",SUAM!E:E)</f>
        <v>0</v>
      </c>
      <c r="J18" s="73">
        <f>SUM(B18:I18)</f>
        <v>0</v>
      </c>
      <c r="L18" s="38"/>
      <c r="M18" s="38"/>
      <c r="N18" s="124"/>
    </row>
    <row r="19" spans="1:33" ht="15" customHeight="1" thickBot="1">
      <c r="A19" s="116" t="s">
        <v>1052</v>
      </c>
      <c r="B19" s="241"/>
      <c r="C19" s="241"/>
      <c r="D19" s="241"/>
      <c r="E19" s="241"/>
      <c r="F19" s="241"/>
      <c r="G19" s="241"/>
      <c r="H19" s="241"/>
      <c r="I19" s="241"/>
      <c r="J19" s="73">
        <f>SUM(B19:I19)</f>
        <v>0</v>
      </c>
      <c r="N19" s="124"/>
    </row>
    <row r="20" spans="1:33" ht="15" customHeight="1" thickBot="1">
      <c r="A20" s="116" t="s">
        <v>13</v>
      </c>
      <c r="B20" s="241"/>
      <c r="C20" s="241"/>
      <c r="D20" s="241"/>
      <c r="E20" s="241"/>
      <c r="F20" s="241"/>
      <c r="G20" s="241"/>
      <c r="H20" s="241"/>
      <c r="I20" s="241"/>
      <c r="J20" s="73">
        <f>SUM(B20:I20)</f>
        <v>0</v>
      </c>
      <c r="N20" s="124"/>
    </row>
    <row r="21" spans="1:33" ht="15" customHeight="1" thickBot="1">
      <c r="A21" s="46" t="s">
        <v>424</v>
      </c>
      <c r="B21" s="29"/>
      <c r="C21" s="241"/>
      <c r="D21" s="241"/>
      <c r="E21" s="241"/>
      <c r="F21" s="241"/>
      <c r="G21" s="241"/>
      <c r="H21" s="241"/>
      <c r="I21" s="241"/>
      <c r="J21" s="172"/>
      <c r="N21" s="124"/>
    </row>
    <row r="22" spans="1:33" ht="15.75" thickBot="1">
      <c r="A22" s="74" t="s">
        <v>80</v>
      </c>
      <c r="B22" s="49"/>
      <c r="C22" s="139"/>
      <c r="D22" s="139"/>
      <c r="E22" s="139"/>
      <c r="F22" s="139"/>
      <c r="G22" s="139"/>
      <c r="H22" s="139">
        <f>SUMIF(HK!A:A,"094*",HK!L:L)-SUMIF(HK!A:A,"094*",HK!K:K)</f>
        <v>0</v>
      </c>
      <c r="I22" s="139">
        <f>SUMIF(SUA!C:C,"019",SUA!E:E)</f>
        <v>0</v>
      </c>
      <c r="J22" s="152">
        <f>J18+J19-J20</f>
        <v>0</v>
      </c>
      <c r="L22" s="38"/>
      <c r="M22" s="38"/>
      <c r="N22" s="124"/>
    </row>
    <row r="23" spans="1:33" ht="15" customHeight="1" thickTop="1" thickBot="1">
      <c r="A23" s="214" t="s">
        <v>587</v>
      </c>
      <c r="B23" s="145"/>
      <c r="C23" s="145"/>
      <c r="D23" s="145"/>
      <c r="E23" s="145"/>
      <c r="F23" s="145"/>
      <c r="G23" s="145"/>
      <c r="H23" s="145"/>
      <c r="I23" s="145"/>
      <c r="J23" s="118"/>
    </row>
    <row r="24" spans="1:33" ht="15" customHeight="1" thickTop="1" thickBot="1">
      <c r="A24" s="216" t="s">
        <v>51</v>
      </c>
      <c r="B24" s="241"/>
      <c r="C24" s="241"/>
      <c r="D24" s="241"/>
      <c r="E24" s="241"/>
      <c r="F24" s="241"/>
      <c r="G24" s="241"/>
      <c r="H24" s="241"/>
      <c r="I24" s="241"/>
      <c r="J24" s="73">
        <f>J6-J12-J18</f>
        <v>13277.5</v>
      </c>
    </row>
    <row r="25" spans="1:33" ht="15" customHeight="1" thickBot="1">
      <c r="A25" s="74" t="s">
        <v>80</v>
      </c>
      <c r="B25" s="49"/>
      <c r="C25" s="49"/>
      <c r="D25" s="49"/>
      <c r="E25" s="49"/>
      <c r="F25" s="49"/>
      <c r="G25" s="49"/>
      <c r="H25" s="49"/>
      <c r="I25" s="49"/>
      <c r="J25" s="152">
        <f>J10-J16-J22</f>
        <v>13277.5</v>
      </c>
    </row>
    <row r="26" spans="1:33" ht="15.75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>
      <c r="A28" s="7" t="s">
        <v>5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>
      <c r="A29" s="260" t="s">
        <v>486</v>
      </c>
      <c r="B29" s="263" t="s">
        <v>720</v>
      </c>
      <c r="C29" s="264"/>
      <c r="D29" s="264"/>
      <c r="E29" s="264"/>
      <c r="F29" s="264"/>
      <c r="G29" s="264"/>
      <c r="H29" s="264"/>
      <c r="I29" s="264"/>
      <c r="J29" s="265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</row>
    <row r="30" spans="1:33" ht="62.25" customHeight="1" thickTop="1" thickBot="1">
      <c r="A30" s="262"/>
      <c r="B30" s="247" t="s">
        <v>889</v>
      </c>
      <c r="C30" s="247" t="s">
        <v>420</v>
      </c>
      <c r="D30" s="247" t="s">
        <v>736</v>
      </c>
      <c r="E30" s="247" t="s">
        <v>99</v>
      </c>
      <c r="F30" s="247" t="s">
        <v>242</v>
      </c>
      <c r="G30" s="247" t="s">
        <v>1068</v>
      </c>
      <c r="H30" s="247" t="s">
        <v>29</v>
      </c>
      <c r="I30" s="247" t="s">
        <v>972</v>
      </c>
      <c r="J30" s="247" t="s">
        <v>854</v>
      </c>
    </row>
    <row r="31" spans="1:33" ht="15" customHeight="1" thickTop="1" thickBot="1">
      <c r="A31" s="214" t="s">
        <v>1079</v>
      </c>
      <c r="B31" s="111"/>
      <c r="C31" s="111"/>
      <c r="D31" s="111"/>
      <c r="E31" s="111"/>
      <c r="F31" s="111"/>
      <c r="G31" s="111"/>
      <c r="H31" s="111"/>
      <c r="I31" s="111"/>
      <c r="J31" s="118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33" ht="24" thickTop="1" thickBot="1">
      <c r="A32" s="216" t="s">
        <v>921</v>
      </c>
      <c r="B32" s="139">
        <f>SUMIF(HKM!A:A,"031*",HKM!C:C)-SUMIF(HKM!A:A,"031*",HKM!D:D)</f>
        <v>0</v>
      </c>
      <c r="C32" s="139">
        <f>SUMIF(HKM!A:A,"021*",HKM!C:C)-SUMIF(HKM!A:A,"021*",HKM!D:D)</f>
        <v>0</v>
      </c>
      <c r="D32" s="139">
        <f>SUMIF(HKM!A:A,"022*",HKM!C:C)-SUMIF(HKM!A:A,"022*",HKM!D:D)</f>
        <v>95498.61</v>
      </c>
      <c r="E32" s="139">
        <f>SUMIF(HKM!A:A,"025*",HKM!C:C)-SUMIF(HKM!A:A,"025*",HKM!D:D)</f>
        <v>0</v>
      </c>
      <c r="F32" s="139">
        <f>SUMIF(HKM!A:A,"026*",HKM!C:C)-SUMIF(HKM!A:A,"026*",HKM!D:D)</f>
        <v>0</v>
      </c>
      <c r="G32" s="139">
        <f>SUMIF(HKM!A:A,"029*",HKM!C:C)-SUMIF(HKM!A:A,"029*",HKM!D:D)</f>
        <v>0</v>
      </c>
      <c r="H32" s="139">
        <f>SUMIF(HKM!A:A,"042*",HKM!C:C)-SUMIF(HKM!A:A,"042*",HKM!D:D)</f>
        <v>0</v>
      </c>
      <c r="I32" s="139">
        <f>SUMIF(HKM!A:A,"052*",HKM!C:C)-SUMIF(HKM!A:A,"052*",HKM!D:D)</f>
        <v>0</v>
      </c>
      <c r="J32" s="73">
        <f>SUM(B32:I32)</f>
        <v>95498.61</v>
      </c>
      <c r="L32" s="38"/>
    </row>
    <row r="33" spans="1:14" ht="15" customHeight="1" thickBot="1">
      <c r="A33" s="116" t="s">
        <v>1052</v>
      </c>
      <c r="B33" s="241"/>
      <c r="C33" s="241"/>
      <c r="D33" s="241"/>
      <c r="E33" s="241"/>
      <c r="F33" s="29"/>
      <c r="G33" s="241"/>
      <c r="H33" s="241"/>
      <c r="I33" s="241"/>
      <c r="J33" s="73">
        <f>SUM(B33:I33)</f>
        <v>0</v>
      </c>
    </row>
    <row r="34" spans="1:14" ht="15" customHeight="1" thickBot="1">
      <c r="A34" s="116" t="s">
        <v>13</v>
      </c>
      <c r="B34" s="241"/>
      <c r="C34" s="241"/>
      <c r="D34" s="241"/>
      <c r="E34" s="241"/>
      <c r="F34" s="29"/>
      <c r="G34" s="241"/>
      <c r="H34" s="241"/>
      <c r="I34" s="241"/>
      <c r="J34" s="73">
        <f>SUM(B34:I34)</f>
        <v>0</v>
      </c>
    </row>
    <row r="35" spans="1:14" ht="15" customHeight="1" thickBot="1">
      <c r="A35" s="116" t="s">
        <v>424</v>
      </c>
      <c r="B35" s="241"/>
      <c r="C35" s="241"/>
      <c r="D35" s="241"/>
      <c r="E35" s="241"/>
      <c r="F35" s="29"/>
      <c r="G35" s="241"/>
      <c r="H35" s="241"/>
      <c r="I35" s="241"/>
      <c r="J35" s="73">
        <f>SUM(B35:I35)</f>
        <v>0</v>
      </c>
    </row>
    <row r="36" spans="1:14" ht="15.75" thickBot="1">
      <c r="A36" s="74" t="s">
        <v>80</v>
      </c>
      <c r="B36" s="139">
        <f>SUMIF(HKM!A:A,"031*",HKM!K:K)-SUMIF(HKM!A:A,"031*",HKM!L:L)</f>
        <v>0</v>
      </c>
      <c r="C36" s="139">
        <f>SUMIF(HKM!A:A,"021*",HKM!K:K)-SUMIF(HKM!A:A,"021*",HKM!L:L)</f>
        <v>0</v>
      </c>
      <c r="D36" s="139">
        <f>SUMIF(HKM!A:A,"022*",HKM!K:K)-SUMIF(HKM!A:A,"022*",HKM!L:L)</f>
        <v>95498.61</v>
      </c>
      <c r="E36" s="139">
        <f>SUMIF(HKM!A:A,"025*",HKM!K:K)-SUMIF(HKM!A:A,"025*",HKM!L:L)</f>
        <v>0</v>
      </c>
      <c r="F36" s="139">
        <f>SUMIF(HKM!A:A,"026*",HKM!K:K)-SUMIF(HKM!A:A,"026*",HKM!L:L)</f>
        <v>0</v>
      </c>
      <c r="G36" s="139">
        <f>SUMIF(HKM!A:A,"029*",HKM!K:K)-SUMIF(HKM!A:A,"029*",HKM!L:L)</f>
        <v>0</v>
      </c>
      <c r="H36" s="139">
        <f>SUMIF(HKM!A:A,"042*",HKM!K:K)-SUMIF(HKM!A:A,"042*",HKM!L:L)</f>
        <v>0</v>
      </c>
      <c r="I36" s="139">
        <f>SUMIF(HKM!A:A,"052*",HKM!K:K)-SUMIF(HKM!A:A,"052*",HKM!L:L)</f>
        <v>0</v>
      </c>
      <c r="J36" s="152">
        <f>J32+J33-J34+J35</f>
        <v>95498.61</v>
      </c>
      <c r="L36" s="38"/>
    </row>
    <row r="37" spans="1:14" ht="15" customHeight="1" thickTop="1" thickBot="1">
      <c r="A37" s="214" t="s">
        <v>252</v>
      </c>
      <c r="B37" s="145"/>
      <c r="C37" s="145"/>
      <c r="D37" s="145"/>
      <c r="E37" s="145"/>
      <c r="F37" s="145"/>
      <c r="G37" s="145"/>
      <c r="H37" s="145"/>
      <c r="I37" s="145"/>
      <c r="J37" s="118"/>
    </row>
    <row r="38" spans="1:14" ht="24" thickTop="1" thickBot="1">
      <c r="A38" s="216" t="s">
        <v>51</v>
      </c>
      <c r="B38" s="241"/>
      <c r="C38" s="139">
        <f>SUMIF(HKM!A:A,"081*",HKM!D:D)-SUMIF(HKM!A:A,"081*",HKM!C:C)</f>
        <v>0</v>
      </c>
      <c r="D38" s="139">
        <f>SUMIF(HKM!A:A,"082*",HKM!D:D)-SUMIF(HKM!A:A,"082*",HKM!C:C)</f>
        <v>75120.44</v>
      </c>
      <c r="E38" s="139">
        <f>SUMIF(HKM!A:A,"085*",HKM!D:D)-SUMIF(HKM!A:A,"085*",HKM!C:C)</f>
        <v>0</v>
      </c>
      <c r="F38" s="139">
        <f>SUMIF(HKM!A:A,"086*",HKM!D:D)-SUMIF(HKM!A:A,"086*",HKM!C:C)</f>
        <v>0</v>
      </c>
      <c r="G38" s="139">
        <f>SUMIF(HKM!A:A,"089*",HKM!D:D)-SUMIF(HKM!A:A,"089*",HKM!C:C)</f>
        <v>0</v>
      </c>
      <c r="H38" s="241"/>
      <c r="I38" s="241"/>
      <c r="J38" s="73">
        <f>SUM(B38:I38)</f>
        <v>75120.44</v>
      </c>
      <c r="L38" s="38"/>
    </row>
    <row r="39" spans="1:14" ht="15" customHeight="1" thickBot="1">
      <c r="A39" s="116" t="s">
        <v>1052</v>
      </c>
      <c r="B39" s="241"/>
      <c r="C39" s="241"/>
      <c r="D39" s="241"/>
      <c r="E39" s="241"/>
      <c r="F39" s="241"/>
      <c r="G39" s="241"/>
      <c r="H39" s="241"/>
      <c r="I39" s="241"/>
      <c r="J39" s="73">
        <f>SUM(B39:I39)</f>
        <v>0</v>
      </c>
    </row>
    <row r="40" spans="1:14" ht="15" customHeight="1" thickBot="1">
      <c r="A40" s="116" t="s">
        <v>13</v>
      </c>
      <c r="B40" s="241"/>
      <c r="C40" s="241"/>
      <c r="D40" s="241"/>
      <c r="E40" s="241"/>
      <c r="F40" s="241"/>
      <c r="G40" s="241"/>
      <c r="H40" s="241"/>
      <c r="I40" s="241"/>
      <c r="J40" s="73">
        <f>SUM(B40:I40)</f>
        <v>0</v>
      </c>
    </row>
    <row r="41" spans="1:14" ht="15" customHeight="1" thickBot="1">
      <c r="A41" s="46" t="s">
        <v>424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>
      <c r="A42" s="74" t="s">
        <v>80</v>
      </c>
      <c r="B42" s="49"/>
      <c r="C42" s="139">
        <f>SUMIF(HKM!A:A,"081*",HKM!L:L)-SUMIF(HKM!A:A,"081*",HKM!K:K)</f>
        <v>0</v>
      </c>
      <c r="D42" s="139">
        <f>SUMIF(HKM!A:A,"082*",HKM!L:L)-SUMIF(HKM!A:A,"082*",HKM!K:K)</f>
        <v>82221.11</v>
      </c>
      <c r="E42" s="139">
        <f>SUMIF(HKM!A:A,"085*",HKM!L:L)-SUMIF(HKM!A:A,"085*",HKM!K:K)</f>
        <v>0</v>
      </c>
      <c r="F42" s="139">
        <f>SUMIF(HKM!A:A,"086*",HKM!L:L)-SUMIF(HKM!A:A,"086*",HKM!K:K)</f>
        <v>0</v>
      </c>
      <c r="G42" s="139">
        <f>SUMIF(HKM!A:A,"089*",HKM!L:L)-SUMIF(HKM!A:A,"089*",HKM!K:K)</f>
        <v>0</v>
      </c>
      <c r="H42" s="49"/>
      <c r="I42" s="49"/>
      <c r="J42" s="152">
        <f>J38+J39-J40</f>
        <v>75120.44</v>
      </c>
      <c r="L42" s="38"/>
    </row>
    <row r="43" spans="1:14" ht="15" customHeight="1" thickTop="1" thickBot="1">
      <c r="A43" s="214" t="s">
        <v>1067</v>
      </c>
      <c r="B43" s="145"/>
      <c r="C43" s="145"/>
      <c r="D43" s="145"/>
      <c r="E43" s="145"/>
      <c r="F43" s="145"/>
      <c r="G43" s="145"/>
      <c r="H43" s="145"/>
      <c r="I43" s="145"/>
      <c r="J43" s="118"/>
    </row>
    <row r="44" spans="1:14" ht="24" thickTop="1" thickBot="1">
      <c r="A44" s="216" t="s">
        <v>51</v>
      </c>
      <c r="B44" s="241"/>
      <c r="C44" s="139"/>
      <c r="D44" s="139"/>
      <c r="E44" s="139"/>
      <c r="F44" s="139"/>
      <c r="G44" s="139"/>
      <c r="H44" s="139">
        <f>SUMIF(HKM!A:A,"094*",HKM!D:D)-SUMIF(HKM!A:A,"094*",HKM!C:C)</f>
        <v>0</v>
      </c>
      <c r="I44" s="139"/>
      <c r="J44" s="73">
        <f>SUM(B44:I44)</f>
        <v>0</v>
      </c>
      <c r="L44" s="38"/>
      <c r="M44" s="213"/>
      <c r="N44" s="124"/>
    </row>
    <row r="45" spans="1:14" ht="15" customHeight="1" thickBot="1">
      <c r="A45" s="116" t="s">
        <v>1052</v>
      </c>
      <c r="B45" s="241"/>
      <c r="C45" s="241"/>
      <c r="D45" s="241"/>
      <c r="E45" s="241"/>
      <c r="F45" s="241"/>
      <c r="G45" s="241"/>
      <c r="H45" s="241"/>
      <c r="I45" s="241"/>
      <c r="J45" s="73">
        <f>SUM(B45:I45)</f>
        <v>0</v>
      </c>
      <c r="N45" s="124"/>
    </row>
    <row r="46" spans="1:14" ht="15" customHeight="1" thickBot="1">
      <c r="A46" s="116" t="s">
        <v>13</v>
      </c>
      <c r="B46" s="241"/>
      <c r="C46" s="241"/>
      <c r="D46" s="241"/>
      <c r="E46" s="241"/>
      <c r="F46" s="241"/>
      <c r="G46" s="241"/>
      <c r="H46" s="241"/>
      <c r="I46" s="241"/>
      <c r="J46" s="73">
        <f>SUM(B46:I46)</f>
        <v>0</v>
      </c>
      <c r="N46" s="124"/>
    </row>
    <row r="47" spans="1:14" ht="15" customHeight="1" thickBot="1">
      <c r="A47" s="46" t="s">
        <v>424</v>
      </c>
      <c r="B47" s="29"/>
      <c r="C47" s="29"/>
      <c r="D47" s="29"/>
      <c r="E47" s="29"/>
      <c r="F47" s="29"/>
      <c r="G47" s="29"/>
      <c r="H47" s="29"/>
      <c r="I47" s="29"/>
      <c r="J47" s="29"/>
      <c r="N47" s="124"/>
    </row>
    <row r="48" spans="1:14" ht="15.75" thickBot="1">
      <c r="A48" s="74" t="s">
        <v>80</v>
      </c>
      <c r="B48" s="49"/>
      <c r="C48" s="139"/>
      <c r="D48" s="139"/>
      <c r="E48" s="139"/>
      <c r="F48" s="139"/>
      <c r="G48" s="139"/>
      <c r="H48" s="139">
        <f>SUMIF(HKM!A:A,"094*",HKM!L:L)-SUMIF(HKM!A:A,"094*",HKM!K:K)</f>
        <v>0</v>
      </c>
      <c r="I48" s="139">
        <f>SUMIF(SUAM!C:C,"019",SUAM!E:E)</f>
        <v>0</v>
      </c>
      <c r="J48" s="152">
        <f>J44+J45-J46</f>
        <v>0</v>
      </c>
      <c r="L48" s="38"/>
      <c r="N48" s="124"/>
    </row>
    <row r="49" spans="1:10" ht="15" customHeight="1" thickTop="1" thickBot="1">
      <c r="A49" s="214" t="s">
        <v>587</v>
      </c>
      <c r="B49" s="145"/>
      <c r="C49" s="145"/>
      <c r="D49" s="145"/>
      <c r="E49" s="145"/>
      <c r="F49" s="145"/>
      <c r="G49" s="145"/>
      <c r="H49" s="145"/>
      <c r="I49" s="145"/>
      <c r="J49" s="118"/>
    </row>
    <row r="50" spans="1:10" ht="15" customHeight="1" thickTop="1" thickBot="1">
      <c r="A50" s="216" t="s">
        <v>51</v>
      </c>
      <c r="B50" s="241">
        <f t="shared" ref="B50:J50" si="0">B32-B38-B44</f>
        <v>0</v>
      </c>
      <c r="C50" s="241">
        <f t="shared" si="0"/>
        <v>0</v>
      </c>
      <c r="D50" s="241">
        <f t="shared" si="0"/>
        <v>20378.169999999998</v>
      </c>
      <c r="E50" s="241">
        <f t="shared" si="0"/>
        <v>0</v>
      </c>
      <c r="F50" s="241">
        <f t="shared" si="0"/>
        <v>0</v>
      </c>
      <c r="G50" s="241">
        <f t="shared" si="0"/>
        <v>0</v>
      </c>
      <c r="H50" s="241">
        <f t="shared" si="0"/>
        <v>0</v>
      </c>
      <c r="I50" s="241">
        <f t="shared" si="0"/>
        <v>0</v>
      </c>
      <c r="J50" s="73">
        <f t="shared" si="0"/>
        <v>20378.169999999998</v>
      </c>
    </row>
    <row r="51" spans="1:10" ht="15" customHeight="1" thickBot="1">
      <c r="A51" s="74" t="s">
        <v>80</v>
      </c>
      <c r="B51" s="49">
        <f t="shared" ref="B51:J51" si="1">B36-B42-B48</f>
        <v>0</v>
      </c>
      <c r="C51" s="49">
        <f t="shared" si="1"/>
        <v>0</v>
      </c>
      <c r="D51" s="49">
        <f t="shared" si="1"/>
        <v>13277.5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0</v>
      </c>
      <c r="I51" s="49">
        <f t="shared" si="1"/>
        <v>0</v>
      </c>
      <c r="J51" s="152">
        <f t="shared" si="1"/>
        <v>20378.169999999998</v>
      </c>
    </row>
    <row r="52" spans="1:10" ht="15.75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>
  <sheetPr>
    <tabColor rgb="FF0070C0"/>
  </sheetPr>
  <dimension ref="A1:G68"/>
  <sheetViews>
    <sheetView topLeftCell="A2" zoomScaleSheetLayoutView="100" workbookViewId="0"/>
  </sheetViews>
  <sheetFormatPr defaultColWidth="9.140625" defaultRowHeight="15"/>
  <cols>
    <col min="1" max="1" width="9.140625" style="2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>
      <c r="A1" s="11" t="s">
        <v>621</v>
      </c>
      <c r="B1" s="11" t="s">
        <v>211</v>
      </c>
      <c r="C1" s="51" t="s">
        <v>752</v>
      </c>
      <c r="D1" s="157" t="s">
        <v>1024</v>
      </c>
      <c r="E1" s="157" t="s">
        <v>364</v>
      </c>
      <c r="F1" s="157" t="s">
        <v>288</v>
      </c>
      <c r="G1" s="157" t="s">
        <v>431</v>
      </c>
    </row>
    <row r="2" spans="1:7">
      <c r="A2" s="70" t="s">
        <v>923</v>
      </c>
      <c r="B2" s="70" t="s">
        <v>620</v>
      </c>
      <c r="C2" s="246" t="s">
        <v>370</v>
      </c>
      <c r="D2" s="176">
        <v>135409</v>
      </c>
      <c r="E2" s="176">
        <v>130006</v>
      </c>
      <c r="F2" s="176">
        <v>135409</v>
      </c>
      <c r="G2" s="176">
        <v>130006</v>
      </c>
    </row>
    <row r="3" spans="1:7">
      <c r="A3" s="70" t="s">
        <v>791</v>
      </c>
      <c r="B3" s="70" t="s">
        <v>1039</v>
      </c>
      <c r="C3" s="246" t="s">
        <v>138</v>
      </c>
      <c r="D3" s="144">
        <v>113518</v>
      </c>
      <c r="E3" s="144">
        <v>108420</v>
      </c>
      <c r="F3" s="144">
        <v>113518</v>
      </c>
      <c r="G3" s="144">
        <v>108420</v>
      </c>
    </row>
    <row r="4" spans="1:7">
      <c r="A4" s="70" t="s">
        <v>975</v>
      </c>
      <c r="B4" s="70" t="s">
        <v>26</v>
      </c>
      <c r="C4" s="246" t="s">
        <v>680</v>
      </c>
      <c r="D4" s="176">
        <v>16597</v>
      </c>
      <c r="E4" s="176">
        <v>16597</v>
      </c>
      <c r="F4" s="176">
        <v>16597</v>
      </c>
      <c r="G4" s="176">
        <v>16597</v>
      </c>
    </row>
    <row r="5" spans="1:7">
      <c r="A5" s="70" t="s">
        <v>372</v>
      </c>
      <c r="B5" s="70" t="s">
        <v>275</v>
      </c>
      <c r="C5" s="246" t="s">
        <v>1023</v>
      </c>
      <c r="D5" s="176">
        <v>16597</v>
      </c>
      <c r="E5" s="176">
        <v>16597</v>
      </c>
      <c r="F5" s="176">
        <v>16597</v>
      </c>
      <c r="G5" s="176">
        <v>16597</v>
      </c>
    </row>
    <row r="6" spans="1:7">
      <c r="A6" s="70" t="s">
        <v>865</v>
      </c>
      <c r="B6" s="70" t="s">
        <v>745</v>
      </c>
      <c r="C6" s="246" t="s">
        <v>117</v>
      </c>
      <c r="D6" s="162">
        <v>0</v>
      </c>
      <c r="E6" s="176">
        <v>0</v>
      </c>
      <c r="F6" s="162">
        <v>0</v>
      </c>
      <c r="G6" s="176">
        <v>0</v>
      </c>
    </row>
    <row r="7" spans="1:7">
      <c r="A7" s="70" t="s">
        <v>196</v>
      </c>
      <c r="B7" s="70" t="s">
        <v>757</v>
      </c>
      <c r="C7" s="246" t="s">
        <v>226</v>
      </c>
      <c r="D7" s="162">
        <v>0</v>
      </c>
      <c r="E7" s="176">
        <v>0</v>
      </c>
      <c r="F7" s="162">
        <v>0</v>
      </c>
      <c r="G7" s="176">
        <v>0</v>
      </c>
    </row>
    <row r="8" spans="1:7">
      <c r="A8" s="70" t="s">
        <v>74</v>
      </c>
      <c r="B8" s="70" t="s">
        <v>773</v>
      </c>
      <c r="C8" s="246" t="s">
        <v>598</v>
      </c>
      <c r="D8" s="162">
        <v>0</v>
      </c>
      <c r="E8" s="176">
        <v>0</v>
      </c>
      <c r="F8" s="162">
        <v>0</v>
      </c>
      <c r="G8" s="176">
        <v>0</v>
      </c>
    </row>
    <row r="9" spans="1:7">
      <c r="A9" s="70" t="s">
        <v>910</v>
      </c>
      <c r="B9" s="70" t="s">
        <v>640</v>
      </c>
      <c r="C9" s="246" t="s">
        <v>693</v>
      </c>
      <c r="D9" s="162">
        <v>0</v>
      </c>
      <c r="E9" s="176">
        <v>0</v>
      </c>
      <c r="F9" s="162">
        <v>0</v>
      </c>
      <c r="G9" s="176">
        <v>0</v>
      </c>
    </row>
    <row r="10" spans="1:7">
      <c r="A10" s="70" t="s">
        <v>719</v>
      </c>
      <c r="B10" s="70" t="s">
        <v>124</v>
      </c>
      <c r="C10" s="246" t="s">
        <v>681</v>
      </c>
      <c r="D10" s="176">
        <v>1660</v>
      </c>
      <c r="E10" s="176">
        <v>1660</v>
      </c>
      <c r="F10" s="176">
        <v>1660</v>
      </c>
      <c r="G10" s="176">
        <v>1660</v>
      </c>
    </row>
    <row r="11" spans="1:7">
      <c r="A11" s="70" t="s">
        <v>202</v>
      </c>
      <c r="B11" s="70" t="s">
        <v>341</v>
      </c>
      <c r="C11" s="246" t="s">
        <v>368</v>
      </c>
      <c r="D11" s="176">
        <v>1660</v>
      </c>
      <c r="E11" s="176">
        <v>1660</v>
      </c>
      <c r="F11" s="176">
        <v>1660</v>
      </c>
      <c r="G11" s="176">
        <v>1660</v>
      </c>
    </row>
    <row r="12" spans="1:7">
      <c r="A12" s="70" t="s">
        <v>865</v>
      </c>
      <c r="B12" s="70" t="s">
        <v>623</v>
      </c>
      <c r="C12" s="246" t="s">
        <v>19</v>
      </c>
      <c r="D12" s="162">
        <v>0</v>
      </c>
      <c r="E12" s="176">
        <v>0</v>
      </c>
      <c r="F12" s="162">
        <v>0</v>
      </c>
      <c r="G12" s="176">
        <v>0</v>
      </c>
    </row>
    <row r="13" spans="1:7">
      <c r="A13" s="70" t="s">
        <v>755</v>
      </c>
      <c r="B13" s="70" t="s">
        <v>386</v>
      </c>
      <c r="C13" s="246" t="s">
        <v>1008</v>
      </c>
      <c r="D13" s="162">
        <v>0</v>
      </c>
      <c r="E13" s="176">
        <v>0</v>
      </c>
      <c r="F13" s="162">
        <v>0</v>
      </c>
      <c r="G13" s="176">
        <v>0</v>
      </c>
    </row>
    <row r="14" spans="1:7">
      <c r="A14" s="70" t="s">
        <v>195</v>
      </c>
      <c r="B14" s="70" t="s">
        <v>159</v>
      </c>
      <c r="C14" s="246" t="s">
        <v>814</v>
      </c>
      <c r="D14" s="162">
        <v>0</v>
      </c>
      <c r="E14" s="176">
        <v>0</v>
      </c>
      <c r="F14" s="162">
        <v>0</v>
      </c>
      <c r="G14" s="176">
        <v>0</v>
      </c>
    </row>
    <row r="15" spans="1:7">
      <c r="A15" s="70" t="s">
        <v>178</v>
      </c>
      <c r="B15" s="70" t="s">
        <v>760</v>
      </c>
      <c r="C15" s="246" t="s">
        <v>872</v>
      </c>
      <c r="D15" s="162">
        <v>0</v>
      </c>
      <c r="E15" s="176">
        <v>0</v>
      </c>
      <c r="F15" s="162">
        <v>0</v>
      </c>
      <c r="G15" s="176">
        <v>0</v>
      </c>
    </row>
    <row r="16" spans="1:7">
      <c r="A16" s="70" t="s">
        <v>1040</v>
      </c>
      <c r="B16" s="70" t="s">
        <v>648</v>
      </c>
      <c r="C16" s="246" t="s">
        <v>979</v>
      </c>
      <c r="D16" s="162">
        <v>0</v>
      </c>
      <c r="E16" s="176">
        <v>0</v>
      </c>
      <c r="F16" s="162">
        <v>0</v>
      </c>
      <c r="G16" s="176">
        <v>0</v>
      </c>
    </row>
    <row r="17" spans="1:7">
      <c r="A17" s="70" t="s">
        <v>726</v>
      </c>
      <c r="B17" s="70" t="s">
        <v>523</v>
      </c>
      <c r="C17" s="246" t="s">
        <v>297</v>
      </c>
      <c r="D17" s="162">
        <v>0</v>
      </c>
      <c r="E17" s="176">
        <v>0</v>
      </c>
      <c r="F17" s="162">
        <v>0</v>
      </c>
      <c r="G17" s="176">
        <v>0</v>
      </c>
    </row>
    <row r="18" spans="1:7">
      <c r="A18" s="70" t="s">
        <v>865</v>
      </c>
      <c r="B18" s="70" t="s">
        <v>703</v>
      </c>
      <c r="C18" s="246" t="s">
        <v>452</v>
      </c>
      <c r="D18" s="162">
        <v>0</v>
      </c>
      <c r="E18" s="176">
        <v>0</v>
      </c>
      <c r="F18" s="162">
        <v>0</v>
      </c>
      <c r="G18" s="176">
        <v>0</v>
      </c>
    </row>
    <row r="19" spans="1:7">
      <c r="A19" s="70" t="s">
        <v>196</v>
      </c>
      <c r="B19" s="70" t="s">
        <v>28</v>
      </c>
      <c r="C19" s="246" t="s">
        <v>969</v>
      </c>
      <c r="D19" s="162">
        <v>0</v>
      </c>
      <c r="E19" s="176">
        <v>0</v>
      </c>
      <c r="F19" s="162">
        <v>0</v>
      </c>
      <c r="G19" s="176">
        <v>0</v>
      </c>
    </row>
    <row r="20" spans="1:7">
      <c r="A20" s="70" t="s">
        <v>833</v>
      </c>
      <c r="B20" s="70" t="s">
        <v>1054</v>
      </c>
      <c r="C20" s="246" t="s">
        <v>827</v>
      </c>
      <c r="D20" s="176">
        <v>90163</v>
      </c>
      <c r="E20" s="176">
        <v>82603</v>
      </c>
      <c r="F20" s="176">
        <v>90163</v>
      </c>
      <c r="G20" s="176">
        <v>82603</v>
      </c>
    </row>
    <row r="21" spans="1:7">
      <c r="A21" s="70" t="s">
        <v>965</v>
      </c>
      <c r="B21" s="70" t="s">
        <v>1109</v>
      </c>
      <c r="C21" s="246" t="s">
        <v>633</v>
      </c>
      <c r="D21" s="176">
        <v>90163</v>
      </c>
      <c r="E21" s="176">
        <v>82603</v>
      </c>
      <c r="F21" s="176">
        <v>90163</v>
      </c>
      <c r="G21" s="176">
        <v>82603</v>
      </c>
    </row>
    <row r="22" spans="1:7">
      <c r="A22" s="70" t="s">
        <v>865</v>
      </c>
      <c r="B22" s="70" t="s">
        <v>33</v>
      </c>
      <c r="C22" s="246" t="s">
        <v>574</v>
      </c>
      <c r="D22" s="162">
        <v>0</v>
      </c>
      <c r="E22" s="176">
        <v>0</v>
      </c>
      <c r="F22" s="162">
        <v>0</v>
      </c>
      <c r="G22" s="176">
        <v>0</v>
      </c>
    </row>
    <row r="23" spans="1:7">
      <c r="A23" s="70" t="s">
        <v>265</v>
      </c>
      <c r="B23" s="70" t="s">
        <v>643</v>
      </c>
      <c r="C23" s="246" t="s">
        <v>323</v>
      </c>
      <c r="D23" s="176">
        <v>5098</v>
      </c>
      <c r="E23" s="176">
        <v>7560</v>
      </c>
      <c r="F23" s="176">
        <v>5098</v>
      </c>
      <c r="G23" s="176">
        <v>7560</v>
      </c>
    </row>
    <row r="24" spans="1:7">
      <c r="A24" s="70" t="s">
        <v>306</v>
      </c>
      <c r="B24" s="70" t="s">
        <v>336</v>
      </c>
      <c r="C24" s="246" t="s">
        <v>253</v>
      </c>
      <c r="D24" s="176">
        <v>21891</v>
      </c>
      <c r="E24" s="176">
        <v>21586</v>
      </c>
      <c r="F24" s="176">
        <v>21891</v>
      </c>
      <c r="G24" s="176">
        <v>21586</v>
      </c>
    </row>
    <row r="25" spans="1:7">
      <c r="A25" s="70" t="s">
        <v>314</v>
      </c>
      <c r="B25" s="70" t="s">
        <v>359</v>
      </c>
      <c r="C25" s="246" t="s">
        <v>994</v>
      </c>
      <c r="D25" s="176">
        <v>853</v>
      </c>
      <c r="E25" s="176">
        <v>710</v>
      </c>
      <c r="F25" s="176">
        <v>853</v>
      </c>
      <c r="G25" s="176">
        <v>710</v>
      </c>
    </row>
    <row r="26" spans="1:7">
      <c r="A26" s="70" t="s">
        <v>238</v>
      </c>
      <c r="B26" s="70" t="s">
        <v>17</v>
      </c>
      <c r="C26" s="246" t="s">
        <v>79</v>
      </c>
      <c r="D26" s="162">
        <v>0</v>
      </c>
      <c r="E26" s="176">
        <v>0</v>
      </c>
      <c r="F26" s="162">
        <v>0</v>
      </c>
      <c r="G26" s="176">
        <v>0</v>
      </c>
    </row>
    <row r="27" spans="1:7">
      <c r="A27" s="70" t="s">
        <v>701</v>
      </c>
      <c r="B27" s="70" t="s">
        <v>1026</v>
      </c>
      <c r="C27" s="246" t="s">
        <v>1009</v>
      </c>
      <c r="D27" s="162">
        <v>0</v>
      </c>
      <c r="E27" s="176">
        <v>0</v>
      </c>
      <c r="F27" s="162">
        <v>0</v>
      </c>
      <c r="G27" s="176">
        <v>0</v>
      </c>
    </row>
    <row r="28" spans="1:7">
      <c r="A28" s="70" t="s">
        <v>374</v>
      </c>
      <c r="B28" s="70" t="s">
        <v>514</v>
      </c>
      <c r="C28" s="246" t="s">
        <v>885</v>
      </c>
      <c r="D28" s="162">
        <v>0</v>
      </c>
      <c r="E28" s="176">
        <v>0</v>
      </c>
      <c r="F28" s="162">
        <v>0</v>
      </c>
      <c r="G28" s="176">
        <v>0</v>
      </c>
    </row>
    <row r="29" spans="1:7">
      <c r="A29" s="70" t="s">
        <v>433</v>
      </c>
      <c r="B29" s="70" t="s">
        <v>418</v>
      </c>
      <c r="C29" s="246" t="s">
        <v>127</v>
      </c>
      <c r="D29" s="162">
        <v>0</v>
      </c>
      <c r="E29" s="176">
        <v>0</v>
      </c>
      <c r="F29" s="162">
        <v>0</v>
      </c>
      <c r="G29" s="176">
        <v>0</v>
      </c>
    </row>
    <row r="30" spans="1:7">
      <c r="A30" s="70" t="s">
        <v>865</v>
      </c>
      <c r="B30" s="70" t="s">
        <v>718</v>
      </c>
      <c r="C30" s="246" t="s">
        <v>733</v>
      </c>
      <c r="D30" s="162">
        <v>0</v>
      </c>
      <c r="E30" s="176">
        <v>0</v>
      </c>
      <c r="F30" s="162">
        <v>0</v>
      </c>
      <c r="G30" s="176">
        <v>0</v>
      </c>
    </row>
    <row r="31" spans="1:7">
      <c r="A31" s="70" t="s">
        <v>196</v>
      </c>
      <c r="B31" s="70" t="s">
        <v>148</v>
      </c>
      <c r="C31" s="246" t="s">
        <v>939</v>
      </c>
      <c r="D31" s="162">
        <v>0</v>
      </c>
      <c r="E31" s="176">
        <v>0</v>
      </c>
      <c r="F31" s="162">
        <v>0</v>
      </c>
      <c r="G31" s="176">
        <v>0</v>
      </c>
    </row>
    <row r="32" spans="1:7">
      <c r="A32" s="70" t="s">
        <v>361</v>
      </c>
      <c r="B32" s="70" t="s">
        <v>157</v>
      </c>
      <c r="C32" s="246" t="s">
        <v>993</v>
      </c>
      <c r="D32" s="162">
        <v>0</v>
      </c>
      <c r="E32" s="176">
        <v>0</v>
      </c>
      <c r="F32" s="162">
        <v>0</v>
      </c>
      <c r="G32" s="176">
        <v>0</v>
      </c>
    </row>
    <row r="33" spans="1:7">
      <c r="A33" s="70" t="s">
        <v>437</v>
      </c>
      <c r="B33" s="70" t="s">
        <v>764</v>
      </c>
      <c r="C33" s="246" t="s">
        <v>847</v>
      </c>
      <c r="D33" s="162">
        <v>0</v>
      </c>
      <c r="E33" s="176">
        <v>0</v>
      </c>
      <c r="F33" s="162">
        <v>0</v>
      </c>
      <c r="G33" s="176">
        <v>0</v>
      </c>
    </row>
    <row r="34" spans="1:7">
      <c r="A34" s="70" t="s">
        <v>868</v>
      </c>
      <c r="B34" s="70" t="s">
        <v>956</v>
      </c>
      <c r="C34" s="246" t="s">
        <v>767</v>
      </c>
      <c r="D34" s="162">
        <v>0</v>
      </c>
      <c r="E34" s="176">
        <v>0</v>
      </c>
      <c r="F34" s="162">
        <v>0</v>
      </c>
      <c r="G34" s="176">
        <v>0</v>
      </c>
    </row>
    <row r="35" spans="1:7">
      <c r="A35" s="70" t="s">
        <v>915</v>
      </c>
      <c r="B35" s="70" t="s">
        <v>886</v>
      </c>
      <c r="C35" s="246" t="s">
        <v>671</v>
      </c>
      <c r="D35" s="162">
        <v>0</v>
      </c>
      <c r="E35" s="176">
        <v>0</v>
      </c>
      <c r="F35" s="162">
        <v>0</v>
      </c>
      <c r="G35" s="176">
        <v>0</v>
      </c>
    </row>
    <row r="36" spans="1:7">
      <c r="A36" s="70" t="s">
        <v>832</v>
      </c>
      <c r="B36" s="70" t="s">
        <v>867</v>
      </c>
      <c r="C36" s="246" t="s">
        <v>704</v>
      </c>
      <c r="D36" s="162">
        <v>0</v>
      </c>
      <c r="E36" s="176">
        <v>0</v>
      </c>
      <c r="F36" s="162">
        <v>0</v>
      </c>
      <c r="G36" s="176">
        <v>0</v>
      </c>
    </row>
    <row r="37" spans="1:7">
      <c r="A37" s="70" t="s">
        <v>27</v>
      </c>
      <c r="B37" s="70" t="s">
        <v>1055</v>
      </c>
      <c r="C37" s="246" t="s">
        <v>596</v>
      </c>
      <c r="D37" s="176">
        <v>853</v>
      </c>
      <c r="E37" s="176">
        <v>710</v>
      </c>
      <c r="F37" s="176">
        <v>853</v>
      </c>
      <c r="G37" s="176">
        <v>710</v>
      </c>
    </row>
    <row r="38" spans="1:7">
      <c r="A38" s="70" t="s">
        <v>658</v>
      </c>
      <c r="B38" s="70" t="s">
        <v>1112</v>
      </c>
      <c r="C38" s="246" t="s">
        <v>742</v>
      </c>
      <c r="D38" s="162">
        <v>0</v>
      </c>
      <c r="E38" s="176">
        <v>0</v>
      </c>
      <c r="F38" s="162">
        <v>0</v>
      </c>
      <c r="G38" s="176">
        <v>0</v>
      </c>
    </row>
    <row r="39" spans="1:7">
      <c r="A39" s="70" t="s">
        <v>780</v>
      </c>
      <c r="B39" s="70" t="s">
        <v>544</v>
      </c>
      <c r="C39" s="246" t="s">
        <v>830</v>
      </c>
      <c r="D39" s="162">
        <v>0</v>
      </c>
      <c r="E39" s="176">
        <v>0</v>
      </c>
      <c r="F39" s="162">
        <v>0</v>
      </c>
      <c r="G39" s="176">
        <v>0</v>
      </c>
    </row>
    <row r="40" spans="1:7">
      <c r="A40" s="70" t="s">
        <v>282</v>
      </c>
      <c r="B40" s="70" t="s">
        <v>150</v>
      </c>
      <c r="C40" s="246" t="s">
        <v>690</v>
      </c>
      <c r="D40" s="162">
        <v>0</v>
      </c>
      <c r="E40" s="176">
        <v>0</v>
      </c>
      <c r="F40" s="162">
        <v>0</v>
      </c>
      <c r="G40" s="176">
        <v>0</v>
      </c>
    </row>
    <row r="41" spans="1:7">
      <c r="A41" s="70" t="s">
        <v>335</v>
      </c>
      <c r="B41" s="70" t="s">
        <v>25</v>
      </c>
      <c r="C41" s="246" t="s">
        <v>908</v>
      </c>
      <c r="D41" s="162">
        <v>0</v>
      </c>
      <c r="E41" s="176">
        <v>0</v>
      </c>
      <c r="F41" s="162">
        <v>0</v>
      </c>
      <c r="G41" s="176">
        <v>0</v>
      </c>
    </row>
    <row r="42" spans="1:7">
      <c r="A42" s="70" t="s">
        <v>310</v>
      </c>
      <c r="B42" s="70" t="s">
        <v>475</v>
      </c>
      <c r="C42" s="246" t="s">
        <v>1044</v>
      </c>
      <c r="D42" s="162">
        <v>0</v>
      </c>
      <c r="E42" s="176">
        <v>0</v>
      </c>
      <c r="F42" s="162">
        <v>0</v>
      </c>
      <c r="G42" s="176">
        <v>0</v>
      </c>
    </row>
    <row r="43" spans="1:7">
      <c r="A43" s="70" t="s">
        <v>865</v>
      </c>
      <c r="B43" s="70" t="s">
        <v>343</v>
      </c>
      <c r="C43" s="246" t="s">
        <v>559</v>
      </c>
      <c r="D43" s="162">
        <v>0</v>
      </c>
      <c r="E43" s="176">
        <v>0</v>
      </c>
      <c r="F43" s="162">
        <v>0</v>
      </c>
      <c r="G43" s="176">
        <v>0</v>
      </c>
    </row>
    <row r="44" spans="1:7">
      <c r="A44" s="70" t="s">
        <v>707</v>
      </c>
      <c r="B44" s="70" t="s">
        <v>737</v>
      </c>
      <c r="C44" s="246" t="s">
        <v>423</v>
      </c>
      <c r="D44" s="162">
        <v>0</v>
      </c>
      <c r="E44" s="176">
        <v>0</v>
      </c>
      <c r="F44" s="162">
        <v>0</v>
      </c>
      <c r="G44" s="176">
        <v>0</v>
      </c>
    </row>
    <row r="45" spans="1:7">
      <c r="A45" s="70" t="s">
        <v>94</v>
      </c>
      <c r="B45" s="70" t="s">
        <v>828</v>
      </c>
      <c r="C45" s="246" t="s">
        <v>1003</v>
      </c>
      <c r="D45" s="176">
        <v>21038</v>
      </c>
      <c r="E45" s="176">
        <v>20876</v>
      </c>
      <c r="F45" s="176">
        <v>21038</v>
      </c>
      <c r="G45" s="176">
        <v>20876</v>
      </c>
    </row>
    <row r="46" spans="1:7">
      <c r="A46" s="70" t="s">
        <v>132</v>
      </c>
      <c r="B46" s="70" t="s">
        <v>912</v>
      </c>
      <c r="C46" s="246" t="s">
        <v>108</v>
      </c>
      <c r="D46" s="176">
        <v>17</v>
      </c>
      <c r="E46" s="176">
        <v>1849</v>
      </c>
      <c r="F46" s="176">
        <v>17</v>
      </c>
      <c r="G46" s="176">
        <v>1849</v>
      </c>
    </row>
    <row r="47" spans="1:7">
      <c r="A47" s="70" t="s">
        <v>701</v>
      </c>
      <c r="B47" s="70" t="s">
        <v>1091</v>
      </c>
      <c r="C47" s="246" t="s">
        <v>879</v>
      </c>
      <c r="D47" s="162">
        <v>0</v>
      </c>
      <c r="E47" s="176">
        <v>0</v>
      </c>
      <c r="F47" s="162">
        <v>0</v>
      </c>
      <c r="G47" s="176">
        <v>0</v>
      </c>
    </row>
    <row r="48" spans="1:7">
      <c r="A48" s="70" t="s">
        <v>374</v>
      </c>
      <c r="B48" s="70" t="s">
        <v>488</v>
      </c>
      <c r="C48" s="246" t="s">
        <v>3</v>
      </c>
      <c r="D48" s="162">
        <v>0</v>
      </c>
      <c r="E48" s="176">
        <v>0</v>
      </c>
      <c r="F48" s="162">
        <v>0</v>
      </c>
      <c r="G48" s="176">
        <v>0</v>
      </c>
    </row>
    <row r="49" spans="1:7">
      <c r="A49" s="70" t="s">
        <v>433</v>
      </c>
      <c r="B49" s="70" t="s">
        <v>163</v>
      </c>
      <c r="C49" s="246" t="s">
        <v>815</v>
      </c>
      <c r="D49" s="176">
        <v>17</v>
      </c>
      <c r="E49" s="176">
        <v>1849</v>
      </c>
      <c r="F49" s="176">
        <v>17</v>
      </c>
      <c r="G49" s="176">
        <v>1849</v>
      </c>
    </row>
    <row r="50" spans="1:7">
      <c r="A50" s="70" t="s">
        <v>865</v>
      </c>
      <c r="B50" s="70" t="s">
        <v>718</v>
      </c>
      <c r="C50" s="246" t="s">
        <v>882</v>
      </c>
      <c r="D50" s="162">
        <v>0</v>
      </c>
      <c r="E50" s="176">
        <v>0</v>
      </c>
      <c r="F50" s="162">
        <v>0</v>
      </c>
      <c r="G50" s="176">
        <v>0</v>
      </c>
    </row>
    <row r="51" spans="1:7">
      <c r="A51" s="70" t="s">
        <v>196</v>
      </c>
      <c r="B51" s="70" t="s">
        <v>778</v>
      </c>
      <c r="C51" s="246" t="s">
        <v>96</v>
      </c>
      <c r="D51" s="162">
        <v>0</v>
      </c>
      <c r="E51" s="176">
        <v>0</v>
      </c>
      <c r="F51" s="162">
        <v>0</v>
      </c>
      <c r="G51" s="176">
        <v>0</v>
      </c>
    </row>
    <row r="52" spans="1:7">
      <c r="A52" s="70" t="s">
        <v>361</v>
      </c>
      <c r="B52" s="70" t="s">
        <v>327</v>
      </c>
      <c r="C52" s="246" t="s">
        <v>954</v>
      </c>
      <c r="D52" s="162">
        <v>0</v>
      </c>
      <c r="E52" s="176">
        <v>0</v>
      </c>
      <c r="F52" s="162">
        <v>0</v>
      </c>
      <c r="G52" s="176">
        <v>0</v>
      </c>
    </row>
    <row r="53" spans="1:7">
      <c r="A53" s="70" t="s">
        <v>437</v>
      </c>
      <c r="B53" s="70" t="s">
        <v>903</v>
      </c>
      <c r="C53" s="246" t="s">
        <v>0</v>
      </c>
      <c r="D53" s="176">
        <v>7255</v>
      </c>
      <c r="E53" s="176">
        <v>7255</v>
      </c>
      <c r="F53" s="176">
        <v>7255</v>
      </c>
      <c r="G53" s="176">
        <v>7255</v>
      </c>
    </row>
    <row r="54" spans="1:7">
      <c r="A54" s="70" t="s">
        <v>868</v>
      </c>
      <c r="B54" s="70" t="s">
        <v>966</v>
      </c>
      <c r="C54" s="246" t="s">
        <v>448</v>
      </c>
      <c r="D54" s="176">
        <v>5849</v>
      </c>
      <c r="E54" s="176">
        <v>4170</v>
      </c>
      <c r="F54" s="176">
        <v>5849</v>
      </c>
      <c r="G54" s="176">
        <v>4170</v>
      </c>
    </row>
    <row r="55" spans="1:7">
      <c r="A55" s="70" t="s">
        <v>915</v>
      </c>
      <c r="B55" s="70" t="s">
        <v>427</v>
      </c>
      <c r="C55" s="246" t="s">
        <v>426</v>
      </c>
      <c r="D55" s="176">
        <v>3634</v>
      </c>
      <c r="E55" s="176">
        <v>2794</v>
      </c>
      <c r="F55" s="176">
        <v>3634</v>
      </c>
      <c r="G55" s="176">
        <v>2794</v>
      </c>
    </row>
    <row r="56" spans="1:7">
      <c r="A56" s="70" t="s">
        <v>832</v>
      </c>
      <c r="B56" s="70" t="s">
        <v>188</v>
      </c>
      <c r="C56" s="246" t="s">
        <v>957</v>
      </c>
      <c r="D56" s="176">
        <v>4283</v>
      </c>
      <c r="E56" s="176">
        <v>4808</v>
      </c>
      <c r="F56" s="176">
        <v>4283</v>
      </c>
      <c r="G56" s="176">
        <v>4808</v>
      </c>
    </row>
    <row r="57" spans="1:7">
      <c r="A57" s="70" t="s">
        <v>27</v>
      </c>
      <c r="B57" s="70" t="s">
        <v>595</v>
      </c>
      <c r="C57" s="246" t="s">
        <v>97</v>
      </c>
      <c r="D57" s="162">
        <v>0</v>
      </c>
      <c r="E57" s="176">
        <v>0</v>
      </c>
      <c r="F57" s="162">
        <v>0</v>
      </c>
      <c r="G57" s="176">
        <v>0</v>
      </c>
    </row>
    <row r="58" spans="1:7">
      <c r="A58" s="70" t="s">
        <v>658</v>
      </c>
      <c r="B58" s="70" t="s">
        <v>735</v>
      </c>
      <c r="C58" s="246" t="s">
        <v>616</v>
      </c>
      <c r="D58" s="176">
        <v>0</v>
      </c>
      <c r="E58" s="176">
        <v>0</v>
      </c>
      <c r="F58" s="176">
        <v>0</v>
      </c>
      <c r="G58" s="176">
        <v>0</v>
      </c>
    </row>
    <row r="59" spans="1:7">
      <c r="A59" s="70" t="s">
        <v>10</v>
      </c>
      <c r="B59" s="70" t="s">
        <v>550</v>
      </c>
      <c r="C59" s="246" t="s">
        <v>1095</v>
      </c>
      <c r="D59" s="162">
        <v>0</v>
      </c>
      <c r="E59" s="176">
        <v>0</v>
      </c>
      <c r="F59" s="162">
        <v>0</v>
      </c>
      <c r="G59" s="176">
        <v>0</v>
      </c>
    </row>
    <row r="60" spans="1:7">
      <c r="A60" s="70" t="s">
        <v>864</v>
      </c>
      <c r="B60" s="70" t="s">
        <v>948</v>
      </c>
      <c r="C60" s="246" t="s">
        <v>251</v>
      </c>
      <c r="D60" s="162">
        <v>0</v>
      </c>
      <c r="E60" s="176">
        <v>0</v>
      </c>
      <c r="F60" s="162">
        <v>0</v>
      </c>
      <c r="G60" s="176">
        <v>0</v>
      </c>
    </row>
    <row r="61" spans="1:7">
      <c r="A61" s="70" t="s">
        <v>865</v>
      </c>
      <c r="B61" s="70" t="s">
        <v>53</v>
      </c>
      <c r="C61" s="246" t="s">
        <v>524</v>
      </c>
      <c r="D61" s="162">
        <v>0</v>
      </c>
      <c r="E61" s="176">
        <v>0</v>
      </c>
      <c r="F61" s="162">
        <v>0</v>
      </c>
      <c r="G61" s="176">
        <v>0</v>
      </c>
    </row>
    <row r="62" spans="1:7">
      <c r="A62" s="70" t="s">
        <v>1072</v>
      </c>
      <c r="B62" s="70" t="s">
        <v>344</v>
      </c>
      <c r="C62" s="246" t="s">
        <v>711</v>
      </c>
      <c r="D62" s="162">
        <v>0</v>
      </c>
      <c r="E62" s="176">
        <v>0</v>
      </c>
      <c r="F62" s="162">
        <v>0</v>
      </c>
      <c r="G62" s="176">
        <v>0</v>
      </c>
    </row>
    <row r="63" spans="1:7">
      <c r="A63" s="70" t="s">
        <v>995</v>
      </c>
      <c r="B63" s="70" t="s">
        <v>519</v>
      </c>
      <c r="C63" s="246" t="s">
        <v>575</v>
      </c>
      <c r="D63" s="162">
        <v>0</v>
      </c>
      <c r="E63" s="176">
        <v>0</v>
      </c>
      <c r="F63" s="162">
        <v>0</v>
      </c>
      <c r="G63" s="176">
        <v>0</v>
      </c>
    </row>
    <row r="64" spans="1:7">
      <c r="A64" s="70" t="s">
        <v>293</v>
      </c>
      <c r="B64" s="70" t="s">
        <v>415</v>
      </c>
      <c r="C64" s="246" t="s">
        <v>113</v>
      </c>
      <c r="D64" s="162">
        <v>0</v>
      </c>
      <c r="E64" s="176">
        <v>0</v>
      </c>
      <c r="F64" s="162">
        <v>0</v>
      </c>
      <c r="G64" s="176">
        <v>0</v>
      </c>
    </row>
    <row r="65" spans="1:7">
      <c r="A65" s="70" t="s">
        <v>54</v>
      </c>
      <c r="B65" s="70" t="s">
        <v>203</v>
      </c>
      <c r="C65" s="246" t="s">
        <v>987</v>
      </c>
      <c r="D65" s="162">
        <v>0</v>
      </c>
      <c r="E65" s="176">
        <v>0</v>
      </c>
      <c r="F65" s="162">
        <v>0</v>
      </c>
      <c r="G65" s="176">
        <v>0</v>
      </c>
    </row>
    <row r="66" spans="1:7">
      <c r="A66" s="70" t="s">
        <v>865</v>
      </c>
      <c r="B66" s="70" t="s">
        <v>274</v>
      </c>
      <c r="C66" s="246" t="s">
        <v>470</v>
      </c>
      <c r="D66" s="162">
        <v>0</v>
      </c>
      <c r="E66" s="176">
        <v>0</v>
      </c>
      <c r="F66" s="162">
        <v>0</v>
      </c>
      <c r="G66" s="176">
        <v>0</v>
      </c>
    </row>
    <row r="67" spans="1:7">
      <c r="A67" s="70" t="s">
        <v>196</v>
      </c>
      <c r="B67" s="70" t="s">
        <v>43</v>
      </c>
      <c r="C67" s="246" t="s">
        <v>263</v>
      </c>
      <c r="D67" s="162">
        <v>0</v>
      </c>
      <c r="E67" s="176">
        <v>0</v>
      </c>
      <c r="F67" s="162">
        <v>0</v>
      </c>
      <c r="G67" s="176">
        <v>0</v>
      </c>
    </row>
    <row r="68" spans="1:7">
      <c r="A68" s="70" t="s">
        <v>361</v>
      </c>
      <c r="B68" s="70" t="s">
        <v>937</v>
      </c>
      <c r="C68" s="246" t="s">
        <v>118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>
  <sheetPr>
    <tabColor rgb="FF0070C0"/>
  </sheetPr>
  <dimension ref="A1:K79"/>
  <sheetViews>
    <sheetView zoomScaleSheetLayoutView="100" workbookViewId="0"/>
  </sheetViews>
  <sheetFormatPr defaultColWidth="9.140625" defaultRowHeight="15"/>
  <cols>
    <col min="1" max="1" width="8.28515625" style="2" customWidth="1"/>
    <col min="2" max="2" width="63.5703125" style="2" customWidth="1"/>
    <col min="3" max="3" width="4.42578125" style="58" customWidth="1"/>
    <col min="4" max="11" width="15.28515625" style="236" customWidth="1"/>
    <col min="12" max="16384" width="9.140625" style="112"/>
  </cols>
  <sheetData>
    <row r="1" spans="1:11" ht="22.5">
      <c r="A1" s="11" t="s">
        <v>621</v>
      </c>
      <c r="B1" s="11" t="s">
        <v>450</v>
      </c>
      <c r="C1" s="51" t="s">
        <v>752</v>
      </c>
      <c r="D1" s="157" t="s">
        <v>1056</v>
      </c>
      <c r="E1" s="157" t="s">
        <v>1049</v>
      </c>
      <c r="F1" s="157" t="s">
        <v>266</v>
      </c>
      <c r="G1" s="157" t="s">
        <v>609</v>
      </c>
      <c r="H1" s="157" t="s">
        <v>283</v>
      </c>
      <c r="I1" s="157" t="s">
        <v>455</v>
      </c>
      <c r="J1" s="157" t="s">
        <v>622</v>
      </c>
      <c r="K1" s="157" t="s">
        <v>431</v>
      </c>
    </row>
    <row r="2" spans="1:11">
      <c r="A2" s="70" t="s">
        <v>923</v>
      </c>
      <c r="B2" s="70" t="s">
        <v>1043</v>
      </c>
      <c r="C2" s="246" t="s">
        <v>895</v>
      </c>
      <c r="D2" s="176">
        <v>213221</v>
      </c>
      <c r="E2" s="176">
        <v>83215</v>
      </c>
      <c r="F2" s="176">
        <v>130006</v>
      </c>
      <c r="G2" s="176">
        <v>126996</v>
      </c>
      <c r="H2" s="176">
        <v>213221</v>
      </c>
      <c r="I2" s="176">
        <v>83215</v>
      </c>
      <c r="J2" s="176">
        <v>130006</v>
      </c>
      <c r="K2" s="176">
        <v>126996</v>
      </c>
    </row>
    <row r="3" spans="1:11">
      <c r="A3" s="70" t="s">
        <v>791</v>
      </c>
      <c r="B3" s="70" t="s">
        <v>1014</v>
      </c>
      <c r="C3" s="246" t="s">
        <v>379</v>
      </c>
      <c r="D3" s="144">
        <v>95499</v>
      </c>
      <c r="E3" s="144">
        <v>82221</v>
      </c>
      <c r="F3" s="144">
        <v>13278</v>
      </c>
      <c r="G3" s="144">
        <v>20379</v>
      </c>
      <c r="H3" s="144">
        <v>95499</v>
      </c>
      <c r="I3" s="144">
        <v>82221</v>
      </c>
      <c r="J3" s="144">
        <v>13278</v>
      </c>
      <c r="K3" s="144">
        <v>20379</v>
      </c>
    </row>
    <row r="4" spans="1:11">
      <c r="A4" s="70" t="s">
        <v>975</v>
      </c>
      <c r="B4" s="70" t="s">
        <v>576</v>
      </c>
      <c r="C4" s="246" t="s">
        <v>66</v>
      </c>
      <c r="D4" s="162">
        <v>0</v>
      </c>
      <c r="E4" s="162">
        <v>0</v>
      </c>
      <c r="F4" s="162">
        <v>0</v>
      </c>
      <c r="G4" s="176">
        <v>0</v>
      </c>
      <c r="H4" s="162">
        <v>0</v>
      </c>
      <c r="I4" s="162">
        <v>0</v>
      </c>
      <c r="J4" s="162">
        <v>0</v>
      </c>
      <c r="K4" s="176">
        <v>0</v>
      </c>
    </row>
    <row r="5" spans="1:11">
      <c r="A5" s="70" t="s">
        <v>630</v>
      </c>
      <c r="B5" s="70" t="s">
        <v>702</v>
      </c>
      <c r="C5" s="246" t="s">
        <v>122</v>
      </c>
      <c r="D5" s="162">
        <v>0</v>
      </c>
      <c r="E5" s="162">
        <v>0</v>
      </c>
      <c r="F5" s="162">
        <v>0</v>
      </c>
      <c r="G5" s="176">
        <v>0</v>
      </c>
      <c r="H5" s="162">
        <v>0</v>
      </c>
      <c r="I5" s="162">
        <v>0</v>
      </c>
      <c r="J5" s="162">
        <v>0</v>
      </c>
      <c r="K5" s="176">
        <v>0</v>
      </c>
    </row>
    <row r="6" spans="1:11">
      <c r="A6" s="70" t="s">
        <v>865</v>
      </c>
      <c r="B6" s="70" t="s">
        <v>662</v>
      </c>
      <c r="C6" s="246" t="s">
        <v>441</v>
      </c>
      <c r="D6" s="162">
        <v>0</v>
      </c>
      <c r="E6" s="162">
        <v>0</v>
      </c>
      <c r="F6" s="162">
        <v>0</v>
      </c>
      <c r="G6" s="176">
        <v>0</v>
      </c>
      <c r="H6" s="162">
        <v>0</v>
      </c>
      <c r="I6" s="162">
        <v>0</v>
      </c>
      <c r="J6" s="162">
        <v>0</v>
      </c>
      <c r="K6" s="176">
        <v>0</v>
      </c>
    </row>
    <row r="7" spans="1:11">
      <c r="A7" s="70" t="s">
        <v>196</v>
      </c>
      <c r="B7" s="70" t="s">
        <v>647</v>
      </c>
      <c r="C7" s="246" t="s">
        <v>635</v>
      </c>
      <c r="D7" s="162">
        <v>0</v>
      </c>
      <c r="E7" s="162">
        <v>0</v>
      </c>
      <c r="F7" s="162">
        <v>0</v>
      </c>
      <c r="G7" s="176">
        <v>0</v>
      </c>
      <c r="H7" s="162">
        <v>0</v>
      </c>
      <c r="I7" s="162">
        <v>0</v>
      </c>
      <c r="J7" s="162">
        <v>0</v>
      </c>
      <c r="K7" s="176">
        <v>0</v>
      </c>
    </row>
    <row r="8" spans="1:11">
      <c r="A8" s="70" t="s">
        <v>361</v>
      </c>
      <c r="B8" s="70" t="s">
        <v>713</v>
      </c>
      <c r="C8" s="246" t="s">
        <v>710</v>
      </c>
      <c r="D8" s="162">
        <v>0</v>
      </c>
      <c r="E8" s="162">
        <v>0</v>
      </c>
      <c r="F8" s="162">
        <v>0</v>
      </c>
      <c r="G8" s="176">
        <v>0</v>
      </c>
      <c r="H8" s="162">
        <v>0</v>
      </c>
      <c r="I8" s="162">
        <v>0</v>
      </c>
      <c r="J8" s="162">
        <v>0</v>
      </c>
      <c r="K8" s="176">
        <v>0</v>
      </c>
    </row>
    <row r="9" spans="1:11">
      <c r="A9" s="70" t="s">
        <v>437</v>
      </c>
      <c r="B9" s="70" t="s">
        <v>472</v>
      </c>
      <c r="C9" s="246" t="s">
        <v>855</v>
      </c>
      <c r="D9" s="162">
        <v>0</v>
      </c>
      <c r="E9" s="162">
        <v>0</v>
      </c>
      <c r="F9" s="162">
        <v>0</v>
      </c>
      <c r="G9" s="176">
        <v>0</v>
      </c>
      <c r="H9" s="162">
        <v>0</v>
      </c>
      <c r="I9" s="162">
        <v>0</v>
      </c>
      <c r="J9" s="162">
        <v>0</v>
      </c>
      <c r="K9" s="176">
        <v>0</v>
      </c>
    </row>
    <row r="10" spans="1:11">
      <c r="A10" s="70" t="s">
        <v>868</v>
      </c>
      <c r="B10" s="70" t="s">
        <v>403</v>
      </c>
      <c r="C10" s="246" t="s">
        <v>528</v>
      </c>
      <c r="D10" s="162">
        <v>0</v>
      </c>
      <c r="E10" s="162">
        <v>0</v>
      </c>
      <c r="F10" s="162">
        <v>0</v>
      </c>
      <c r="G10" s="176">
        <v>0</v>
      </c>
      <c r="H10" s="162">
        <v>0</v>
      </c>
      <c r="I10" s="162">
        <v>0</v>
      </c>
      <c r="J10" s="162">
        <v>0</v>
      </c>
      <c r="K10" s="176">
        <v>0</v>
      </c>
    </row>
    <row r="11" spans="1:11">
      <c r="A11" s="70" t="s">
        <v>915</v>
      </c>
      <c r="B11" s="70" t="s">
        <v>490</v>
      </c>
      <c r="C11" s="246" t="s">
        <v>878</v>
      </c>
      <c r="D11" s="162">
        <v>0</v>
      </c>
      <c r="E11" s="162">
        <v>0</v>
      </c>
      <c r="F11" s="162">
        <v>0</v>
      </c>
      <c r="G11" s="176">
        <v>0</v>
      </c>
      <c r="H11" s="162">
        <v>0</v>
      </c>
      <c r="I11" s="162">
        <v>0</v>
      </c>
      <c r="J11" s="162">
        <v>0</v>
      </c>
      <c r="K11" s="176">
        <v>0</v>
      </c>
    </row>
    <row r="12" spans="1:11">
      <c r="A12" s="70" t="s">
        <v>74</v>
      </c>
      <c r="B12" s="70" t="s">
        <v>857</v>
      </c>
      <c r="C12" s="246" t="s">
        <v>863</v>
      </c>
      <c r="D12" s="176">
        <v>95499</v>
      </c>
      <c r="E12" s="176">
        <v>82221</v>
      </c>
      <c r="F12" s="176">
        <v>13278</v>
      </c>
      <c r="G12" s="176">
        <v>20379</v>
      </c>
      <c r="H12" s="176">
        <v>95499</v>
      </c>
      <c r="I12" s="176">
        <v>82221</v>
      </c>
      <c r="J12" s="176">
        <v>13278</v>
      </c>
      <c r="K12" s="176">
        <v>20379</v>
      </c>
    </row>
    <row r="13" spans="1:11">
      <c r="A13" s="70" t="s">
        <v>454</v>
      </c>
      <c r="B13" s="70" t="s">
        <v>20</v>
      </c>
      <c r="C13" s="246" t="s">
        <v>331</v>
      </c>
      <c r="D13" s="162">
        <v>0</v>
      </c>
      <c r="E13" s="162">
        <v>0</v>
      </c>
      <c r="F13" s="162">
        <v>0</v>
      </c>
      <c r="G13" s="176">
        <v>0</v>
      </c>
      <c r="H13" s="162">
        <v>0</v>
      </c>
      <c r="I13" s="162">
        <v>0</v>
      </c>
      <c r="J13" s="162">
        <v>0</v>
      </c>
      <c r="K13" s="176">
        <v>0</v>
      </c>
    </row>
    <row r="14" spans="1:11">
      <c r="A14" s="70" t="s">
        <v>865</v>
      </c>
      <c r="B14" s="70" t="s">
        <v>461</v>
      </c>
      <c r="C14" s="246" t="s">
        <v>125</v>
      </c>
      <c r="D14" s="162">
        <v>0</v>
      </c>
      <c r="E14" s="162">
        <v>0</v>
      </c>
      <c r="F14" s="162">
        <v>0</v>
      </c>
      <c r="G14" s="176">
        <v>0</v>
      </c>
      <c r="H14" s="162">
        <v>0</v>
      </c>
      <c r="I14" s="162">
        <v>0</v>
      </c>
      <c r="J14" s="162">
        <v>0</v>
      </c>
      <c r="K14" s="176">
        <v>0</v>
      </c>
    </row>
    <row r="15" spans="1:11">
      <c r="A15" s="70" t="s">
        <v>196</v>
      </c>
      <c r="B15" s="70" t="s">
        <v>684</v>
      </c>
      <c r="C15" s="246" t="s">
        <v>111</v>
      </c>
      <c r="D15" s="176">
        <v>95499</v>
      </c>
      <c r="E15" s="176">
        <v>82221</v>
      </c>
      <c r="F15" s="176">
        <v>13278</v>
      </c>
      <c r="G15" s="176">
        <v>20379</v>
      </c>
      <c r="H15" s="176">
        <v>95499</v>
      </c>
      <c r="I15" s="176">
        <v>82221</v>
      </c>
      <c r="J15" s="176">
        <v>13278</v>
      </c>
      <c r="K15" s="176">
        <v>20379</v>
      </c>
    </row>
    <row r="16" spans="1:11">
      <c r="A16" s="70" t="s">
        <v>361</v>
      </c>
      <c r="B16" s="70" t="s">
        <v>1037</v>
      </c>
      <c r="C16" s="246" t="s">
        <v>496</v>
      </c>
      <c r="D16" s="162">
        <v>0</v>
      </c>
      <c r="E16" s="162">
        <v>0</v>
      </c>
      <c r="F16" s="162">
        <v>0</v>
      </c>
      <c r="G16" s="176">
        <v>0</v>
      </c>
      <c r="H16" s="162">
        <v>0</v>
      </c>
      <c r="I16" s="162">
        <v>0</v>
      </c>
      <c r="J16" s="162">
        <v>0</v>
      </c>
      <c r="K16" s="176">
        <v>0</v>
      </c>
    </row>
    <row r="17" spans="1:11">
      <c r="A17" s="70" t="s">
        <v>437</v>
      </c>
      <c r="B17" s="70" t="s">
        <v>907</v>
      </c>
      <c r="C17" s="246" t="s">
        <v>533</v>
      </c>
      <c r="D17" s="162">
        <v>0</v>
      </c>
      <c r="E17" s="162">
        <v>0</v>
      </c>
      <c r="F17" s="162">
        <v>0</v>
      </c>
      <c r="G17" s="176">
        <v>0</v>
      </c>
      <c r="H17" s="162">
        <v>0</v>
      </c>
      <c r="I17" s="162">
        <v>0</v>
      </c>
      <c r="J17" s="162">
        <v>0</v>
      </c>
      <c r="K17" s="176">
        <v>0</v>
      </c>
    </row>
    <row r="18" spans="1:11">
      <c r="A18" s="70" t="s">
        <v>868</v>
      </c>
      <c r="B18" s="70" t="s">
        <v>241</v>
      </c>
      <c r="C18" s="246" t="s">
        <v>409</v>
      </c>
      <c r="D18" s="162">
        <v>0</v>
      </c>
      <c r="E18" s="162">
        <v>0</v>
      </c>
      <c r="F18" s="162">
        <v>0</v>
      </c>
      <c r="G18" s="176">
        <v>0</v>
      </c>
      <c r="H18" s="162">
        <v>0</v>
      </c>
      <c r="I18" s="162">
        <v>0</v>
      </c>
      <c r="J18" s="162">
        <v>0</v>
      </c>
      <c r="K18" s="176">
        <v>0</v>
      </c>
    </row>
    <row r="19" spans="1:11">
      <c r="A19" s="70" t="s">
        <v>915</v>
      </c>
      <c r="B19" s="70" t="s">
        <v>1111</v>
      </c>
      <c r="C19" s="246" t="s">
        <v>16</v>
      </c>
      <c r="D19" s="162">
        <v>0</v>
      </c>
      <c r="E19" s="162">
        <v>0</v>
      </c>
      <c r="F19" s="162">
        <v>0</v>
      </c>
      <c r="G19" s="176">
        <v>0</v>
      </c>
      <c r="H19" s="162">
        <v>0</v>
      </c>
      <c r="I19" s="162">
        <v>0</v>
      </c>
      <c r="J19" s="162">
        <v>0</v>
      </c>
      <c r="K19" s="176">
        <v>0</v>
      </c>
    </row>
    <row r="20" spans="1:11">
      <c r="A20" s="70" t="s">
        <v>832</v>
      </c>
      <c r="B20" s="70" t="s">
        <v>217</v>
      </c>
      <c r="C20" s="246" t="s">
        <v>1007</v>
      </c>
      <c r="D20" s="162">
        <v>0</v>
      </c>
      <c r="E20" s="162">
        <v>0</v>
      </c>
      <c r="F20" s="162">
        <v>0</v>
      </c>
      <c r="G20" s="176">
        <v>0</v>
      </c>
      <c r="H20" s="162">
        <v>0</v>
      </c>
      <c r="I20" s="162">
        <v>0</v>
      </c>
      <c r="J20" s="162">
        <v>0</v>
      </c>
      <c r="K20" s="176">
        <v>0</v>
      </c>
    </row>
    <row r="21" spans="1:11">
      <c r="A21" s="70" t="s">
        <v>27</v>
      </c>
      <c r="B21" s="70" t="s">
        <v>971</v>
      </c>
      <c r="C21" s="246" t="s">
        <v>264</v>
      </c>
      <c r="D21" s="162">
        <v>0</v>
      </c>
      <c r="E21" s="162">
        <v>0</v>
      </c>
      <c r="F21" s="162">
        <v>0</v>
      </c>
      <c r="G21" s="176">
        <v>0</v>
      </c>
      <c r="H21" s="162">
        <v>0</v>
      </c>
      <c r="I21" s="162">
        <v>0</v>
      </c>
      <c r="J21" s="162">
        <v>0</v>
      </c>
      <c r="K21" s="176">
        <v>0</v>
      </c>
    </row>
    <row r="22" spans="1:11">
      <c r="A22" s="70" t="s">
        <v>1046</v>
      </c>
      <c r="B22" s="70" t="s">
        <v>272</v>
      </c>
      <c r="C22" s="246" t="s">
        <v>7</v>
      </c>
      <c r="D22" s="162">
        <v>0</v>
      </c>
      <c r="E22" s="162">
        <v>0</v>
      </c>
      <c r="F22" s="162">
        <v>0</v>
      </c>
      <c r="G22" s="176">
        <v>0</v>
      </c>
      <c r="H22" s="162">
        <v>0</v>
      </c>
      <c r="I22" s="162">
        <v>0</v>
      </c>
      <c r="J22" s="162">
        <v>0</v>
      </c>
      <c r="K22" s="176">
        <v>0</v>
      </c>
    </row>
    <row r="23" spans="1:11">
      <c r="A23" s="70" t="s">
        <v>512</v>
      </c>
      <c r="B23" s="70" t="s">
        <v>874</v>
      </c>
      <c r="C23" s="246" t="s">
        <v>818</v>
      </c>
      <c r="D23" s="162">
        <v>0</v>
      </c>
      <c r="E23" s="162">
        <v>0</v>
      </c>
      <c r="F23" s="162">
        <v>0</v>
      </c>
      <c r="G23" s="176">
        <v>0</v>
      </c>
      <c r="H23" s="162">
        <v>0</v>
      </c>
      <c r="I23" s="162">
        <v>0</v>
      </c>
      <c r="J23" s="162">
        <v>0</v>
      </c>
      <c r="K23" s="176">
        <v>0</v>
      </c>
    </row>
    <row r="24" spans="1:11">
      <c r="A24" s="70" t="s">
        <v>865</v>
      </c>
      <c r="B24" s="70" t="s">
        <v>296</v>
      </c>
      <c r="C24" s="246" t="s">
        <v>983</v>
      </c>
      <c r="D24" s="162">
        <v>0</v>
      </c>
      <c r="E24" s="162">
        <v>0</v>
      </c>
      <c r="F24" s="162">
        <v>0</v>
      </c>
      <c r="G24" s="176">
        <v>0</v>
      </c>
      <c r="H24" s="162">
        <v>0</v>
      </c>
      <c r="I24" s="162">
        <v>0</v>
      </c>
      <c r="J24" s="162">
        <v>0</v>
      </c>
      <c r="K24" s="176">
        <v>0</v>
      </c>
    </row>
    <row r="25" spans="1:11">
      <c r="A25" s="70" t="s">
        <v>196</v>
      </c>
      <c r="B25" s="70" t="s">
        <v>34</v>
      </c>
      <c r="C25" s="246" t="s">
        <v>518</v>
      </c>
      <c r="D25" s="162">
        <v>0</v>
      </c>
      <c r="E25" s="162">
        <v>0</v>
      </c>
      <c r="F25" s="162">
        <v>0</v>
      </c>
      <c r="G25" s="176">
        <v>0</v>
      </c>
      <c r="H25" s="162">
        <v>0</v>
      </c>
      <c r="I25" s="162">
        <v>0</v>
      </c>
      <c r="J25" s="162">
        <v>0</v>
      </c>
      <c r="K25" s="176">
        <v>0</v>
      </c>
    </row>
    <row r="26" spans="1:11">
      <c r="A26" s="70" t="s">
        <v>361</v>
      </c>
      <c r="B26" s="70" t="s">
        <v>112</v>
      </c>
      <c r="C26" s="246" t="s">
        <v>539</v>
      </c>
      <c r="D26" s="162">
        <v>0</v>
      </c>
      <c r="E26" s="162">
        <v>0</v>
      </c>
      <c r="F26" s="162">
        <v>0</v>
      </c>
      <c r="G26" s="176">
        <v>0</v>
      </c>
      <c r="H26" s="162">
        <v>0</v>
      </c>
      <c r="I26" s="162">
        <v>0</v>
      </c>
      <c r="J26" s="162">
        <v>0</v>
      </c>
      <c r="K26" s="176">
        <v>0</v>
      </c>
    </row>
    <row r="27" spans="1:11">
      <c r="A27" s="70" t="s">
        <v>437</v>
      </c>
      <c r="B27" s="70" t="s">
        <v>749</v>
      </c>
      <c r="C27" s="246" t="s">
        <v>48</v>
      </c>
      <c r="D27" s="162">
        <v>0</v>
      </c>
      <c r="E27" s="162">
        <v>0</v>
      </c>
      <c r="F27" s="162">
        <v>0</v>
      </c>
      <c r="G27" s="176">
        <v>0</v>
      </c>
      <c r="H27" s="162">
        <v>0</v>
      </c>
      <c r="I27" s="162">
        <v>0</v>
      </c>
      <c r="J27" s="162">
        <v>0</v>
      </c>
      <c r="K27" s="176">
        <v>0</v>
      </c>
    </row>
    <row r="28" spans="1:11">
      <c r="A28" s="70" t="s">
        <v>868</v>
      </c>
      <c r="B28" s="70" t="s">
        <v>766</v>
      </c>
      <c r="C28" s="246" t="s">
        <v>730</v>
      </c>
      <c r="D28" s="162">
        <v>0</v>
      </c>
      <c r="E28" s="162">
        <v>0</v>
      </c>
      <c r="F28" s="162">
        <v>0</v>
      </c>
      <c r="G28" s="176">
        <v>0</v>
      </c>
      <c r="H28" s="162">
        <v>0</v>
      </c>
      <c r="I28" s="162">
        <v>0</v>
      </c>
      <c r="J28" s="162">
        <v>0</v>
      </c>
      <c r="K28" s="176">
        <v>0</v>
      </c>
    </row>
    <row r="29" spans="1:11">
      <c r="A29" s="70" t="s">
        <v>915</v>
      </c>
      <c r="B29" s="70" t="s">
        <v>645</v>
      </c>
      <c r="C29" s="246" t="s">
        <v>1061</v>
      </c>
      <c r="D29" s="162">
        <v>0</v>
      </c>
      <c r="E29" s="162">
        <v>0</v>
      </c>
      <c r="F29" s="162">
        <v>0</v>
      </c>
      <c r="G29" s="176">
        <v>0</v>
      </c>
      <c r="H29" s="162">
        <v>0</v>
      </c>
      <c r="I29" s="162">
        <v>0</v>
      </c>
      <c r="J29" s="162">
        <v>0</v>
      </c>
      <c r="K29" s="176">
        <v>0</v>
      </c>
    </row>
    <row r="30" spans="1:11">
      <c r="A30" s="70" t="s">
        <v>832</v>
      </c>
      <c r="B30" s="70" t="s">
        <v>1094</v>
      </c>
      <c r="C30" s="246" t="s">
        <v>1103</v>
      </c>
      <c r="D30" s="162">
        <v>0</v>
      </c>
      <c r="E30" s="162">
        <v>0</v>
      </c>
      <c r="F30" s="162">
        <v>0</v>
      </c>
      <c r="G30" s="176">
        <v>0</v>
      </c>
      <c r="H30" s="162">
        <v>0</v>
      </c>
      <c r="I30" s="162">
        <v>0</v>
      </c>
      <c r="J30" s="162">
        <v>0</v>
      </c>
      <c r="K30" s="176">
        <v>0</v>
      </c>
    </row>
    <row r="31" spans="1:11">
      <c r="A31" s="70" t="s">
        <v>27</v>
      </c>
      <c r="B31" s="70" t="s">
        <v>741</v>
      </c>
      <c r="C31" s="246" t="s">
        <v>268</v>
      </c>
      <c r="D31" s="162">
        <v>0</v>
      </c>
      <c r="E31" s="162">
        <v>0</v>
      </c>
      <c r="F31" s="162">
        <v>0</v>
      </c>
      <c r="G31" s="176">
        <v>0</v>
      </c>
      <c r="H31" s="162">
        <v>0</v>
      </c>
      <c r="I31" s="162">
        <v>0</v>
      </c>
      <c r="J31" s="162">
        <v>0</v>
      </c>
      <c r="K31" s="176">
        <v>0</v>
      </c>
    </row>
    <row r="32" spans="1:11">
      <c r="A32" s="70" t="s">
        <v>658</v>
      </c>
      <c r="B32" s="70" t="s">
        <v>104</v>
      </c>
      <c r="C32" s="246" t="s">
        <v>982</v>
      </c>
      <c r="D32" s="162">
        <v>0</v>
      </c>
      <c r="E32" s="162">
        <v>0</v>
      </c>
      <c r="F32" s="162">
        <v>0</v>
      </c>
      <c r="G32" s="176">
        <v>0</v>
      </c>
      <c r="H32" s="162">
        <v>0</v>
      </c>
      <c r="I32" s="162">
        <v>0</v>
      </c>
      <c r="J32" s="162">
        <v>0</v>
      </c>
      <c r="K32" s="176">
        <v>0</v>
      </c>
    </row>
    <row r="33" spans="1:11">
      <c r="A33" s="70" t="s">
        <v>780</v>
      </c>
      <c r="B33" s="70" t="s">
        <v>1058</v>
      </c>
      <c r="C33" s="246" t="s">
        <v>317</v>
      </c>
      <c r="D33" s="162">
        <v>0</v>
      </c>
      <c r="E33" s="162">
        <v>0</v>
      </c>
      <c r="F33" s="162">
        <v>0</v>
      </c>
      <c r="G33" s="176">
        <v>0</v>
      </c>
      <c r="H33" s="162">
        <v>0</v>
      </c>
      <c r="I33" s="162">
        <v>0</v>
      </c>
      <c r="J33" s="162">
        <v>0</v>
      </c>
      <c r="K33" s="176">
        <v>0</v>
      </c>
    </row>
    <row r="34" spans="1:11">
      <c r="A34" s="70" t="s">
        <v>306</v>
      </c>
      <c r="B34" s="70" t="s">
        <v>300</v>
      </c>
      <c r="C34" s="246" t="s">
        <v>615</v>
      </c>
      <c r="D34" s="176">
        <v>117655</v>
      </c>
      <c r="E34" s="176">
        <v>994</v>
      </c>
      <c r="F34" s="176">
        <v>116661</v>
      </c>
      <c r="G34" s="176">
        <v>106617</v>
      </c>
      <c r="H34" s="176">
        <v>117655</v>
      </c>
      <c r="I34" s="176">
        <v>994</v>
      </c>
      <c r="J34" s="176">
        <v>116661</v>
      </c>
      <c r="K34" s="176">
        <v>106617</v>
      </c>
    </row>
    <row r="35" spans="1:11">
      <c r="A35" s="70" t="s">
        <v>1000</v>
      </c>
      <c r="B35" s="70" t="s">
        <v>504</v>
      </c>
      <c r="C35" s="246" t="s">
        <v>480</v>
      </c>
      <c r="D35" s="162">
        <v>0</v>
      </c>
      <c r="E35" s="162">
        <v>0</v>
      </c>
      <c r="F35" s="162">
        <v>0</v>
      </c>
      <c r="G35" s="176">
        <v>0</v>
      </c>
      <c r="H35" s="162">
        <v>0</v>
      </c>
      <c r="I35" s="162">
        <v>0</v>
      </c>
      <c r="J35" s="162">
        <v>0</v>
      </c>
      <c r="K35" s="176">
        <v>0</v>
      </c>
    </row>
    <row r="36" spans="1:11">
      <c r="A36" s="70" t="s">
        <v>238</v>
      </c>
      <c r="B36" s="70" t="s">
        <v>821</v>
      </c>
      <c r="C36" s="246" t="s">
        <v>446</v>
      </c>
      <c r="D36" s="162">
        <v>0</v>
      </c>
      <c r="E36" s="162">
        <v>0</v>
      </c>
      <c r="F36" s="162">
        <v>0</v>
      </c>
      <c r="G36" s="176">
        <v>0</v>
      </c>
      <c r="H36" s="162">
        <v>0</v>
      </c>
      <c r="I36" s="162">
        <v>0</v>
      </c>
      <c r="J36" s="162">
        <v>0</v>
      </c>
      <c r="K36" s="176">
        <v>0</v>
      </c>
    </row>
    <row r="37" spans="1:11">
      <c r="A37" s="70" t="s">
        <v>865</v>
      </c>
      <c r="B37" s="70" t="s">
        <v>686</v>
      </c>
      <c r="C37" s="246" t="s">
        <v>456</v>
      </c>
      <c r="D37" s="162">
        <v>0</v>
      </c>
      <c r="E37" s="162">
        <v>0</v>
      </c>
      <c r="F37" s="162">
        <v>0</v>
      </c>
      <c r="G37" s="176">
        <v>0</v>
      </c>
      <c r="H37" s="162">
        <v>0</v>
      </c>
      <c r="I37" s="162">
        <v>0</v>
      </c>
      <c r="J37" s="162">
        <v>0</v>
      </c>
      <c r="K37" s="176">
        <v>0</v>
      </c>
    </row>
    <row r="38" spans="1:11">
      <c r="A38" s="70" t="s">
        <v>196</v>
      </c>
      <c r="B38" s="70" t="s">
        <v>572</v>
      </c>
      <c r="C38" s="246" t="s">
        <v>582</v>
      </c>
      <c r="D38" s="162">
        <v>0</v>
      </c>
      <c r="E38" s="162">
        <v>0</v>
      </c>
      <c r="F38" s="162">
        <v>0</v>
      </c>
      <c r="G38" s="176">
        <v>0</v>
      </c>
      <c r="H38" s="162">
        <v>0</v>
      </c>
      <c r="I38" s="162">
        <v>0</v>
      </c>
      <c r="J38" s="162">
        <v>0</v>
      </c>
      <c r="K38" s="176">
        <v>0</v>
      </c>
    </row>
    <row r="39" spans="1:11">
      <c r="A39" s="70" t="s">
        <v>361</v>
      </c>
      <c r="B39" s="70" t="s">
        <v>664</v>
      </c>
      <c r="C39" s="246" t="s">
        <v>169</v>
      </c>
      <c r="D39" s="162">
        <v>0</v>
      </c>
      <c r="E39" s="162">
        <v>0</v>
      </c>
      <c r="F39" s="162">
        <v>0</v>
      </c>
      <c r="G39" s="176">
        <v>0</v>
      </c>
      <c r="H39" s="162">
        <v>0</v>
      </c>
      <c r="I39" s="162">
        <v>0</v>
      </c>
      <c r="J39" s="162">
        <v>0</v>
      </c>
      <c r="K39" s="176">
        <v>0</v>
      </c>
    </row>
    <row r="40" spans="1:11">
      <c r="A40" s="70" t="s">
        <v>437</v>
      </c>
      <c r="B40" s="70" t="s">
        <v>394</v>
      </c>
      <c r="C40" s="246" t="s">
        <v>12</v>
      </c>
      <c r="D40" s="162">
        <v>0</v>
      </c>
      <c r="E40" s="162">
        <v>0</v>
      </c>
      <c r="F40" s="162">
        <v>0</v>
      </c>
      <c r="G40" s="176">
        <v>0</v>
      </c>
      <c r="H40" s="162">
        <v>0</v>
      </c>
      <c r="I40" s="162">
        <v>0</v>
      </c>
      <c r="J40" s="162">
        <v>0</v>
      </c>
      <c r="K40" s="176">
        <v>0</v>
      </c>
    </row>
    <row r="41" spans="1:11">
      <c r="A41" s="70" t="s">
        <v>868</v>
      </c>
      <c r="B41" s="70" t="s">
        <v>577</v>
      </c>
      <c r="C41" s="246" t="s">
        <v>763</v>
      </c>
      <c r="D41" s="162">
        <v>0</v>
      </c>
      <c r="E41" s="162">
        <v>0</v>
      </c>
      <c r="F41" s="162">
        <v>0</v>
      </c>
      <c r="G41" s="176">
        <v>0</v>
      </c>
      <c r="H41" s="162">
        <v>0</v>
      </c>
      <c r="I41" s="162">
        <v>0</v>
      </c>
      <c r="J41" s="162">
        <v>0</v>
      </c>
      <c r="K41" s="176">
        <v>0</v>
      </c>
    </row>
    <row r="42" spans="1:11">
      <c r="A42" s="70" t="s">
        <v>335</v>
      </c>
      <c r="B42" s="70" t="s">
        <v>563</v>
      </c>
      <c r="C42" s="246" t="s">
        <v>199</v>
      </c>
      <c r="D42" s="162">
        <v>0</v>
      </c>
      <c r="E42" s="162">
        <v>0</v>
      </c>
      <c r="F42" s="162">
        <v>0</v>
      </c>
      <c r="G42" s="176">
        <v>0</v>
      </c>
      <c r="H42" s="162">
        <v>0</v>
      </c>
      <c r="I42" s="162">
        <v>0</v>
      </c>
      <c r="J42" s="162">
        <v>0</v>
      </c>
      <c r="K42" s="176">
        <v>0</v>
      </c>
    </row>
    <row r="43" spans="1:11">
      <c r="A43" s="70" t="s">
        <v>310</v>
      </c>
      <c r="B43" s="70" t="s">
        <v>298</v>
      </c>
      <c r="C43" s="246" t="s">
        <v>543</v>
      </c>
      <c r="D43" s="162">
        <v>0</v>
      </c>
      <c r="E43" s="162">
        <v>0</v>
      </c>
      <c r="F43" s="162">
        <v>0</v>
      </c>
      <c r="G43" s="176">
        <v>0</v>
      </c>
      <c r="H43" s="162">
        <v>0</v>
      </c>
      <c r="I43" s="162">
        <v>0</v>
      </c>
      <c r="J43" s="162">
        <v>0</v>
      </c>
      <c r="K43" s="176">
        <v>0</v>
      </c>
    </row>
    <row r="44" spans="1:11">
      <c r="A44" s="70" t="s">
        <v>701</v>
      </c>
      <c r="B44" s="70" t="s">
        <v>385</v>
      </c>
      <c r="C44" s="246" t="s">
        <v>1090</v>
      </c>
      <c r="D44" s="162">
        <v>0</v>
      </c>
      <c r="E44" s="162">
        <v>0</v>
      </c>
      <c r="F44" s="162">
        <v>0</v>
      </c>
      <c r="G44" s="176">
        <v>0</v>
      </c>
      <c r="H44" s="162">
        <v>0</v>
      </c>
      <c r="I44" s="162">
        <v>0</v>
      </c>
      <c r="J44" s="162">
        <v>0</v>
      </c>
      <c r="K44" s="176">
        <v>0</v>
      </c>
    </row>
    <row r="45" spans="1:11">
      <c r="A45" s="70" t="s">
        <v>374</v>
      </c>
      <c r="B45" s="70" t="s">
        <v>981</v>
      </c>
      <c r="C45" s="246" t="s">
        <v>465</v>
      </c>
      <c r="D45" s="162">
        <v>0</v>
      </c>
      <c r="E45" s="162">
        <v>0</v>
      </c>
      <c r="F45" s="162">
        <v>0</v>
      </c>
      <c r="G45" s="176">
        <v>0</v>
      </c>
      <c r="H45" s="162">
        <v>0</v>
      </c>
      <c r="I45" s="162">
        <v>0</v>
      </c>
      <c r="J45" s="162">
        <v>0</v>
      </c>
      <c r="K45" s="176">
        <v>0</v>
      </c>
    </row>
    <row r="46" spans="1:11">
      <c r="A46" s="70" t="s">
        <v>433</v>
      </c>
      <c r="B46" s="70" t="s">
        <v>156</v>
      </c>
      <c r="C46" s="246" t="s">
        <v>784</v>
      </c>
      <c r="D46" s="162">
        <v>0</v>
      </c>
      <c r="E46" s="162">
        <v>0</v>
      </c>
      <c r="F46" s="162">
        <v>0</v>
      </c>
      <c r="G46" s="176">
        <v>0</v>
      </c>
      <c r="H46" s="162">
        <v>0</v>
      </c>
      <c r="I46" s="162">
        <v>0</v>
      </c>
      <c r="J46" s="162">
        <v>0</v>
      </c>
      <c r="K46" s="176">
        <v>0</v>
      </c>
    </row>
    <row r="47" spans="1:11">
      <c r="A47" s="70" t="s">
        <v>865</v>
      </c>
      <c r="B47" s="70" t="s">
        <v>718</v>
      </c>
      <c r="C47" s="246" t="s">
        <v>925</v>
      </c>
      <c r="D47" s="162">
        <v>0</v>
      </c>
      <c r="E47" s="162">
        <v>0</v>
      </c>
      <c r="F47" s="162">
        <v>0</v>
      </c>
      <c r="G47" s="176">
        <v>0</v>
      </c>
      <c r="H47" s="162">
        <v>0</v>
      </c>
      <c r="I47" s="162">
        <v>0</v>
      </c>
      <c r="J47" s="162">
        <v>0</v>
      </c>
      <c r="K47" s="176">
        <v>0</v>
      </c>
    </row>
    <row r="48" spans="1:11">
      <c r="A48" s="70" t="s">
        <v>196</v>
      </c>
      <c r="B48" s="70" t="s">
        <v>962</v>
      </c>
      <c r="C48" s="246" t="s">
        <v>938</v>
      </c>
      <c r="D48" s="162">
        <v>0</v>
      </c>
      <c r="E48" s="162">
        <v>0</v>
      </c>
      <c r="F48" s="162">
        <v>0</v>
      </c>
      <c r="G48" s="176">
        <v>0</v>
      </c>
      <c r="H48" s="162">
        <v>0</v>
      </c>
      <c r="I48" s="162">
        <v>0</v>
      </c>
      <c r="J48" s="162">
        <v>0</v>
      </c>
      <c r="K48" s="176">
        <v>0</v>
      </c>
    </row>
    <row r="49" spans="1:11">
      <c r="A49" s="70" t="s">
        <v>361</v>
      </c>
      <c r="B49" s="70" t="s">
        <v>531</v>
      </c>
      <c r="C49" s="246" t="s">
        <v>816</v>
      </c>
      <c r="D49" s="162">
        <v>0</v>
      </c>
      <c r="E49" s="162">
        <v>0</v>
      </c>
      <c r="F49" s="162">
        <v>0</v>
      </c>
      <c r="G49" s="176">
        <v>0</v>
      </c>
      <c r="H49" s="162">
        <v>0</v>
      </c>
      <c r="I49" s="162">
        <v>0</v>
      </c>
      <c r="J49" s="162">
        <v>0</v>
      </c>
      <c r="K49" s="176">
        <v>0</v>
      </c>
    </row>
    <row r="50" spans="1:11">
      <c r="A50" s="70" t="s">
        <v>437</v>
      </c>
      <c r="B50" s="70" t="s">
        <v>135</v>
      </c>
      <c r="C50" s="246" t="s">
        <v>299</v>
      </c>
      <c r="D50" s="162">
        <v>0</v>
      </c>
      <c r="E50" s="162">
        <v>0</v>
      </c>
      <c r="F50" s="162">
        <v>0</v>
      </c>
      <c r="G50" s="176">
        <v>0</v>
      </c>
      <c r="H50" s="162">
        <v>0</v>
      </c>
      <c r="I50" s="162">
        <v>0</v>
      </c>
      <c r="J50" s="162">
        <v>0</v>
      </c>
      <c r="K50" s="176">
        <v>0</v>
      </c>
    </row>
    <row r="51" spans="1:11">
      <c r="A51" s="70" t="s">
        <v>868</v>
      </c>
      <c r="B51" s="70" t="s">
        <v>325</v>
      </c>
      <c r="C51" s="246" t="s">
        <v>756</v>
      </c>
      <c r="D51" s="162">
        <v>0</v>
      </c>
      <c r="E51" s="162">
        <v>0</v>
      </c>
      <c r="F51" s="162">
        <v>0</v>
      </c>
      <c r="G51" s="176">
        <v>0</v>
      </c>
      <c r="H51" s="162">
        <v>0</v>
      </c>
      <c r="I51" s="162">
        <v>0</v>
      </c>
      <c r="J51" s="162">
        <v>0</v>
      </c>
      <c r="K51" s="176">
        <v>0</v>
      </c>
    </row>
    <row r="52" spans="1:11">
      <c r="A52" s="70" t="s">
        <v>915</v>
      </c>
      <c r="B52" s="70" t="s">
        <v>963</v>
      </c>
      <c r="C52" s="246" t="s">
        <v>258</v>
      </c>
      <c r="D52" s="162">
        <v>0</v>
      </c>
      <c r="E52" s="162">
        <v>0</v>
      </c>
      <c r="F52" s="162">
        <v>0</v>
      </c>
      <c r="G52" s="176">
        <v>0</v>
      </c>
      <c r="H52" s="162">
        <v>0</v>
      </c>
      <c r="I52" s="162">
        <v>0</v>
      </c>
      <c r="J52" s="162">
        <v>0</v>
      </c>
      <c r="K52" s="176">
        <v>0</v>
      </c>
    </row>
    <row r="53" spans="1:11">
      <c r="A53" s="70" t="s">
        <v>832</v>
      </c>
      <c r="B53" s="70" t="s">
        <v>23</v>
      </c>
      <c r="C53" s="246" t="s">
        <v>589</v>
      </c>
      <c r="D53" s="162">
        <v>0</v>
      </c>
      <c r="E53" s="162">
        <v>0</v>
      </c>
      <c r="F53" s="162">
        <v>0</v>
      </c>
      <c r="G53" s="176">
        <v>0</v>
      </c>
      <c r="H53" s="162">
        <v>0</v>
      </c>
      <c r="I53" s="162">
        <v>0</v>
      </c>
      <c r="J53" s="162">
        <v>0</v>
      </c>
      <c r="K53" s="176">
        <v>0</v>
      </c>
    </row>
    <row r="54" spans="1:11">
      <c r="A54" s="70" t="s">
        <v>707</v>
      </c>
      <c r="B54" s="70" t="s">
        <v>228</v>
      </c>
      <c r="C54" s="246" t="s">
        <v>529</v>
      </c>
      <c r="D54" s="176">
        <v>13634</v>
      </c>
      <c r="E54" s="176">
        <v>994</v>
      </c>
      <c r="F54" s="176">
        <v>12640</v>
      </c>
      <c r="G54" s="176">
        <v>18459</v>
      </c>
      <c r="H54" s="176">
        <v>13634</v>
      </c>
      <c r="I54" s="176">
        <v>994</v>
      </c>
      <c r="J54" s="176">
        <v>12640</v>
      </c>
      <c r="K54" s="176">
        <v>18459</v>
      </c>
    </row>
    <row r="55" spans="1:11">
      <c r="A55" s="70" t="s">
        <v>1101</v>
      </c>
      <c r="B55" s="70" t="s">
        <v>607</v>
      </c>
      <c r="C55" s="246" t="s">
        <v>318</v>
      </c>
      <c r="D55" s="176">
        <v>13464</v>
      </c>
      <c r="E55" s="176">
        <v>994</v>
      </c>
      <c r="F55" s="176">
        <v>12470</v>
      </c>
      <c r="G55" s="176">
        <v>18289</v>
      </c>
      <c r="H55" s="176">
        <v>13464</v>
      </c>
      <c r="I55" s="176">
        <v>994</v>
      </c>
      <c r="J55" s="176">
        <v>12470</v>
      </c>
      <c r="K55" s="176">
        <v>18289</v>
      </c>
    </row>
    <row r="56" spans="1:11">
      <c r="A56" s="70" t="s">
        <v>701</v>
      </c>
      <c r="B56" s="70" t="s">
        <v>385</v>
      </c>
      <c r="C56" s="246" t="s">
        <v>936</v>
      </c>
      <c r="D56" s="162">
        <v>0</v>
      </c>
      <c r="E56" s="162">
        <v>0</v>
      </c>
      <c r="F56" s="162">
        <v>0</v>
      </c>
      <c r="G56" s="176">
        <v>0</v>
      </c>
      <c r="H56" s="162">
        <v>0</v>
      </c>
      <c r="I56" s="162">
        <v>0</v>
      </c>
      <c r="J56" s="162">
        <v>0</v>
      </c>
      <c r="K56" s="176">
        <v>0</v>
      </c>
    </row>
    <row r="57" spans="1:11">
      <c r="A57" s="70" t="s">
        <v>374</v>
      </c>
      <c r="B57" s="70" t="s">
        <v>981</v>
      </c>
      <c r="C57" s="246" t="s">
        <v>295</v>
      </c>
      <c r="D57" s="162">
        <v>0</v>
      </c>
      <c r="E57" s="162">
        <v>0</v>
      </c>
      <c r="F57" s="162">
        <v>0</v>
      </c>
      <c r="G57" s="176">
        <v>0</v>
      </c>
      <c r="H57" s="162">
        <v>0</v>
      </c>
      <c r="I57" s="162">
        <v>0</v>
      </c>
      <c r="J57" s="162">
        <v>0</v>
      </c>
      <c r="K57" s="176">
        <v>0</v>
      </c>
    </row>
    <row r="58" spans="1:11">
      <c r="A58" s="70" t="s">
        <v>433</v>
      </c>
      <c r="B58" s="70" t="s">
        <v>156</v>
      </c>
      <c r="C58" s="246" t="s">
        <v>1082</v>
      </c>
      <c r="D58" s="176">
        <v>13464</v>
      </c>
      <c r="E58" s="176">
        <v>994</v>
      </c>
      <c r="F58" s="176">
        <v>12470</v>
      </c>
      <c r="G58" s="176">
        <v>18289</v>
      </c>
      <c r="H58" s="176">
        <v>13464</v>
      </c>
      <c r="I58" s="176">
        <v>994</v>
      </c>
      <c r="J58" s="176">
        <v>12470</v>
      </c>
      <c r="K58" s="176">
        <v>18289</v>
      </c>
    </row>
    <row r="59" spans="1:11">
      <c r="A59" s="70" t="s">
        <v>865</v>
      </c>
      <c r="B59" s="70" t="s">
        <v>718</v>
      </c>
      <c r="C59" s="246" t="s">
        <v>564</v>
      </c>
      <c r="D59" s="162">
        <v>0</v>
      </c>
      <c r="E59" s="162">
        <v>0</v>
      </c>
      <c r="F59" s="162">
        <v>0</v>
      </c>
      <c r="G59" s="176">
        <v>0</v>
      </c>
      <c r="H59" s="162">
        <v>0</v>
      </c>
      <c r="I59" s="162">
        <v>0</v>
      </c>
      <c r="J59" s="162">
        <v>0</v>
      </c>
      <c r="K59" s="176">
        <v>0</v>
      </c>
    </row>
    <row r="60" spans="1:11">
      <c r="A60" s="70" t="s">
        <v>196</v>
      </c>
      <c r="B60" s="70" t="s">
        <v>962</v>
      </c>
      <c r="C60" s="246" t="s">
        <v>351</v>
      </c>
      <c r="D60" s="162">
        <v>0</v>
      </c>
      <c r="E60" s="162">
        <v>0</v>
      </c>
      <c r="F60" s="162">
        <v>0</v>
      </c>
      <c r="G60" s="176">
        <v>0</v>
      </c>
      <c r="H60" s="162">
        <v>0</v>
      </c>
      <c r="I60" s="162">
        <v>0</v>
      </c>
      <c r="J60" s="162">
        <v>0</v>
      </c>
      <c r="K60" s="176">
        <v>0</v>
      </c>
    </row>
    <row r="61" spans="1:11">
      <c r="A61" s="70" t="s">
        <v>361</v>
      </c>
      <c r="B61" s="70" t="s">
        <v>531</v>
      </c>
      <c r="C61" s="246" t="s">
        <v>1005</v>
      </c>
      <c r="D61" s="162">
        <v>0</v>
      </c>
      <c r="E61" s="162">
        <v>0</v>
      </c>
      <c r="F61" s="162">
        <v>0</v>
      </c>
      <c r="G61" s="176">
        <v>0</v>
      </c>
      <c r="H61" s="162">
        <v>0</v>
      </c>
      <c r="I61" s="162">
        <v>0</v>
      </c>
      <c r="J61" s="162">
        <v>0</v>
      </c>
      <c r="K61" s="176">
        <v>0</v>
      </c>
    </row>
    <row r="62" spans="1:11">
      <c r="A62" s="70" t="s">
        <v>437</v>
      </c>
      <c r="B62" s="70" t="s">
        <v>896</v>
      </c>
      <c r="C62" s="246" t="s">
        <v>888</v>
      </c>
      <c r="D62" s="162">
        <v>0</v>
      </c>
      <c r="E62" s="162">
        <v>0</v>
      </c>
      <c r="F62" s="162">
        <v>0</v>
      </c>
      <c r="G62" s="176">
        <v>0</v>
      </c>
      <c r="H62" s="162">
        <v>0</v>
      </c>
      <c r="I62" s="162">
        <v>0</v>
      </c>
      <c r="J62" s="162">
        <v>0</v>
      </c>
      <c r="K62" s="176">
        <v>0</v>
      </c>
    </row>
    <row r="63" spans="1:11">
      <c r="A63" s="70" t="s">
        <v>868</v>
      </c>
      <c r="B63" s="70" t="s">
        <v>639</v>
      </c>
      <c r="C63" s="246" t="s">
        <v>184</v>
      </c>
      <c r="D63" s="176">
        <v>0</v>
      </c>
      <c r="E63" s="162">
        <v>0</v>
      </c>
      <c r="F63" s="176">
        <v>0</v>
      </c>
      <c r="G63" s="176">
        <v>0</v>
      </c>
      <c r="H63" s="176">
        <v>0</v>
      </c>
      <c r="I63" s="162">
        <v>0</v>
      </c>
      <c r="J63" s="176">
        <v>0</v>
      </c>
      <c r="K63" s="176">
        <v>0</v>
      </c>
    </row>
    <row r="64" spans="1:11">
      <c r="A64" s="70" t="s">
        <v>915</v>
      </c>
      <c r="B64" s="70" t="s">
        <v>992</v>
      </c>
      <c r="C64" s="246" t="s">
        <v>675</v>
      </c>
      <c r="D64" s="176">
        <v>0</v>
      </c>
      <c r="E64" s="162">
        <v>0</v>
      </c>
      <c r="F64" s="176">
        <v>0</v>
      </c>
      <c r="G64" s="176">
        <v>0</v>
      </c>
      <c r="H64" s="176">
        <v>0</v>
      </c>
      <c r="I64" s="162">
        <v>0</v>
      </c>
      <c r="J64" s="176">
        <v>0</v>
      </c>
      <c r="K64" s="176">
        <v>0</v>
      </c>
    </row>
    <row r="65" spans="1:11">
      <c r="A65" s="70" t="s">
        <v>832</v>
      </c>
      <c r="B65" s="70" t="s">
        <v>325</v>
      </c>
      <c r="C65" s="246" t="s">
        <v>1030</v>
      </c>
      <c r="D65" s="162">
        <v>0</v>
      </c>
      <c r="E65" s="162">
        <v>0</v>
      </c>
      <c r="F65" s="162">
        <v>0</v>
      </c>
      <c r="G65" s="176">
        <v>0</v>
      </c>
      <c r="H65" s="162">
        <v>0</v>
      </c>
      <c r="I65" s="162">
        <v>0</v>
      </c>
      <c r="J65" s="162">
        <v>0</v>
      </c>
      <c r="K65" s="176">
        <v>0</v>
      </c>
    </row>
    <row r="66" spans="1:11">
      <c r="A66" s="70" t="s">
        <v>27</v>
      </c>
      <c r="B66" s="70" t="s">
        <v>517</v>
      </c>
      <c r="C66" s="246" t="s">
        <v>11</v>
      </c>
      <c r="D66" s="176">
        <v>170</v>
      </c>
      <c r="E66" s="162">
        <v>0</v>
      </c>
      <c r="F66" s="176">
        <v>170</v>
      </c>
      <c r="G66" s="176">
        <v>170</v>
      </c>
      <c r="H66" s="176">
        <v>170</v>
      </c>
      <c r="I66" s="162">
        <v>0</v>
      </c>
      <c r="J66" s="176">
        <v>170</v>
      </c>
      <c r="K66" s="176">
        <v>170</v>
      </c>
    </row>
    <row r="67" spans="1:11">
      <c r="A67" s="70" t="s">
        <v>94</v>
      </c>
      <c r="B67" s="70" t="s">
        <v>916</v>
      </c>
      <c r="C67" s="246" t="s">
        <v>986</v>
      </c>
      <c r="D67" s="162">
        <v>0</v>
      </c>
      <c r="E67" s="162">
        <v>0</v>
      </c>
      <c r="F67" s="162">
        <v>0</v>
      </c>
      <c r="G67" s="176">
        <v>0</v>
      </c>
      <c r="H67" s="162">
        <v>0</v>
      </c>
      <c r="I67" s="162">
        <v>0</v>
      </c>
      <c r="J67" s="162">
        <v>0</v>
      </c>
      <c r="K67" s="176">
        <v>0</v>
      </c>
    </row>
    <row r="68" spans="1:11">
      <c r="A68" s="70" t="s">
        <v>806</v>
      </c>
      <c r="B68" s="70" t="s">
        <v>21</v>
      </c>
      <c r="C68" s="246" t="s">
        <v>988</v>
      </c>
      <c r="D68" s="162">
        <v>0</v>
      </c>
      <c r="E68" s="162">
        <v>0</v>
      </c>
      <c r="F68" s="162">
        <v>0</v>
      </c>
      <c r="G68" s="176">
        <v>0</v>
      </c>
      <c r="H68" s="162">
        <v>0</v>
      </c>
      <c r="I68" s="162">
        <v>0</v>
      </c>
      <c r="J68" s="162">
        <v>0</v>
      </c>
      <c r="K68" s="176">
        <v>0</v>
      </c>
    </row>
    <row r="69" spans="1:11">
      <c r="A69" s="70" t="s">
        <v>865</v>
      </c>
      <c r="B69" s="70" t="s">
        <v>796</v>
      </c>
      <c r="C69" s="246" t="s">
        <v>422</v>
      </c>
      <c r="D69" s="162">
        <v>0</v>
      </c>
      <c r="E69" s="162">
        <v>0</v>
      </c>
      <c r="F69" s="162">
        <v>0</v>
      </c>
      <c r="G69" s="176">
        <v>0</v>
      </c>
      <c r="H69" s="162">
        <v>0</v>
      </c>
      <c r="I69" s="162">
        <v>0</v>
      </c>
      <c r="J69" s="162">
        <v>0</v>
      </c>
      <c r="K69" s="176">
        <v>0</v>
      </c>
    </row>
    <row r="70" spans="1:11">
      <c r="A70" s="70" t="s">
        <v>196</v>
      </c>
      <c r="B70" s="70" t="s">
        <v>930</v>
      </c>
      <c r="C70" s="246" t="s">
        <v>750</v>
      </c>
      <c r="D70" s="162">
        <v>0</v>
      </c>
      <c r="E70" s="162">
        <v>0</v>
      </c>
      <c r="F70" s="162">
        <v>0</v>
      </c>
      <c r="G70" s="176">
        <v>0</v>
      </c>
      <c r="H70" s="162">
        <v>0</v>
      </c>
      <c r="I70" s="162">
        <v>0</v>
      </c>
      <c r="J70" s="162">
        <v>0</v>
      </c>
      <c r="K70" s="176">
        <v>0</v>
      </c>
    </row>
    <row r="71" spans="1:11">
      <c r="A71" s="70" t="s">
        <v>361</v>
      </c>
      <c r="B71" s="70" t="s">
        <v>220</v>
      </c>
      <c r="C71" s="246" t="s">
        <v>313</v>
      </c>
      <c r="D71" s="162">
        <v>0</v>
      </c>
      <c r="E71" s="162">
        <v>0</v>
      </c>
      <c r="F71" s="162">
        <v>0</v>
      </c>
      <c r="G71" s="176">
        <v>0</v>
      </c>
      <c r="H71" s="162">
        <v>0</v>
      </c>
      <c r="I71" s="162">
        <v>0</v>
      </c>
      <c r="J71" s="162">
        <v>0</v>
      </c>
      <c r="K71" s="176">
        <v>0</v>
      </c>
    </row>
    <row r="72" spans="1:11">
      <c r="A72" s="70" t="s">
        <v>10</v>
      </c>
      <c r="B72" s="70" t="s">
        <v>193</v>
      </c>
      <c r="C72" s="246" t="s">
        <v>1075</v>
      </c>
      <c r="D72" s="176">
        <v>104021</v>
      </c>
      <c r="E72" s="162">
        <v>0</v>
      </c>
      <c r="F72" s="176">
        <v>104021</v>
      </c>
      <c r="G72" s="176">
        <v>88158</v>
      </c>
      <c r="H72" s="176">
        <v>104021</v>
      </c>
      <c r="I72" s="162">
        <v>0</v>
      </c>
      <c r="J72" s="176">
        <v>104021</v>
      </c>
      <c r="K72" s="176">
        <v>88158</v>
      </c>
    </row>
    <row r="73" spans="1:11">
      <c r="A73" s="70" t="s">
        <v>864</v>
      </c>
      <c r="B73" s="70" t="s">
        <v>758</v>
      </c>
      <c r="C73" s="246" t="s">
        <v>790</v>
      </c>
      <c r="D73" s="176">
        <v>1442</v>
      </c>
      <c r="E73" s="162">
        <v>0</v>
      </c>
      <c r="F73" s="176">
        <v>1442</v>
      </c>
      <c r="G73" s="176">
        <v>977</v>
      </c>
      <c r="H73" s="176">
        <v>1442</v>
      </c>
      <c r="I73" s="162">
        <v>0</v>
      </c>
      <c r="J73" s="176">
        <v>1442</v>
      </c>
      <c r="K73" s="176">
        <v>977</v>
      </c>
    </row>
    <row r="74" spans="1:11">
      <c r="A74" s="70" t="s">
        <v>865</v>
      </c>
      <c r="B74" s="70" t="s">
        <v>302</v>
      </c>
      <c r="C74" s="246" t="s">
        <v>570</v>
      </c>
      <c r="D74" s="176">
        <v>102579</v>
      </c>
      <c r="E74" s="162">
        <v>0</v>
      </c>
      <c r="F74" s="176">
        <v>102579</v>
      </c>
      <c r="G74" s="176">
        <v>87181</v>
      </c>
      <c r="H74" s="176">
        <v>102579</v>
      </c>
      <c r="I74" s="162">
        <v>0</v>
      </c>
      <c r="J74" s="176">
        <v>102579</v>
      </c>
      <c r="K74" s="176">
        <v>87181</v>
      </c>
    </row>
    <row r="75" spans="1:11">
      <c r="A75" s="70" t="s">
        <v>293</v>
      </c>
      <c r="B75" s="70" t="s">
        <v>538</v>
      </c>
      <c r="C75" s="246" t="s">
        <v>218</v>
      </c>
      <c r="D75" s="176">
        <v>67</v>
      </c>
      <c r="E75" s="162">
        <v>0</v>
      </c>
      <c r="F75" s="176">
        <v>67</v>
      </c>
      <c r="G75" s="176">
        <v>0</v>
      </c>
      <c r="H75" s="176">
        <v>67</v>
      </c>
      <c r="I75" s="162">
        <v>0</v>
      </c>
      <c r="J75" s="176">
        <v>67</v>
      </c>
      <c r="K75" s="176">
        <v>0</v>
      </c>
    </row>
    <row r="76" spans="1:11">
      <c r="A76" s="70" t="s">
        <v>717</v>
      </c>
      <c r="B76" s="70" t="s">
        <v>223</v>
      </c>
      <c r="C76" s="246" t="s">
        <v>846</v>
      </c>
      <c r="D76" s="162">
        <v>0</v>
      </c>
      <c r="E76" s="162">
        <v>0</v>
      </c>
      <c r="F76" s="162">
        <v>0</v>
      </c>
      <c r="G76" s="176">
        <v>0</v>
      </c>
      <c r="H76" s="162">
        <v>0</v>
      </c>
      <c r="I76" s="162">
        <v>0</v>
      </c>
      <c r="J76" s="162">
        <v>0</v>
      </c>
      <c r="K76" s="176">
        <v>0</v>
      </c>
    </row>
    <row r="77" spans="1:11">
      <c r="A77" s="70" t="s">
        <v>865</v>
      </c>
      <c r="B77" s="70" t="s">
        <v>669</v>
      </c>
      <c r="C77" s="246" t="s">
        <v>599</v>
      </c>
      <c r="D77" s="176">
        <v>67</v>
      </c>
      <c r="E77" s="162">
        <v>0</v>
      </c>
      <c r="F77" s="176">
        <v>67</v>
      </c>
      <c r="G77" s="176">
        <v>0</v>
      </c>
      <c r="H77" s="176">
        <v>67</v>
      </c>
      <c r="I77" s="162">
        <v>0</v>
      </c>
      <c r="J77" s="176">
        <v>67</v>
      </c>
      <c r="K77" s="176">
        <v>0</v>
      </c>
    </row>
    <row r="78" spans="1:11">
      <c r="A78" s="70" t="s">
        <v>196</v>
      </c>
      <c r="B78" s="70" t="s">
        <v>1098</v>
      </c>
      <c r="C78" s="246" t="s">
        <v>688</v>
      </c>
      <c r="D78" s="162">
        <v>0</v>
      </c>
      <c r="E78" s="162">
        <v>0</v>
      </c>
      <c r="F78" s="162">
        <v>0</v>
      </c>
      <c r="G78" s="176">
        <v>0</v>
      </c>
      <c r="H78" s="162">
        <v>0</v>
      </c>
      <c r="I78" s="162">
        <v>0</v>
      </c>
      <c r="J78" s="162">
        <v>0</v>
      </c>
      <c r="K78" s="176">
        <v>0</v>
      </c>
    </row>
    <row r="79" spans="1:11">
      <c r="A79" s="70" t="s">
        <v>361</v>
      </c>
      <c r="B79" s="70" t="s">
        <v>285</v>
      </c>
      <c r="C79" s="246" t="s">
        <v>844</v>
      </c>
      <c r="D79" s="162">
        <v>0</v>
      </c>
      <c r="E79" s="162">
        <v>0</v>
      </c>
      <c r="F79" s="162">
        <v>0</v>
      </c>
      <c r="G79" s="176">
        <v>0</v>
      </c>
      <c r="H79" s="162">
        <v>0</v>
      </c>
      <c r="I79" s="162">
        <v>0</v>
      </c>
      <c r="J79" s="162">
        <v>0</v>
      </c>
      <c r="K79" s="176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>
  <sheetPr>
    <tabColor rgb="FF0070C0"/>
  </sheetPr>
  <dimension ref="A1:G68"/>
  <sheetViews>
    <sheetView zoomScaleSheetLayoutView="100" workbookViewId="0"/>
  </sheetViews>
  <sheetFormatPr defaultColWidth="9.140625" defaultRowHeight="15"/>
  <cols>
    <col min="1" max="1" width="8.28515625" style="2" customWidth="1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>
      <c r="A1" s="11" t="s">
        <v>621</v>
      </c>
      <c r="B1" s="11" t="s">
        <v>211</v>
      </c>
      <c r="C1" s="51" t="s">
        <v>752</v>
      </c>
      <c r="D1" s="157" t="s">
        <v>1024</v>
      </c>
      <c r="E1" s="157" t="s">
        <v>364</v>
      </c>
      <c r="F1" s="157" t="s">
        <v>288</v>
      </c>
      <c r="G1" s="157" t="s">
        <v>431</v>
      </c>
    </row>
    <row r="2" spans="1:7">
      <c r="A2" s="70" t="s">
        <v>923</v>
      </c>
      <c r="B2" s="70" t="s">
        <v>620</v>
      </c>
      <c r="C2" s="246" t="s">
        <v>370</v>
      </c>
      <c r="D2" s="176">
        <v>130006</v>
      </c>
      <c r="E2" s="176">
        <v>126996</v>
      </c>
      <c r="F2" s="176">
        <v>130006</v>
      </c>
      <c r="G2" s="176">
        <v>126996</v>
      </c>
    </row>
    <row r="3" spans="1:7">
      <c r="A3" s="70" t="s">
        <v>791</v>
      </c>
      <c r="B3" s="70" t="s">
        <v>1039</v>
      </c>
      <c r="C3" s="246" t="s">
        <v>138</v>
      </c>
      <c r="D3" s="144">
        <v>108420</v>
      </c>
      <c r="E3" s="144">
        <v>100861</v>
      </c>
      <c r="F3" s="144">
        <v>108420</v>
      </c>
      <c r="G3" s="144">
        <v>100861</v>
      </c>
    </row>
    <row r="4" spans="1:7">
      <c r="A4" s="70" t="s">
        <v>975</v>
      </c>
      <c r="B4" s="70" t="s">
        <v>26</v>
      </c>
      <c r="C4" s="246" t="s">
        <v>680</v>
      </c>
      <c r="D4" s="176">
        <v>16597</v>
      </c>
      <c r="E4" s="176">
        <v>16597</v>
      </c>
      <c r="F4" s="176">
        <v>16597</v>
      </c>
      <c r="G4" s="176">
        <v>16597</v>
      </c>
    </row>
    <row r="5" spans="1:7">
      <c r="A5" s="70" t="s">
        <v>372</v>
      </c>
      <c r="B5" s="70" t="s">
        <v>275</v>
      </c>
      <c r="C5" s="246" t="s">
        <v>1023</v>
      </c>
      <c r="D5" s="176">
        <v>16597</v>
      </c>
      <c r="E5" s="176">
        <v>16597</v>
      </c>
      <c r="F5" s="176">
        <v>16597</v>
      </c>
      <c r="G5" s="176">
        <v>16597</v>
      </c>
    </row>
    <row r="6" spans="1:7">
      <c r="A6" s="70" t="s">
        <v>865</v>
      </c>
      <c r="B6" s="70" t="s">
        <v>745</v>
      </c>
      <c r="C6" s="246" t="s">
        <v>117</v>
      </c>
      <c r="D6" s="162">
        <v>0</v>
      </c>
      <c r="E6" s="176">
        <v>0</v>
      </c>
      <c r="F6" s="162">
        <v>0</v>
      </c>
      <c r="G6" s="176">
        <v>0</v>
      </c>
    </row>
    <row r="7" spans="1:7">
      <c r="A7" s="70" t="s">
        <v>196</v>
      </c>
      <c r="B7" s="70" t="s">
        <v>757</v>
      </c>
      <c r="C7" s="246" t="s">
        <v>226</v>
      </c>
      <c r="D7" s="162">
        <v>0</v>
      </c>
      <c r="E7" s="176">
        <v>0</v>
      </c>
      <c r="F7" s="162">
        <v>0</v>
      </c>
      <c r="G7" s="176">
        <v>0</v>
      </c>
    </row>
    <row r="8" spans="1:7">
      <c r="A8" s="70" t="s">
        <v>74</v>
      </c>
      <c r="B8" s="70" t="s">
        <v>773</v>
      </c>
      <c r="C8" s="246" t="s">
        <v>598</v>
      </c>
      <c r="D8" s="162">
        <v>0</v>
      </c>
      <c r="E8" s="176">
        <v>0</v>
      </c>
      <c r="F8" s="162">
        <v>0</v>
      </c>
      <c r="G8" s="176">
        <v>0</v>
      </c>
    </row>
    <row r="9" spans="1:7">
      <c r="A9" s="70" t="s">
        <v>910</v>
      </c>
      <c r="B9" s="70" t="s">
        <v>640</v>
      </c>
      <c r="C9" s="246" t="s">
        <v>693</v>
      </c>
      <c r="D9" s="162">
        <v>0</v>
      </c>
      <c r="E9" s="176">
        <v>0</v>
      </c>
      <c r="F9" s="162">
        <v>0</v>
      </c>
      <c r="G9" s="176">
        <v>0</v>
      </c>
    </row>
    <row r="10" spans="1:7">
      <c r="A10" s="70" t="s">
        <v>719</v>
      </c>
      <c r="B10" s="70" t="s">
        <v>124</v>
      </c>
      <c r="C10" s="246" t="s">
        <v>681</v>
      </c>
      <c r="D10" s="176">
        <v>1660</v>
      </c>
      <c r="E10" s="176">
        <v>1660</v>
      </c>
      <c r="F10" s="176">
        <v>1660</v>
      </c>
      <c r="G10" s="176">
        <v>1660</v>
      </c>
    </row>
    <row r="11" spans="1:7">
      <c r="A11" s="70" t="s">
        <v>202</v>
      </c>
      <c r="B11" s="70" t="s">
        <v>341</v>
      </c>
      <c r="C11" s="246" t="s">
        <v>368</v>
      </c>
      <c r="D11" s="176">
        <v>1660</v>
      </c>
      <c r="E11" s="176">
        <v>1660</v>
      </c>
      <c r="F11" s="176">
        <v>1660</v>
      </c>
      <c r="G11" s="176">
        <v>1660</v>
      </c>
    </row>
    <row r="12" spans="1:7">
      <c r="A12" s="70" t="s">
        <v>865</v>
      </c>
      <c r="B12" s="70" t="s">
        <v>623</v>
      </c>
      <c r="C12" s="246" t="s">
        <v>19</v>
      </c>
      <c r="D12" s="162">
        <v>0</v>
      </c>
      <c r="E12" s="176">
        <v>0</v>
      </c>
      <c r="F12" s="162">
        <v>0</v>
      </c>
      <c r="G12" s="176">
        <v>0</v>
      </c>
    </row>
    <row r="13" spans="1:7">
      <c r="A13" s="70" t="s">
        <v>755</v>
      </c>
      <c r="B13" s="70" t="s">
        <v>386</v>
      </c>
      <c r="C13" s="246" t="s">
        <v>1008</v>
      </c>
      <c r="D13" s="162">
        <v>0</v>
      </c>
      <c r="E13" s="176">
        <v>0</v>
      </c>
      <c r="F13" s="162">
        <v>0</v>
      </c>
      <c r="G13" s="176">
        <v>0</v>
      </c>
    </row>
    <row r="14" spans="1:7">
      <c r="A14" s="70" t="s">
        <v>195</v>
      </c>
      <c r="B14" s="70" t="s">
        <v>159</v>
      </c>
      <c r="C14" s="246" t="s">
        <v>814</v>
      </c>
      <c r="D14" s="162">
        <v>0</v>
      </c>
      <c r="E14" s="176">
        <v>0</v>
      </c>
      <c r="F14" s="162">
        <v>0</v>
      </c>
      <c r="G14" s="176">
        <v>0</v>
      </c>
    </row>
    <row r="15" spans="1:7">
      <c r="A15" s="70" t="s">
        <v>178</v>
      </c>
      <c r="B15" s="70" t="s">
        <v>760</v>
      </c>
      <c r="C15" s="246" t="s">
        <v>872</v>
      </c>
      <c r="D15" s="162">
        <v>0</v>
      </c>
      <c r="E15" s="176">
        <v>0</v>
      </c>
      <c r="F15" s="162">
        <v>0</v>
      </c>
      <c r="G15" s="176">
        <v>0</v>
      </c>
    </row>
    <row r="16" spans="1:7">
      <c r="A16" s="70" t="s">
        <v>1040</v>
      </c>
      <c r="B16" s="70" t="s">
        <v>648</v>
      </c>
      <c r="C16" s="246" t="s">
        <v>979</v>
      </c>
      <c r="D16" s="162">
        <v>0</v>
      </c>
      <c r="E16" s="176">
        <v>0</v>
      </c>
      <c r="F16" s="162">
        <v>0</v>
      </c>
      <c r="G16" s="176">
        <v>0</v>
      </c>
    </row>
    <row r="17" spans="1:7">
      <c r="A17" s="70" t="s">
        <v>726</v>
      </c>
      <c r="B17" s="70" t="s">
        <v>523</v>
      </c>
      <c r="C17" s="246" t="s">
        <v>297</v>
      </c>
      <c r="D17" s="162">
        <v>0</v>
      </c>
      <c r="E17" s="176">
        <v>0</v>
      </c>
      <c r="F17" s="162">
        <v>0</v>
      </c>
      <c r="G17" s="176">
        <v>0</v>
      </c>
    </row>
    <row r="18" spans="1:7">
      <c r="A18" s="70" t="s">
        <v>865</v>
      </c>
      <c r="B18" s="70" t="s">
        <v>703</v>
      </c>
      <c r="C18" s="246" t="s">
        <v>452</v>
      </c>
      <c r="D18" s="162">
        <v>0</v>
      </c>
      <c r="E18" s="176">
        <v>0</v>
      </c>
      <c r="F18" s="162">
        <v>0</v>
      </c>
      <c r="G18" s="176">
        <v>0</v>
      </c>
    </row>
    <row r="19" spans="1:7">
      <c r="A19" s="70" t="s">
        <v>196</v>
      </c>
      <c r="B19" s="70" t="s">
        <v>28</v>
      </c>
      <c r="C19" s="246" t="s">
        <v>969</v>
      </c>
      <c r="D19" s="162">
        <v>0</v>
      </c>
      <c r="E19" s="176">
        <v>0</v>
      </c>
      <c r="F19" s="162">
        <v>0</v>
      </c>
      <c r="G19" s="176">
        <v>0</v>
      </c>
    </row>
    <row r="20" spans="1:7">
      <c r="A20" s="70" t="s">
        <v>833</v>
      </c>
      <c r="B20" s="70" t="s">
        <v>1054</v>
      </c>
      <c r="C20" s="246" t="s">
        <v>827</v>
      </c>
      <c r="D20" s="176">
        <v>82603</v>
      </c>
      <c r="E20" s="176">
        <v>64574</v>
      </c>
      <c r="F20" s="176">
        <v>82603</v>
      </c>
      <c r="G20" s="176">
        <v>64574</v>
      </c>
    </row>
    <row r="21" spans="1:7">
      <c r="A21" s="70" t="s">
        <v>965</v>
      </c>
      <c r="B21" s="70" t="s">
        <v>1109</v>
      </c>
      <c r="C21" s="246" t="s">
        <v>633</v>
      </c>
      <c r="D21" s="176">
        <v>82603</v>
      </c>
      <c r="E21" s="176">
        <v>64574</v>
      </c>
      <c r="F21" s="176">
        <v>82603</v>
      </c>
      <c r="G21" s="176">
        <v>64574</v>
      </c>
    </row>
    <row r="22" spans="1:7">
      <c r="A22" s="70" t="s">
        <v>865</v>
      </c>
      <c r="B22" s="70" t="s">
        <v>33</v>
      </c>
      <c r="C22" s="246" t="s">
        <v>574</v>
      </c>
      <c r="D22" s="162">
        <v>0</v>
      </c>
      <c r="E22" s="176">
        <v>0</v>
      </c>
      <c r="F22" s="162">
        <v>0</v>
      </c>
      <c r="G22" s="176">
        <v>0</v>
      </c>
    </row>
    <row r="23" spans="1:7">
      <c r="A23" s="70" t="s">
        <v>265</v>
      </c>
      <c r="B23" s="70" t="s">
        <v>643</v>
      </c>
      <c r="C23" s="246" t="s">
        <v>323</v>
      </c>
      <c r="D23" s="176">
        <v>7560</v>
      </c>
      <c r="E23" s="176">
        <v>18030</v>
      </c>
      <c r="F23" s="176">
        <v>7560</v>
      </c>
      <c r="G23" s="176">
        <v>18030</v>
      </c>
    </row>
    <row r="24" spans="1:7">
      <c r="A24" s="70" t="s">
        <v>306</v>
      </c>
      <c r="B24" s="70" t="s">
        <v>336</v>
      </c>
      <c r="C24" s="246" t="s">
        <v>253</v>
      </c>
      <c r="D24" s="176">
        <v>21586</v>
      </c>
      <c r="E24" s="176">
        <v>26135</v>
      </c>
      <c r="F24" s="176">
        <v>21586</v>
      </c>
      <c r="G24" s="176">
        <v>26135</v>
      </c>
    </row>
    <row r="25" spans="1:7">
      <c r="A25" s="70" t="s">
        <v>314</v>
      </c>
      <c r="B25" s="70" t="s">
        <v>359</v>
      </c>
      <c r="C25" s="246" t="s">
        <v>994</v>
      </c>
      <c r="D25" s="176">
        <v>710</v>
      </c>
      <c r="E25" s="176">
        <v>618</v>
      </c>
      <c r="F25" s="176">
        <v>710</v>
      </c>
      <c r="G25" s="176">
        <v>618</v>
      </c>
    </row>
    <row r="26" spans="1:7">
      <c r="A26" s="70" t="s">
        <v>238</v>
      </c>
      <c r="B26" s="70" t="s">
        <v>17</v>
      </c>
      <c r="C26" s="246" t="s">
        <v>79</v>
      </c>
      <c r="D26" s="162">
        <v>0</v>
      </c>
      <c r="E26" s="176">
        <v>0</v>
      </c>
      <c r="F26" s="162">
        <v>0</v>
      </c>
      <c r="G26" s="176">
        <v>0</v>
      </c>
    </row>
    <row r="27" spans="1:7">
      <c r="A27" s="70" t="s">
        <v>701</v>
      </c>
      <c r="B27" s="70" t="s">
        <v>1026</v>
      </c>
      <c r="C27" s="246" t="s">
        <v>1009</v>
      </c>
      <c r="D27" s="162">
        <v>0</v>
      </c>
      <c r="E27" s="176">
        <v>0</v>
      </c>
      <c r="F27" s="162">
        <v>0</v>
      </c>
      <c r="G27" s="176">
        <v>0</v>
      </c>
    </row>
    <row r="28" spans="1:7">
      <c r="A28" s="70" t="s">
        <v>374</v>
      </c>
      <c r="B28" s="70" t="s">
        <v>514</v>
      </c>
      <c r="C28" s="246" t="s">
        <v>885</v>
      </c>
      <c r="D28" s="162">
        <v>0</v>
      </c>
      <c r="E28" s="176">
        <v>0</v>
      </c>
      <c r="F28" s="162">
        <v>0</v>
      </c>
      <c r="G28" s="176">
        <v>0</v>
      </c>
    </row>
    <row r="29" spans="1:7">
      <c r="A29" s="70" t="s">
        <v>433</v>
      </c>
      <c r="B29" s="70" t="s">
        <v>418</v>
      </c>
      <c r="C29" s="246" t="s">
        <v>127</v>
      </c>
      <c r="D29" s="162">
        <v>0</v>
      </c>
      <c r="E29" s="176">
        <v>0</v>
      </c>
      <c r="F29" s="162">
        <v>0</v>
      </c>
      <c r="G29" s="176">
        <v>0</v>
      </c>
    </row>
    <row r="30" spans="1:7">
      <c r="A30" s="70" t="s">
        <v>865</v>
      </c>
      <c r="B30" s="70" t="s">
        <v>718</v>
      </c>
      <c r="C30" s="246" t="s">
        <v>733</v>
      </c>
      <c r="D30" s="162">
        <v>0</v>
      </c>
      <c r="E30" s="176">
        <v>0</v>
      </c>
      <c r="F30" s="162">
        <v>0</v>
      </c>
      <c r="G30" s="176">
        <v>0</v>
      </c>
    </row>
    <row r="31" spans="1:7">
      <c r="A31" s="70" t="s">
        <v>196</v>
      </c>
      <c r="B31" s="70" t="s">
        <v>148</v>
      </c>
      <c r="C31" s="246" t="s">
        <v>939</v>
      </c>
      <c r="D31" s="162">
        <v>0</v>
      </c>
      <c r="E31" s="176">
        <v>0</v>
      </c>
      <c r="F31" s="162">
        <v>0</v>
      </c>
      <c r="G31" s="176">
        <v>0</v>
      </c>
    </row>
    <row r="32" spans="1:7">
      <c r="A32" s="70" t="s">
        <v>361</v>
      </c>
      <c r="B32" s="70" t="s">
        <v>157</v>
      </c>
      <c r="C32" s="246" t="s">
        <v>993</v>
      </c>
      <c r="D32" s="162">
        <v>0</v>
      </c>
      <c r="E32" s="176">
        <v>0</v>
      </c>
      <c r="F32" s="162">
        <v>0</v>
      </c>
      <c r="G32" s="176">
        <v>0</v>
      </c>
    </row>
    <row r="33" spans="1:7">
      <c r="A33" s="70" t="s">
        <v>437</v>
      </c>
      <c r="B33" s="70" t="s">
        <v>764</v>
      </c>
      <c r="C33" s="246" t="s">
        <v>847</v>
      </c>
      <c r="D33" s="162">
        <v>0</v>
      </c>
      <c r="E33" s="176">
        <v>0</v>
      </c>
      <c r="F33" s="162">
        <v>0</v>
      </c>
      <c r="G33" s="176">
        <v>0</v>
      </c>
    </row>
    <row r="34" spans="1:7">
      <c r="A34" s="70" t="s">
        <v>868</v>
      </c>
      <c r="B34" s="70" t="s">
        <v>956</v>
      </c>
      <c r="C34" s="246" t="s">
        <v>767</v>
      </c>
      <c r="D34" s="162">
        <v>0</v>
      </c>
      <c r="E34" s="176">
        <v>0</v>
      </c>
      <c r="F34" s="162">
        <v>0</v>
      </c>
      <c r="G34" s="176">
        <v>0</v>
      </c>
    </row>
    <row r="35" spans="1:7">
      <c r="A35" s="70" t="s">
        <v>915</v>
      </c>
      <c r="B35" s="70" t="s">
        <v>886</v>
      </c>
      <c r="C35" s="246" t="s">
        <v>671</v>
      </c>
      <c r="D35" s="162">
        <v>0</v>
      </c>
      <c r="E35" s="176">
        <v>0</v>
      </c>
      <c r="F35" s="162">
        <v>0</v>
      </c>
      <c r="G35" s="176">
        <v>0</v>
      </c>
    </row>
    <row r="36" spans="1:7">
      <c r="A36" s="70" t="s">
        <v>832</v>
      </c>
      <c r="B36" s="70" t="s">
        <v>867</v>
      </c>
      <c r="C36" s="246" t="s">
        <v>704</v>
      </c>
      <c r="D36" s="162">
        <v>0</v>
      </c>
      <c r="E36" s="176">
        <v>0</v>
      </c>
      <c r="F36" s="162">
        <v>0</v>
      </c>
      <c r="G36" s="176">
        <v>0</v>
      </c>
    </row>
    <row r="37" spans="1:7">
      <c r="A37" s="70" t="s">
        <v>27</v>
      </c>
      <c r="B37" s="70" t="s">
        <v>1055</v>
      </c>
      <c r="C37" s="246" t="s">
        <v>596</v>
      </c>
      <c r="D37" s="176">
        <v>710</v>
      </c>
      <c r="E37" s="176">
        <v>618</v>
      </c>
      <c r="F37" s="176">
        <v>710</v>
      </c>
      <c r="G37" s="176">
        <v>618</v>
      </c>
    </row>
    <row r="38" spans="1:7">
      <c r="A38" s="70" t="s">
        <v>658</v>
      </c>
      <c r="B38" s="70" t="s">
        <v>1112</v>
      </c>
      <c r="C38" s="246" t="s">
        <v>742</v>
      </c>
      <c r="D38" s="162">
        <v>0</v>
      </c>
      <c r="E38" s="176">
        <v>0</v>
      </c>
      <c r="F38" s="162">
        <v>0</v>
      </c>
      <c r="G38" s="176">
        <v>0</v>
      </c>
    </row>
    <row r="39" spans="1:7">
      <c r="A39" s="70" t="s">
        <v>780</v>
      </c>
      <c r="B39" s="70" t="s">
        <v>544</v>
      </c>
      <c r="C39" s="246" t="s">
        <v>830</v>
      </c>
      <c r="D39" s="162">
        <v>0</v>
      </c>
      <c r="E39" s="176">
        <v>0</v>
      </c>
      <c r="F39" s="162">
        <v>0</v>
      </c>
      <c r="G39" s="176">
        <v>0</v>
      </c>
    </row>
    <row r="40" spans="1:7">
      <c r="A40" s="70" t="s">
        <v>282</v>
      </c>
      <c r="B40" s="70" t="s">
        <v>150</v>
      </c>
      <c r="C40" s="246" t="s">
        <v>690</v>
      </c>
      <c r="D40" s="162">
        <v>0</v>
      </c>
      <c r="E40" s="176">
        <v>0</v>
      </c>
      <c r="F40" s="162">
        <v>0</v>
      </c>
      <c r="G40" s="176">
        <v>0</v>
      </c>
    </row>
    <row r="41" spans="1:7">
      <c r="A41" s="70" t="s">
        <v>335</v>
      </c>
      <c r="B41" s="70" t="s">
        <v>25</v>
      </c>
      <c r="C41" s="246" t="s">
        <v>908</v>
      </c>
      <c r="D41" s="162">
        <v>0</v>
      </c>
      <c r="E41" s="176">
        <v>0</v>
      </c>
      <c r="F41" s="162">
        <v>0</v>
      </c>
      <c r="G41" s="176">
        <v>0</v>
      </c>
    </row>
    <row r="42" spans="1:7">
      <c r="A42" s="70" t="s">
        <v>310</v>
      </c>
      <c r="B42" s="70" t="s">
        <v>475</v>
      </c>
      <c r="C42" s="246" t="s">
        <v>1044</v>
      </c>
      <c r="D42" s="162">
        <v>0</v>
      </c>
      <c r="E42" s="176">
        <v>0</v>
      </c>
      <c r="F42" s="162">
        <v>0</v>
      </c>
      <c r="G42" s="176">
        <v>0</v>
      </c>
    </row>
    <row r="43" spans="1:7">
      <c r="A43" s="70" t="s">
        <v>865</v>
      </c>
      <c r="B43" s="70" t="s">
        <v>343</v>
      </c>
      <c r="C43" s="246" t="s">
        <v>559</v>
      </c>
      <c r="D43" s="162">
        <v>0</v>
      </c>
      <c r="E43" s="176">
        <v>0</v>
      </c>
      <c r="F43" s="162">
        <v>0</v>
      </c>
      <c r="G43" s="176">
        <v>0</v>
      </c>
    </row>
    <row r="44" spans="1:7">
      <c r="A44" s="70" t="s">
        <v>707</v>
      </c>
      <c r="B44" s="70" t="s">
        <v>737</v>
      </c>
      <c r="C44" s="246" t="s">
        <v>423</v>
      </c>
      <c r="D44" s="162">
        <v>0</v>
      </c>
      <c r="E44" s="176">
        <v>0</v>
      </c>
      <c r="F44" s="162">
        <v>0</v>
      </c>
      <c r="G44" s="176">
        <v>0</v>
      </c>
    </row>
    <row r="45" spans="1:7">
      <c r="A45" s="70" t="s">
        <v>94</v>
      </c>
      <c r="B45" s="70" t="s">
        <v>828</v>
      </c>
      <c r="C45" s="246" t="s">
        <v>1003</v>
      </c>
      <c r="D45" s="176">
        <v>20876</v>
      </c>
      <c r="E45" s="176">
        <v>25517</v>
      </c>
      <c r="F45" s="176">
        <v>20876</v>
      </c>
      <c r="G45" s="176">
        <v>25517</v>
      </c>
    </row>
    <row r="46" spans="1:7">
      <c r="A46" s="70" t="s">
        <v>132</v>
      </c>
      <c r="B46" s="70" t="s">
        <v>912</v>
      </c>
      <c r="C46" s="246" t="s">
        <v>108</v>
      </c>
      <c r="D46" s="176">
        <v>1849</v>
      </c>
      <c r="E46" s="176">
        <v>6173</v>
      </c>
      <c r="F46" s="176">
        <v>1849</v>
      </c>
      <c r="G46" s="176">
        <v>6173</v>
      </c>
    </row>
    <row r="47" spans="1:7">
      <c r="A47" s="70" t="s">
        <v>701</v>
      </c>
      <c r="B47" s="70" t="s">
        <v>1091</v>
      </c>
      <c r="C47" s="246" t="s">
        <v>879</v>
      </c>
      <c r="D47" s="162">
        <v>0</v>
      </c>
      <c r="E47" s="176">
        <v>0</v>
      </c>
      <c r="F47" s="162">
        <v>0</v>
      </c>
      <c r="G47" s="176">
        <v>0</v>
      </c>
    </row>
    <row r="48" spans="1:7">
      <c r="A48" s="70" t="s">
        <v>374</v>
      </c>
      <c r="B48" s="70" t="s">
        <v>488</v>
      </c>
      <c r="C48" s="246" t="s">
        <v>3</v>
      </c>
      <c r="D48" s="162">
        <v>0</v>
      </c>
      <c r="E48" s="176">
        <v>0</v>
      </c>
      <c r="F48" s="162">
        <v>0</v>
      </c>
      <c r="G48" s="176">
        <v>0</v>
      </c>
    </row>
    <row r="49" spans="1:7">
      <c r="A49" s="70" t="s">
        <v>433</v>
      </c>
      <c r="B49" s="70" t="s">
        <v>163</v>
      </c>
      <c r="C49" s="246" t="s">
        <v>815</v>
      </c>
      <c r="D49" s="176">
        <v>1849</v>
      </c>
      <c r="E49" s="176">
        <v>6173</v>
      </c>
      <c r="F49" s="176">
        <v>1849</v>
      </c>
      <c r="G49" s="176">
        <v>6173</v>
      </c>
    </row>
    <row r="50" spans="1:7">
      <c r="A50" s="70" t="s">
        <v>865</v>
      </c>
      <c r="B50" s="70" t="s">
        <v>718</v>
      </c>
      <c r="C50" s="246" t="s">
        <v>882</v>
      </c>
      <c r="D50" s="162">
        <v>0</v>
      </c>
      <c r="E50" s="176">
        <v>0</v>
      </c>
      <c r="F50" s="162">
        <v>0</v>
      </c>
      <c r="G50" s="176">
        <v>0</v>
      </c>
    </row>
    <row r="51" spans="1:7">
      <c r="A51" s="70" t="s">
        <v>196</v>
      </c>
      <c r="B51" s="70" t="s">
        <v>778</v>
      </c>
      <c r="C51" s="246" t="s">
        <v>96</v>
      </c>
      <c r="D51" s="162">
        <v>0</v>
      </c>
      <c r="E51" s="176">
        <v>0</v>
      </c>
      <c r="F51" s="162">
        <v>0</v>
      </c>
      <c r="G51" s="176">
        <v>0</v>
      </c>
    </row>
    <row r="52" spans="1:7">
      <c r="A52" s="70" t="s">
        <v>361</v>
      </c>
      <c r="B52" s="70" t="s">
        <v>327</v>
      </c>
      <c r="C52" s="246" t="s">
        <v>954</v>
      </c>
      <c r="D52" s="162">
        <v>0</v>
      </c>
      <c r="E52" s="176">
        <v>0</v>
      </c>
      <c r="F52" s="162">
        <v>0</v>
      </c>
      <c r="G52" s="176">
        <v>0</v>
      </c>
    </row>
    <row r="53" spans="1:7">
      <c r="A53" s="70" t="s">
        <v>437</v>
      </c>
      <c r="B53" s="70" t="s">
        <v>903</v>
      </c>
      <c r="C53" s="246" t="s">
        <v>0</v>
      </c>
      <c r="D53" s="176">
        <v>7255</v>
      </c>
      <c r="E53" s="176">
        <v>7255</v>
      </c>
      <c r="F53" s="176">
        <v>7255</v>
      </c>
      <c r="G53" s="176">
        <v>7255</v>
      </c>
    </row>
    <row r="54" spans="1:7">
      <c r="A54" s="70" t="s">
        <v>868</v>
      </c>
      <c r="B54" s="70" t="s">
        <v>966</v>
      </c>
      <c r="C54" s="246" t="s">
        <v>448</v>
      </c>
      <c r="D54" s="176">
        <v>4170</v>
      </c>
      <c r="E54" s="176">
        <v>4533</v>
      </c>
      <c r="F54" s="176">
        <v>4170</v>
      </c>
      <c r="G54" s="176">
        <v>4533</v>
      </c>
    </row>
    <row r="55" spans="1:7">
      <c r="A55" s="70" t="s">
        <v>915</v>
      </c>
      <c r="B55" s="70" t="s">
        <v>427</v>
      </c>
      <c r="C55" s="246" t="s">
        <v>426</v>
      </c>
      <c r="D55" s="176">
        <v>2794</v>
      </c>
      <c r="E55" s="176">
        <v>3074</v>
      </c>
      <c r="F55" s="176">
        <v>2794</v>
      </c>
      <c r="G55" s="176">
        <v>3074</v>
      </c>
    </row>
    <row r="56" spans="1:7">
      <c r="A56" s="70" t="s">
        <v>832</v>
      </c>
      <c r="B56" s="70" t="s">
        <v>188</v>
      </c>
      <c r="C56" s="246" t="s">
        <v>957</v>
      </c>
      <c r="D56" s="176">
        <v>4808</v>
      </c>
      <c r="E56" s="176">
        <v>4482</v>
      </c>
      <c r="F56" s="176">
        <v>4808</v>
      </c>
      <c r="G56" s="176">
        <v>4482</v>
      </c>
    </row>
    <row r="57" spans="1:7">
      <c r="A57" s="70" t="s">
        <v>27</v>
      </c>
      <c r="B57" s="70" t="s">
        <v>595</v>
      </c>
      <c r="C57" s="246" t="s">
        <v>97</v>
      </c>
      <c r="D57" s="162">
        <v>0</v>
      </c>
      <c r="E57" s="176">
        <v>0</v>
      </c>
      <c r="F57" s="162">
        <v>0</v>
      </c>
      <c r="G57" s="176">
        <v>0</v>
      </c>
    </row>
    <row r="58" spans="1:7">
      <c r="A58" s="70" t="s">
        <v>658</v>
      </c>
      <c r="B58" s="70" t="s">
        <v>735</v>
      </c>
      <c r="C58" s="246" t="s">
        <v>616</v>
      </c>
      <c r="D58" s="176">
        <v>0</v>
      </c>
      <c r="E58" s="176">
        <v>0</v>
      </c>
      <c r="F58" s="176">
        <v>0</v>
      </c>
      <c r="G58" s="176">
        <v>0</v>
      </c>
    </row>
    <row r="59" spans="1:7">
      <c r="A59" s="70" t="s">
        <v>10</v>
      </c>
      <c r="B59" s="70" t="s">
        <v>550</v>
      </c>
      <c r="C59" s="246" t="s">
        <v>1095</v>
      </c>
      <c r="D59" s="162">
        <v>0</v>
      </c>
      <c r="E59" s="176">
        <v>0</v>
      </c>
      <c r="F59" s="162">
        <v>0</v>
      </c>
      <c r="G59" s="176">
        <v>0</v>
      </c>
    </row>
    <row r="60" spans="1:7">
      <c r="A60" s="70" t="s">
        <v>864</v>
      </c>
      <c r="B60" s="70" t="s">
        <v>948</v>
      </c>
      <c r="C60" s="246" t="s">
        <v>251</v>
      </c>
      <c r="D60" s="162">
        <v>0</v>
      </c>
      <c r="E60" s="176">
        <v>0</v>
      </c>
      <c r="F60" s="162">
        <v>0</v>
      </c>
      <c r="G60" s="176">
        <v>0</v>
      </c>
    </row>
    <row r="61" spans="1:7">
      <c r="A61" s="70" t="s">
        <v>865</v>
      </c>
      <c r="B61" s="70" t="s">
        <v>53</v>
      </c>
      <c r="C61" s="246" t="s">
        <v>524</v>
      </c>
      <c r="D61" s="162">
        <v>0</v>
      </c>
      <c r="E61" s="176">
        <v>0</v>
      </c>
      <c r="F61" s="162">
        <v>0</v>
      </c>
      <c r="G61" s="176">
        <v>0</v>
      </c>
    </row>
    <row r="62" spans="1:7">
      <c r="A62" s="70" t="s">
        <v>1072</v>
      </c>
      <c r="B62" s="70" t="s">
        <v>344</v>
      </c>
      <c r="C62" s="246" t="s">
        <v>711</v>
      </c>
      <c r="D62" s="162">
        <v>0</v>
      </c>
      <c r="E62" s="176">
        <v>0</v>
      </c>
      <c r="F62" s="162">
        <v>0</v>
      </c>
      <c r="G62" s="176">
        <v>0</v>
      </c>
    </row>
    <row r="63" spans="1:7">
      <c r="A63" s="70" t="s">
        <v>995</v>
      </c>
      <c r="B63" s="70" t="s">
        <v>519</v>
      </c>
      <c r="C63" s="246" t="s">
        <v>575</v>
      </c>
      <c r="D63" s="162">
        <v>0</v>
      </c>
      <c r="E63" s="176">
        <v>0</v>
      </c>
      <c r="F63" s="162">
        <v>0</v>
      </c>
      <c r="G63" s="176">
        <v>0</v>
      </c>
    </row>
    <row r="64" spans="1:7">
      <c r="A64" s="70" t="s">
        <v>293</v>
      </c>
      <c r="B64" s="70" t="s">
        <v>415</v>
      </c>
      <c r="C64" s="246" t="s">
        <v>113</v>
      </c>
      <c r="D64" s="162">
        <v>0</v>
      </c>
      <c r="E64" s="176">
        <v>0</v>
      </c>
      <c r="F64" s="162">
        <v>0</v>
      </c>
      <c r="G64" s="176">
        <v>0</v>
      </c>
    </row>
    <row r="65" spans="1:7">
      <c r="A65" s="70" t="s">
        <v>54</v>
      </c>
      <c r="B65" s="70" t="s">
        <v>203</v>
      </c>
      <c r="C65" s="246" t="s">
        <v>987</v>
      </c>
      <c r="D65" s="162">
        <v>0</v>
      </c>
      <c r="E65" s="176">
        <v>0</v>
      </c>
      <c r="F65" s="162">
        <v>0</v>
      </c>
      <c r="G65" s="176">
        <v>0</v>
      </c>
    </row>
    <row r="66" spans="1:7">
      <c r="A66" s="70" t="s">
        <v>865</v>
      </c>
      <c r="B66" s="70" t="s">
        <v>274</v>
      </c>
      <c r="C66" s="246" t="s">
        <v>470</v>
      </c>
      <c r="D66" s="162">
        <v>0</v>
      </c>
      <c r="E66" s="176">
        <v>0</v>
      </c>
      <c r="F66" s="162">
        <v>0</v>
      </c>
      <c r="G66" s="176">
        <v>0</v>
      </c>
    </row>
    <row r="67" spans="1:7">
      <c r="A67" s="70" t="s">
        <v>196</v>
      </c>
      <c r="B67" s="70" t="s">
        <v>43</v>
      </c>
      <c r="C67" s="246" t="s">
        <v>263</v>
      </c>
      <c r="D67" s="162">
        <v>0</v>
      </c>
      <c r="E67" s="176">
        <v>0</v>
      </c>
      <c r="F67" s="162">
        <v>0</v>
      </c>
      <c r="G67" s="176">
        <v>0</v>
      </c>
    </row>
    <row r="68" spans="1:7">
      <c r="A68" s="70" t="s">
        <v>361</v>
      </c>
      <c r="B68" s="70" t="s">
        <v>937</v>
      </c>
      <c r="C68" s="246" t="s">
        <v>118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>
  <sheetPr>
    <tabColor rgb="FF0070C0"/>
  </sheetPr>
  <dimension ref="A1:B1"/>
  <sheetViews>
    <sheetView zoomScaleSheetLayoutView="100" workbookViewId="0"/>
  </sheetViews>
  <sheetFormatPr defaultRowHeight="15"/>
  <cols>
    <col min="1" max="1" width="63.140625" style="197" customWidth="1"/>
    <col min="2" max="2" width="24.85546875" style="197" customWidth="1"/>
  </cols>
  <sheetData>
    <row r="1" spans="1:2">
      <c r="A1" s="192" t="s">
        <v>509</v>
      </c>
      <c r="B1" s="192" t="s">
        <v>207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4" t="s">
        <v>230</v>
      </c>
    </row>
    <row r="2" spans="1:2" ht="21" customHeight="1" thickTop="1" thickBot="1">
      <c r="A2" s="196" t="s">
        <v>486</v>
      </c>
      <c r="B2" s="32" t="s">
        <v>837</v>
      </c>
    </row>
    <row r="3" spans="1:2" ht="30" customHeight="1" thickTop="1" thickBot="1">
      <c r="A3" s="195" t="s">
        <v>768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AG42"/>
  <sheetViews>
    <sheetView showGridLines="0" topLeftCell="A19" zoomScaleSheetLayoutView="100" workbookViewId="0"/>
  </sheetViews>
  <sheetFormatPr defaultRowHeight="15"/>
  <cols>
    <col min="1" max="1" width="29.140625" customWidth="1"/>
    <col min="2" max="10" width="11.28515625" customWidth="1"/>
  </cols>
  <sheetData>
    <row r="1" spans="1:33" ht="16.5">
      <c r="A1" s="44" t="s">
        <v>520</v>
      </c>
    </row>
    <row r="2" spans="1:33" ht="17.25" thickBot="1">
      <c r="A2" s="251" t="s">
        <v>214</v>
      </c>
    </row>
    <row r="3" spans="1:33" ht="16.5" customHeight="1" thickTop="1" thickBot="1">
      <c r="A3" s="252" t="s">
        <v>822</v>
      </c>
      <c r="B3" s="257" t="s">
        <v>115</v>
      </c>
      <c r="C3" s="258"/>
      <c r="D3" s="258"/>
      <c r="E3" s="258"/>
      <c r="F3" s="258"/>
      <c r="G3" s="258"/>
      <c r="H3" s="258"/>
      <c r="I3" s="258"/>
      <c r="J3" s="259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</row>
    <row r="4" spans="1:33" ht="66.75" customHeight="1" thickTop="1" thickBot="1">
      <c r="A4" s="253"/>
      <c r="B4" s="196" t="s">
        <v>1038</v>
      </c>
      <c r="C4" s="32" t="s">
        <v>890</v>
      </c>
      <c r="D4" s="196" t="s">
        <v>46</v>
      </c>
      <c r="E4" s="32" t="s">
        <v>270</v>
      </c>
      <c r="F4" s="196" t="s">
        <v>769</v>
      </c>
      <c r="G4" s="196" t="s">
        <v>151</v>
      </c>
      <c r="H4" s="32" t="s">
        <v>387</v>
      </c>
      <c r="I4" s="196" t="s">
        <v>511</v>
      </c>
      <c r="J4" s="196" t="s">
        <v>854</v>
      </c>
    </row>
    <row r="5" spans="1:33" ht="15" customHeight="1" thickTop="1" thickBot="1">
      <c r="A5" s="15" t="s">
        <v>1079</v>
      </c>
      <c r="B5" s="163"/>
      <c r="C5" s="163"/>
      <c r="D5" s="163"/>
      <c r="E5" s="163"/>
      <c r="F5" s="163"/>
      <c r="G5" s="163"/>
      <c r="H5" s="163"/>
      <c r="I5" s="163"/>
      <c r="J5" s="179"/>
      <c r="K5" s="69"/>
      <c r="L5" s="69"/>
      <c r="M5" s="69"/>
      <c r="N5" s="69"/>
      <c r="O5" s="69"/>
      <c r="P5" s="69"/>
      <c r="Q5" s="69"/>
      <c r="R5" s="69"/>
      <c r="S5" s="173"/>
      <c r="T5" s="173"/>
      <c r="U5" s="173"/>
      <c r="V5" s="173"/>
      <c r="W5" s="173"/>
      <c r="X5" s="173"/>
      <c r="Y5" s="173"/>
    </row>
    <row r="6" spans="1:33" ht="24" thickTop="1" thickBot="1">
      <c r="A6" s="18" t="s">
        <v>921</v>
      </c>
      <c r="B6" s="139">
        <f>SUMIF(HK!A:A,"061*",HK!C:C)-SUMIF(HK!A:A,"061*",HK!D:D)</f>
        <v>0</v>
      </c>
      <c r="C6" s="139">
        <f>SUMIF(HK!A:A,"062*",HK!C:C)-SUMIF(HK!A:A,"062*",HK!D:D)</f>
        <v>0</v>
      </c>
      <c r="D6" s="139">
        <f>SUMIF(HK!A:A,"063*",HK!C:C)-SUMIF(HK!A:A,"063*",HK!D:D)</f>
        <v>0</v>
      </c>
      <c r="E6" s="139">
        <f>SUMIF(HK!A:A,"066*",HK!C:C)-SUMIF(HK!A:A,"066*",HK!D:D)</f>
        <v>0</v>
      </c>
      <c r="F6" s="139">
        <f>SUMIF(HK!A:A,"067*",HK!C:C)-SUMIF(HK!A:A,"067*",HK!D:D)</f>
        <v>0</v>
      </c>
      <c r="G6" s="241"/>
      <c r="H6" s="139">
        <f>SUMIF(HK!A:A,"043*",HK!C:C)-SUMIF(HK!A:A,"043*",HK!D:D)</f>
        <v>0</v>
      </c>
      <c r="I6" s="139">
        <f>SUMIF(HK!A:A,"053*",HK!C:C)-SUMIF(HK!A:A,"053*",HK!D:D)</f>
        <v>0</v>
      </c>
      <c r="J6" s="128">
        <f>SUM(B6:I6)</f>
        <v>0</v>
      </c>
      <c r="K6" s="78"/>
      <c r="L6" s="38"/>
      <c r="M6" s="78"/>
      <c r="N6" s="78"/>
      <c r="O6" s="78"/>
      <c r="P6" s="78"/>
      <c r="Q6" s="78"/>
      <c r="R6" s="78"/>
    </row>
    <row r="7" spans="1:33" ht="15" customHeight="1" thickBot="1">
      <c r="A7" s="174" t="s">
        <v>1052</v>
      </c>
      <c r="B7" s="241"/>
      <c r="C7" s="241"/>
      <c r="D7" s="241"/>
      <c r="E7" s="241"/>
      <c r="F7" s="29"/>
      <c r="G7" s="241"/>
      <c r="H7" s="241"/>
      <c r="I7" s="241"/>
      <c r="J7" s="128">
        <f>SUM(B7:I7)</f>
        <v>0</v>
      </c>
      <c r="K7" s="78"/>
      <c r="L7" s="78"/>
      <c r="M7" s="78"/>
      <c r="N7" s="78"/>
      <c r="O7" s="78"/>
      <c r="P7" s="78"/>
      <c r="Q7" s="78"/>
      <c r="R7" s="78"/>
    </row>
    <row r="8" spans="1:33" ht="15" customHeight="1" thickBot="1">
      <c r="A8" s="174" t="s">
        <v>13</v>
      </c>
      <c r="B8" s="241"/>
      <c r="C8" s="241"/>
      <c r="D8" s="241"/>
      <c r="E8" s="241"/>
      <c r="F8" s="29"/>
      <c r="G8" s="241"/>
      <c r="H8" s="241"/>
      <c r="I8" s="241"/>
      <c r="J8" s="128">
        <f>SUM(B8:I8)</f>
        <v>0</v>
      </c>
      <c r="K8" s="78"/>
      <c r="L8" s="78"/>
      <c r="M8" s="78"/>
      <c r="N8" s="78"/>
      <c r="O8" s="78"/>
      <c r="P8" s="78"/>
      <c r="Q8" s="78"/>
      <c r="R8" s="78"/>
    </row>
    <row r="9" spans="1:33" ht="15" customHeight="1" thickBot="1">
      <c r="A9" s="174" t="s">
        <v>424</v>
      </c>
      <c r="B9" s="241"/>
      <c r="C9" s="241"/>
      <c r="D9" s="241"/>
      <c r="E9" s="241"/>
      <c r="F9" s="29"/>
      <c r="G9" s="241"/>
      <c r="H9" s="241"/>
      <c r="I9" s="241"/>
      <c r="J9" s="128">
        <f>SUM(B9:I9)</f>
        <v>0</v>
      </c>
      <c r="K9" s="78"/>
      <c r="L9" s="78"/>
      <c r="M9" s="78"/>
      <c r="N9" s="78"/>
      <c r="O9" s="78"/>
      <c r="P9" s="78"/>
      <c r="Q9" s="78"/>
      <c r="R9" s="78"/>
    </row>
    <row r="10" spans="1:33" ht="15.75" thickBot="1">
      <c r="A10" s="129" t="s">
        <v>80</v>
      </c>
      <c r="B10" s="139">
        <f>SUMIF(HK!A:A,"061*",HK!K:K)-SUMIF(HK!A:A,"061*",HK!L:L)</f>
        <v>0</v>
      </c>
      <c r="C10" s="139">
        <f>SUMIF(HK!A:A,"062*",HK!K:K)-SUMIF(HK!A:A,"062*",HK!L:L)</f>
        <v>0</v>
      </c>
      <c r="D10" s="139">
        <f>SUMIF(HK!A:A,"063*",HK!K:K)-SUMIF(HK!A:A,"063*",HK!L:L)</f>
        <v>0</v>
      </c>
      <c r="E10" s="139">
        <f>SUMIF(HK!A:A,"066*",HK!K:K)-SUMIF(HK!A:A,"066*",HK!L:L)</f>
        <v>0</v>
      </c>
      <c r="F10" s="139">
        <f>SUMIF(HK!A:A,"067*",HK!K:K)-SUMIF(HK!A:A,"067*",HK!L:L)</f>
        <v>0</v>
      </c>
      <c r="G10" s="241"/>
      <c r="H10" s="139">
        <f>SUMIF(HK!A:A,"043*",HK!K:K)-SUMIF(HK!A:A,"043*",HK!L:L)</f>
        <v>0</v>
      </c>
      <c r="I10" s="139">
        <f>SUMIF(HK!A:A,"053*",HK!K:K)-SUMIF(HK!A:A,"053*",HK!L:L)</f>
        <v>0</v>
      </c>
      <c r="J10" s="218">
        <f>J6+J7-J8+J9</f>
        <v>0</v>
      </c>
      <c r="K10" s="78"/>
      <c r="L10" s="38"/>
      <c r="M10" s="78"/>
      <c r="N10" s="78"/>
      <c r="O10" s="78"/>
      <c r="P10" s="78"/>
      <c r="Q10" s="78"/>
      <c r="R10" s="78"/>
    </row>
    <row r="11" spans="1:33" ht="15" customHeight="1" thickTop="1" thickBot="1">
      <c r="A11" s="15" t="s">
        <v>1067</v>
      </c>
      <c r="B11" s="145"/>
      <c r="C11" s="145"/>
      <c r="D11" s="145"/>
      <c r="E11" s="145"/>
      <c r="F11" s="145"/>
      <c r="G11" s="145"/>
      <c r="H11" s="145"/>
      <c r="I11" s="145"/>
      <c r="J11" s="179"/>
      <c r="K11" s="78"/>
      <c r="L11" s="78"/>
      <c r="M11" s="78"/>
      <c r="N11" s="78"/>
      <c r="O11" s="78"/>
      <c r="P11" s="78"/>
      <c r="Q11" s="78"/>
      <c r="R11" s="78"/>
    </row>
    <row r="12" spans="1:33" ht="24" thickTop="1" thickBot="1">
      <c r="A12" s="18" t="s">
        <v>51</v>
      </c>
      <c r="B12" s="139"/>
      <c r="C12" s="139"/>
      <c r="D12" s="139"/>
      <c r="E12" s="139"/>
      <c r="F12" s="139"/>
      <c r="G12" s="139"/>
      <c r="H12" s="139"/>
      <c r="I12" s="139">
        <f>SUMIF(SUAM!C:C,"032",SUAM!E:E)</f>
        <v>0</v>
      </c>
      <c r="J12" s="128">
        <f>SUM(B12:I12)</f>
        <v>0</v>
      </c>
      <c r="K12" s="78"/>
      <c r="L12" s="38"/>
      <c r="M12" s="78"/>
      <c r="N12" s="124"/>
      <c r="O12" s="78"/>
      <c r="P12" s="78"/>
      <c r="Q12" s="78"/>
      <c r="R12" s="78"/>
    </row>
    <row r="13" spans="1:33" ht="15" customHeight="1" thickBot="1">
      <c r="A13" s="174" t="s">
        <v>1052</v>
      </c>
      <c r="B13" s="241"/>
      <c r="C13" s="241"/>
      <c r="D13" s="241"/>
      <c r="E13" s="241"/>
      <c r="F13" s="241"/>
      <c r="G13" s="241"/>
      <c r="H13" s="241"/>
      <c r="I13" s="241"/>
      <c r="J13" s="128">
        <f>SUM(B13:I13)</f>
        <v>0</v>
      </c>
      <c r="K13" s="78"/>
      <c r="L13" s="78"/>
      <c r="M13" s="78"/>
      <c r="N13" s="78"/>
      <c r="O13" s="78"/>
      <c r="P13" s="78"/>
      <c r="Q13" s="78"/>
      <c r="R13" s="78"/>
    </row>
    <row r="14" spans="1:33" ht="15" customHeight="1" thickBot="1">
      <c r="A14" s="174" t="s">
        <v>13</v>
      </c>
      <c r="B14" s="241"/>
      <c r="C14" s="241"/>
      <c r="D14" s="241"/>
      <c r="E14" s="241"/>
      <c r="F14" s="241"/>
      <c r="G14" s="241"/>
      <c r="H14" s="241"/>
      <c r="I14" s="241"/>
      <c r="J14" s="128">
        <f>SUM(B14:I14)</f>
        <v>0</v>
      </c>
      <c r="K14" s="78"/>
      <c r="L14" s="78"/>
      <c r="M14" s="78"/>
      <c r="N14" s="78"/>
      <c r="O14" s="78"/>
      <c r="P14" s="78"/>
      <c r="Q14" s="78"/>
      <c r="R14" s="78"/>
    </row>
    <row r="15" spans="1:33" ht="15" customHeight="1" thickBot="1">
      <c r="A15" s="102" t="s">
        <v>424</v>
      </c>
      <c r="B15" s="29"/>
      <c r="C15" s="29"/>
      <c r="D15" s="29"/>
      <c r="E15" s="29"/>
      <c r="F15" s="29"/>
      <c r="G15" s="29"/>
      <c r="H15" s="29"/>
      <c r="I15" s="29"/>
      <c r="J15" s="88"/>
      <c r="K15" s="78"/>
      <c r="L15" s="78"/>
      <c r="M15" s="78"/>
      <c r="N15" s="78"/>
      <c r="O15" s="78"/>
      <c r="P15" s="78"/>
      <c r="Q15" s="78"/>
      <c r="R15" s="78"/>
    </row>
    <row r="16" spans="1:33" ht="15.75" thickBot="1">
      <c r="A16" s="129" t="s">
        <v>80</v>
      </c>
      <c r="B16" s="139"/>
      <c r="C16" s="139"/>
      <c r="D16" s="139"/>
      <c r="E16" s="139"/>
      <c r="F16" s="139"/>
      <c r="G16" s="139"/>
      <c r="H16" s="139"/>
      <c r="I16" s="139">
        <f>SUMIF(SUA!C:C,"032",SUA!E:E)</f>
        <v>0</v>
      </c>
      <c r="J16" s="218">
        <f>J12+J13-J14</f>
        <v>0</v>
      </c>
      <c r="K16" s="78"/>
      <c r="L16" s="38"/>
      <c r="M16" s="78"/>
      <c r="N16" s="124"/>
      <c r="O16" s="78"/>
      <c r="P16" s="78"/>
      <c r="Q16" s="78"/>
      <c r="R16" s="78"/>
    </row>
    <row r="17" spans="1:33" ht="15" customHeight="1" thickTop="1" thickBot="1">
      <c r="A17" s="15" t="s">
        <v>284</v>
      </c>
      <c r="B17" s="145"/>
      <c r="C17" s="145"/>
      <c r="D17" s="145"/>
      <c r="E17" s="145"/>
      <c r="F17" s="145"/>
      <c r="G17" s="145"/>
      <c r="H17" s="145"/>
      <c r="I17" s="145"/>
      <c r="J17" s="179"/>
      <c r="K17" s="78"/>
      <c r="L17" s="78"/>
      <c r="M17" s="78"/>
      <c r="N17" s="78"/>
      <c r="O17" s="78"/>
      <c r="P17" s="78"/>
      <c r="Q17" s="78"/>
      <c r="R17" s="78"/>
    </row>
    <row r="18" spans="1:33" ht="15" customHeight="1" thickTop="1" thickBot="1">
      <c r="A18" s="18" t="s">
        <v>51</v>
      </c>
      <c r="B18" s="241"/>
      <c r="C18" s="241"/>
      <c r="D18" s="241"/>
      <c r="E18" s="241"/>
      <c r="F18" s="241"/>
      <c r="G18" s="241"/>
      <c r="H18" s="241"/>
      <c r="I18" s="241"/>
      <c r="J18" s="128"/>
    </row>
    <row r="19" spans="1:33" ht="15" customHeight="1" thickBot="1">
      <c r="A19" s="129" t="s">
        <v>80</v>
      </c>
      <c r="B19" s="49"/>
      <c r="C19" s="49"/>
      <c r="D19" s="49"/>
      <c r="E19" s="49"/>
      <c r="F19" s="49"/>
      <c r="G19" s="49"/>
      <c r="H19" s="49"/>
      <c r="I19" s="49"/>
      <c r="J19" s="218"/>
    </row>
    <row r="20" spans="1:33" ht="15.75" thickTop="1">
      <c r="A20" s="146"/>
      <c r="B20" s="146"/>
      <c r="C20" s="146"/>
      <c r="D20" s="146"/>
      <c r="E20" s="146"/>
      <c r="F20" s="146"/>
      <c r="G20" s="146"/>
      <c r="H20" s="146"/>
      <c r="I20" s="146"/>
      <c r="J20" s="146"/>
    </row>
    <row r="21" spans="1:33">
      <c r="A21" s="146"/>
      <c r="B21" s="146"/>
      <c r="C21" s="146"/>
      <c r="D21" s="146"/>
      <c r="E21" s="146"/>
      <c r="F21" s="146"/>
      <c r="G21" s="146"/>
      <c r="H21" s="146"/>
      <c r="I21" s="146"/>
      <c r="J21" s="146"/>
    </row>
    <row r="22" spans="1:33" ht="15.75" thickBot="1">
      <c r="A22" s="7" t="s">
        <v>5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>
      <c r="A23" s="260" t="s">
        <v>822</v>
      </c>
      <c r="B23" s="254" t="s">
        <v>720</v>
      </c>
      <c r="C23" s="255"/>
      <c r="D23" s="255"/>
      <c r="E23" s="255"/>
      <c r="F23" s="255"/>
      <c r="G23" s="255"/>
      <c r="H23" s="255"/>
      <c r="I23" s="255"/>
      <c r="J23" s="256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</row>
    <row r="24" spans="1:33" ht="66.75" customHeight="1" thickTop="1" thickBot="1">
      <c r="A24" s="261"/>
      <c r="B24" s="247" t="s">
        <v>1038</v>
      </c>
      <c r="C24" s="89" t="s">
        <v>890</v>
      </c>
      <c r="D24" s="247" t="s">
        <v>46</v>
      </c>
      <c r="E24" s="89" t="s">
        <v>270</v>
      </c>
      <c r="F24" s="247" t="s">
        <v>769</v>
      </c>
      <c r="G24" s="247" t="s">
        <v>151</v>
      </c>
      <c r="H24" s="89" t="s">
        <v>387</v>
      </c>
      <c r="I24" s="247" t="s">
        <v>511</v>
      </c>
      <c r="J24" s="247" t="s">
        <v>854</v>
      </c>
    </row>
    <row r="25" spans="1:33" ht="15" customHeight="1" thickTop="1" thickBot="1">
      <c r="A25" s="214" t="s">
        <v>1079</v>
      </c>
      <c r="B25" s="111"/>
      <c r="C25" s="111"/>
      <c r="D25" s="111"/>
      <c r="E25" s="111"/>
      <c r="F25" s="111"/>
      <c r="G25" s="111"/>
      <c r="H25" s="111"/>
      <c r="I25" s="111"/>
      <c r="J25" s="118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</row>
    <row r="26" spans="1:33" ht="24" thickTop="1" thickBot="1">
      <c r="A26" s="216" t="s">
        <v>921</v>
      </c>
      <c r="B26" s="139">
        <f>SUMIF(HKM!A:A,"061*",HKM!C:C)-SUMIF(HKM!A:A,"061*",HKM!D:D)</f>
        <v>0</v>
      </c>
      <c r="C26" s="139">
        <f>SUMIF(HKM!A:A,"062*",HKM!C:C)-SUMIF(HKM!A:A,"062*",HKM!D:D)</f>
        <v>0</v>
      </c>
      <c r="D26" s="139">
        <f>SUMIF(HKM!A:A,"063*",HKM!C:C)-SUMIF(HKM!A:A,"063*",HKM!D:D)</f>
        <v>0</v>
      </c>
      <c r="E26" s="139">
        <f>SUMIF(HKM!A:A,"066*",HKM!C:C)-SUMIF(HKM!A:A,"066*",HKM!D:D)</f>
        <v>0</v>
      </c>
      <c r="F26" s="139">
        <f>SUMIF(HKM!A:A,"067*",HKM!C:C)-SUMIF(HKM!A:A,"067*",HKM!D:D)</f>
        <v>0</v>
      </c>
      <c r="G26" s="241"/>
      <c r="H26" s="139">
        <f>SUMIF(HKM!A:A,"043*",HKM!C:C)-SUMIF(HKM!A:A,"043*",HKM!D:D)</f>
        <v>0</v>
      </c>
      <c r="I26" s="139">
        <f>SUMIF(HKM!A:A,"053*",HKM!C:C)-SUMIF(HKM!A:A,"053*",HKM!D:D)</f>
        <v>0</v>
      </c>
      <c r="J26" s="73">
        <f>SUM(B26:I26)</f>
        <v>0</v>
      </c>
      <c r="K26" s="78"/>
      <c r="L26" s="3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spans="1:33" ht="15" customHeight="1" thickBot="1">
      <c r="A27" s="116" t="s">
        <v>1052</v>
      </c>
      <c r="B27" s="241"/>
      <c r="C27" s="241"/>
      <c r="D27" s="241"/>
      <c r="E27" s="241"/>
      <c r="F27" s="29"/>
      <c r="G27" s="241"/>
      <c r="H27" s="241"/>
      <c r="I27" s="241"/>
      <c r="J27" s="73">
        <f>SUM(B27:I27)</f>
        <v>0</v>
      </c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spans="1:33" ht="15" customHeight="1" thickBot="1">
      <c r="A28" s="250" t="s">
        <v>13</v>
      </c>
      <c r="B28" s="56"/>
      <c r="C28" s="241"/>
      <c r="D28" s="241"/>
      <c r="E28" s="241"/>
      <c r="F28" s="29"/>
      <c r="G28" s="241"/>
      <c r="H28" s="241"/>
      <c r="I28" s="241"/>
      <c r="J28" s="73">
        <f>SUM(B28:I28)</f>
        <v>0</v>
      </c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spans="1:33" ht="15" customHeight="1" thickBot="1">
      <c r="A29" s="46" t="s">
        <v>424</v>
      </c>
      <c r="B29" s="29"/>
      <c r="C29" s="241"/>
      <c r="D29" s="241"/>
      <c r="E29" s="241"/>
      <c r="F29" s="29"/>
      <c r="G29" s="241"/>
      <c r="H29" s="241"/>
      <c r="I29" s="241"/>
      <c r="J29" s="73">
        <f>SUM(B29:I29)</f>
        <v>0</v>
      </c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spans="1:33" ht="15.75" thickBot="1">
      <c r="A30" s="74" t="s">
        <v>80</v>
      </c>
      <c r="B30" s="139">
        <f>SUMIF(HKM!A:A,"061*",HKM!K:K)-SUMIF(HKM!A:A,"061*",HKM!L:L)</f>
        <v>0</v>
      </c>
      <c r="C30" s="139">
        <f>SUMIF(HKM!A:A,"062*",HKM!K:K)-SUMIF(HKM!A:A,"062*",HKM!L:L)</f>
        <v>0</v>
      </c>
      <c r="D30" s="139">
        <f>SUMIF(HKM!A:A,"063*",HKM!K:K)-SUMIF(HKM!A:A,"063*",HKM!L:L)</f>
        <v>0</v>
      </c>
      <c r="E30" s="139">
        <f>SUMIF(HKM!A:A,"066*",HKM!K:K)-SUMIF(HKM!A:A,"066*",HKM!L:L)</f>
        <v>0</v>
      </c>
      <c r="F30" s="139">
        <f>SUMIF(HKM!A:A,"067*",HKM!K:K)-SUMIF(HKM!A:A,"067*",HKM!L:L)</f>
        <v>0</v>
      </c>
      <c r="G30" s="241"/>
      <c r="H30" s="139">
        <f>SUMIF(HKM!A:A,"043*",HKM!K:K)-SUMIF(HKM!A:A,"043*",HKM!L:L)</f>
        <v>0</v>
      </c>
      <c r="I30" s="139">
        <f>SUMIF(HKM!A:A,"053*",HKM!K:K)-SUMIF(HKM!A:A,"053*",HKM!L:L)</f>
        <v>0</v>
      </c>
      <c r="J30" s="152">
        <f>J26+J27-J28+J29</f>
        <v>0</v>
      </c>
      <c r="K30" s="78"/>
      <c r="L30" s="3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spans="1:33" ht="15" customHeight="1" thickTop="1" thickBot="1">
      <c r="A31" s="214" t="s">
        <v>1067</v>
      </c>
      <c r="B31" s="145"/>
      <c r="C31" s="145"/>
      <c r="D31" s="145"/>
      <c r="E31" s="145"/>
      <c r="F31" s="145"/>
      <c r="G31" s="145"/>
      <c r="H31" s="145"/>
      <c r="I31" s="145"/>
      <c r="J31" s="11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spans="1:33" ht="24" thickTop="1" thickBot="1">
      <c r="A32" s="216" t="s">
        <v>51</v>
      </c>
      <c r="B32" s="139"/>
      <c r="C32" s="139"/>
      <c r="D32" s="139"/>
      <c r="E32" s="139"/>
      <c r="F32" s="139"/>
      <c r="G32" s="139"/>
      <c r="H32" s="139"/>
      <c r="I32" s="155"/>
      <c r="J32" s="73">
        <f>SUM(B32:I32)</f>
        <v>0</v>
      </c>
      <c r="K32" s="78"/>
      <c r="L32" s="38"/>
      <c r="M32" s="213"/>
      <c r="N32" s="124"/>
      <c r="O32" s="78"/>
      <c r="P32" s="78"/>
      <c r="Q32" s="78"/>
      <c r="R32" s="78"/>
      <c r="S32" s="78"/>
      <c r="T32" s="78"/>
      <c r="U32" s="78"/>
      <c r="V32" s="78"/>
      <c r="W32" s="78"/>
    </row>
    <row r="33" spans="1:23" ht="15" customHeight="1" thickBot="1">
      <c r="A33" s="116" t="s">
        <v>1052</v>
      </c>
      <c r="B33" s="241"/>
      <c r="C33" s="241"/>
      <c r="D33" s="241"/>
      <c r="E33" s="241"/>
      <c r="F33" s="241"/>
      <c r="G33" s="241"/>
      <c r="H33" s="241"/>
      <c r="I33" s="241"/>
      <c r="J33" s="73">
        <f>SUM(B33:I33)</f>
        <v>0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1:23" ht="15" customHeight="1" thickBot="1">
      <c r="A34" s="116" t="s">
        <v>13</v>
      </c>
      <c r="B34" s="241"/>
      <c r="C34" s="241"/>
      <c r="D34" s="241"/>
      <c r="E34" s="241"/>
      <c r="F34" s="241"/>
      <c r="G34" s="241"/>
      <c r="H34" s="241"/>
      <c r="I34" s="241"/>
      <c r="J34" s="73">
        <f>SUM(B34:I34)</f>
        <v>0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spans="1:23" ht="15" customHeight="1" thickBot="1">
      <c r="A35" s="46" t="s">
        <v>424</v>
      </c>
      <c r="B35" s="29"/>
      <c r="C35" s="29"/>
      <c r="D35" s="29"/>
      <c r="E35" s="29"/>
      <c r="F35" s="29"/>
      <c r="G35" s="29"/>
      <c r="H35" s="29"/>
      <c r="I35" s="29"/>
      <c r="J35" s="29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spans="1:23" ht="15.75" thickBot="1">
      <c r="A36" s="74" t="s">
        <v>80</v>
      </c>
      <c r="B36" s="139"/>
      <c r="C36" s="139"/>
      <c r="D36" s="139"/>
      <c r="E36" s="139"/>
      <c r="F36" s="139"/>
      <c r="G36" s="139"/>
      <c r="H36" s="139"/>
      <c r="I36" s="139">
        <f>SUMIF(SUAM!C:C,"032",SUAM!E:E)</f>
        <v>0</v>
      </c>
      <c r="J36" s="152">
        <f>J32+J33-J34</f>
        <v>0</v>
      </c>
      <c r="K36" s="78"/>
      <c r="L36" s="38"/>
      <c r="M36" s="78"/>
      <c r="N36" s="124"/>
      <c r="O36" s="78"/>
      <c r="P36" s="78"/>
      <c r="Q36" s="78"/>
      <c r="R36" s="78"/>
      <c r="S36" s="78"/>
      <c r="T36" s="78"/>
      <c r="U36" s="78"/>
      <c r="V36" s="78"/>
      <c r="W36" s="78"/>
    </row>
    <row r="37" spans="1:23" ht="15" customHeight="1" thickTop="1" thickBot="1">
      <c r="A37" s="214" t="s">
        <v>284</v>
      </c>
      <c r="B37" s="111"/>
      <c r="C37" s="111"/>
      <c r="D37" s="111"/>
      <c r="E37" s="111"/>
      <c r="F37" s="111"/>
      <c r="G37" s="111"/>
      <c r="H37" s="111"/>
      <c r="I37" s="111"/>
      <c r="J37" s="11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1:23" ht="15" customHeight="1" thickTop="1" thickBot="1">
      <c r="A38" s="216" t="s">
        <v>51</v>
      </c>
      <c r="B38" s="241"/>
      <c r="C38" s="241"/>
      <c r="D38" s="241"/>
      <c r="E38" s="241"/>
      <c r="F38" s="241"/>
      <c r="G38" s="241"/>
      <c r="H38" s="241"/>
      <c r="I38" s="241"/>
      <c r="J38" s="73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1:23" ht="15" customHeight="1" thickBot="1">
      <c r="A39" s="74" t="s">
        <v>80</v>
      </c>
      <c r="B39" s="49"/>
      <c r="C39" s="49"/>
      <c r="D39" s="49"/>
      <c r="E39" s="49"/>
      <c r="F39" s="49"/>
      <c r="G39" s="49"/>
      <c r="H39" s="49"/>
      <c r="I39" s="49"/>
      <c r="J39" s="152"/>
    </row>
    <row r="40" spans="1:23" ht="15.75" thickTop="1">
      <c r="A40" s="197"/>
      <c r="B40" s="197"/>
      <c r="C40" s="197"/>
      <c r="D40" s="197"/>
      <c r="E40" s="197"/>
      <c r="F40" s="197"/>
      <c r="G40" s="197"/>
      <c r="H40" s="197"/>
      <c r="I40" s="197"/>
      <c r="J40" s="197"/>
    </row>
    <row r="41" spans="1:23">
      <c r="A41" s="197"/>
      <c r="B41" s="197"/>
      <c r="C41" s="197"/>
      <c r="D41" s="197"/>
      <c r="E41" s="197"/>
      <c r="F41" s="197"/>
      <c r="G41" s="197"/>
      <c r="H41" s="197"/>
      <c r="I41" s="197"/>
      <c r="J41" s="197"/>
    </row>
    <row r="42" spans="1:23">
      <c r="A42" s="197"/>
      <c r="B42" s="197"/>
      <c r="C42" s="197"/>
      <c r="D42" s="197"/>
      <c r="E42" s="197"/>
      <c r="F42" s="197"/>
      <c r="G42" s="197"/>
      <c r="H42" s="197"/>
      <c r="I42" s="197"/>
      <c r="J42" s="19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4" t="s">
        <v>774</v>
      </c>
    </row>
    <row r="2" spans="1:2" ht="21" customHeight="1" thickTop="1" thickBot="1">
      <c r="A2" s="196" t="s">
        <v>822</v>
      </c>
      <c r="B2" s="32" t="s">
        <v>837</v>
      </c>
    </row>
    <row r="3" spans="1:2" ht="23.25" customHeight="1" thickTop="1" thickBot="1">
      <c r="A3" s="195" t="s">
        <v>232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zoomScaleSheetLayoutView="100" workbookViewId="0"/>
  </sheetViews>
  <sheetFormatPr defaultRowHeight="1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>
      <c r="A1" s="91" t="s">
        <v>694</v>
      </c>
    </row>
    <row r="2" spans="1:6" ht="16.5" customHeight="1" thickTop="1" thickBot="1">
      <c r="A2" s="252" t="s">
        <v>762</v>
      </c>
      <c r="B2" s="267" t="s">
        <v>115</v>
      </c>
      <c r="C2" s="268"/>
      <c r="D2" s="268"/>
      <c r="E2" s="268"/>
      <c r="F2" s="269"/>
    </row>
    <row r="3" spans="1:6" ht="70.5" customHeight="1" thickBot="1">
      <c r="A3" s="266"/>
      <c r="B3" s="108" t="s">
        <v>672</v>
      </c>
      <c r="C3" s="108" t="s">
        <v>443</v>
      </c>
      <c r="D3" s="160" t="s">
        <v>1</v>
      </c>
      <c r="E3" s="108" t="s">
        <v>453</v>
      </c>
      <c r="F3" s="108" t="s">
        <v>70</v>
      </c>
    </row>
    <row r="4" spans="1:6" ht="16.5" thickTop="1" thickBot="1">
      <c r="A4" s="1" t="s">
        <v>884</v>
      </c>
      <c r="B4" s="8"/>
      <c r="C4" s="8"/>
      <c r="D4" s="8"/>
      <c r="E4" s="8"/>
      <c r="F4" s="20"/>
    </row>
    <row r="5" spans="1:6" ht="16.5" thickTop="1" thickBot="1">
      <c r="A5" s="93"/>
      <c r="B5" s="63"/>
      <c r="C5" s="63"/>
      <c r="D5" s="41"/>
      <c r="E5" s="41"/>
      <c r="F5" s="128"/>
    </row>
    <row r="6" spans="1:6" ht="15.75" thickBot="1">
      <c r="A6" s="93"/>
      <c r="B6" s="63"/>
      <c r="C6" s="63"/>
      <c r="D6" s="41"/>
      <c r="E6" s="41"/>
      <c r="F6" s="128"/>
    </row>
    <row r="7" spans="1:6" ht="15.75" thickBot="1">
      <c r="A7" s="228"/>
      <c r="B7" s="233"/>
      <c r="C7" s="233"/>
      <c r="D7" s="105"/>
      <c r="E7" s="105"/>
      <c r="F7" s="139">
        <f>SUMIF(HK!A:A,"061*",HK!K:K)-SUMIF(HK!A:A,"061*",HK!L:L)</f>
        <v>0</v>
      </c>
    </row>
    <row r="8" spans="1:6" ht="16.5" thickTop="1" thickBot="1">
      <c r="A8" s="1" t="s">
        <v>850</v>
      </c>
      <c r="B8" s="8"/>
      <c r="C8" s="8"/>
      <c r="D8" s="8"/>
      <c r="E8" s="8"/>
      <c r="F8" s="235"/>
    </row>
    <row r="9" spans="1:6" ht="16.5" thickTop="1" thickBot="1">
      <c r="A9" s="93"/>
      <c r="B9" s="63"/>
      <c r="C9" s="63"/>
      <c r="D9" s="41"/>
      <c r="E9" s="41"/>
      <c r="F9" s="73"/>
    </row>
    <row r="10" spans="1:6" ht="15.75" thickBot="1">
      <c r="A10" s="93"/>
      <c r="B10" s="63"/>
      <c r="C10" s="63"/>
      <c r="D10" s="41"/>
      <c r="E10" s="41"/>
      <c r="F10" s="73"/>
    </row>
    <row r="11" spans="1:6" ht="15.75" thickBot="1">
      <c r="A11" s="228"/>
      <c r="B11" s="233"/>
      <c r="C11" s="233"/>
      <c r="D11" s="105"/>
      <c r="E11" s="105"/>
      <c r="F11" s="139">
        <f>SUMIF(HK!A:A,"062*",HK!K:K)-SUMIF(HK!A:A,"062*",HK!L:L)</f>
        <v>0</v>
      </c>
    </row>
    <row r="12" spans="1:6" ht="16.5" thickTop="1" thickBot="1">
      <c r="A12" s="1" t="s">
        <v>75</v>
      </c>
      <c r="B12" s="8"/>
      <c r="C12" s="8"/>
      <c r="D12" s="8"/>
      <c r="E12" s="8"/>
      <c r="F12" s="235"/>
    </row>
    <row r="13" spans="1:6" ht="16.5" thickTop="1" thickBot="1">
      <c r="A13" s="93"/>
      <c r="B13" s="63"/>
      <c r="C13" s="63"/>
      <c r="D13" s="41"/>
      <c r="E13" s="41"/>
      <c r="F13" s="73"/>
    </row>
    <row r="14" spans="1:6" ht="15.75" thickBot="1">
      <c r="A14" s="93"/>
      <c r="B14" s="63"/>
      <c r="C14" s="63"/>
      <c r="D14" s="41"/>
      <c r="E14" s="41"/>
      <c r="F14" s="73"/>
    </row>
    <row r="15" spans="1:6" ht="15.75" thickBot="1">
      <c r="A15" s="228"/>
      <c r="B15" s="233"/>
      <c r="C15" s="233"/>
      <c r="D15" s="105"/>
      <c r="E15" s="105"/>
      <c r="F15" s="139">
        <f>SUMIF(HK!A:A,"063*",HK!K:K)-SUMIF(HK!A:A,"063*",HK!L:L)</f>
        <v>0</v>
      </c>
    </row>
    <row r="16" spans="1:6" ht="16.5" thickTop="1" thickBot="1">
      <c r="A16" s="1" t="s">
        <v>429</v>
      </c>
      <c r="B16" s="8"/>
      <c r="C16" s="8"/>
      <c r="D16" s="8"/>
      <c r="E16" s="8"/>
      <c r="F16" s="235"/>
    </row>
    <row r="17" spans="1:6" ht="16.5" thickTop="1" thickBot="1">
      <c r="A17" s="186"/>
      <c r="B17" s="63"/>
      <c r="C17" s="63"/>
      <c r="D17" s="41"/>
      <c r="E17" s="41"/>
      <c r="F17" s="73"/>
    </row>
    <row r="18" spans="1:6" ht="15.75" thickBot="1">
      <c r="A18" s="68"/>
      <c r="B18" s="233"/>
      <c r="C18" s="233"/>
      <c r="D18" s="97"/>
      <c r="E18" s="168"/>
      <c r="F18" s="139">
        <f>SUMIF(HK!A:A,"043*",HK!K:K)-SUMIF(HK!A:A,"043*",HK!L:L)</f>
        <v>0</v>
      </c>
    </row>
    <row r="19" spans="1:6" ht="24" thickTop="1" thickBot="1">
      <c r="A19" s="129" t="s">
        <v>391</v>
      </c>
      <c r="B19" s="206" t="s">
        <v>62</v>
      </c>
      <c r="C19" s="206" t="s">
        <v>62</v>
      </c>
      <c r="D19" s="206" t="s">
        <v>62</v>
      </c>
      <c r="E19" s="206" t="s">
        <v>62</v>
      </c>
      <c r="F19" s="218">
        <f>SUM(F17:F18)+SUM(F13:F15)+SUM(F9:F11)+SUM(F5:F7)</f>
        <v>0</v>
      </c>
    </row>
    <row r="20" spans="1:6" ht="15.75" thickTop="1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Jarka</dc:creator>
  <cp:lastModifiedBy>Jarka</cp:lastModifiedBy>
  <dcterms:created xsi:type="dcterms:W3CDTF">2022-03-02T10:54:16Z</dcterms:created>
  <dcterms:modified xsi:type="dcterms:W3CDTF">2022-03-02T10:54:45Z</dcterms:modified>
</cp:coreProperties>
</file>