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cerova\Documents\DP 2021- VAS\"/>
    </mc:Choice>
  </mc:AlternateContent>
  <xr:revisionPtr revIDLastSave="0" documentId="13_ncr:1_{1DD0F992-7EB8-4972-9620-59F25FD901D6}" xr6:coauthVersionLast="47" xr6:coauthVersionMax="47" xr10:uidLastSave="{00000000-0000-0000-0000-000000000000}"/>
  <bookViews>
    <workbookView xWindow="-120" yWindow="-120" windowWidth="29040" windowHeight="16440" tabRatio="997" firstSheet="2" activeTab="21" xr2:uid="{00000000-000D-0000-FFFF-FFFF00000000}"/>
  </bookViews>
  <sheets>
    <sheet name="počet zamestnancov" sheetId="9" r:id="rId1"/>
    <sheet name="DNM" sheetId="10" r:id="rId2"/>
    <sheet name="DHM" sheetId="11" r:id="rId3"/>
    <sheet name="DFM" sheetId="12" r:id="rId4"/>
    <sheet name="DFM i" sheetId="8" r:id="rId5"/>
    <sheet name="DFM 1" sheetId="25" r:id="rId6"/>
    <sheet name="KFM" sheetId="28" r:id="rId7"/>
    <sheet name="dlhopisy" sheetId="26" r:id="rId8"/>
    <sheet name="OP pohladavky" sheetId="13" r:id="rId9"/>
    <sheet name="pohladavky" sheetId="14" r:id="rId10"/>
    <sheet name="fin majetok cas rozlisenie" sheetId="15" r:id="rId11"/>
    <sheet name="rezervy" sheetId="16" r:id="rId12"/>
    <sheet name="zavazky" sheetId="17" r:id="rId13"/>
    <sheet name="fin leasing" sheetId="18" r:id="rId14"/>
    <sheet name="SF" sheetId="19" r:id="rId15"/>
    <sheet name="bankove uvery" sheetId="20" r:id="rId16"/>
    <sheet name="vynosy segmenty" sheetId="21" r:id="rId17"/>
    <sheet name="výnosy" sheetId="5" r:id="rId18"/>
    <sheet name="zásoby vlastnej výroby" sheetId="29" r:id="rId19"/>
    <sheet name="naklady" sheetId="22" r:id="rId20"/>
    <sheet name="odl dan" sheetId="23" r:id="rId21"/>
    <sheet name="dane" sheetId="24" r:id="rId22"/>
    <sheet name="odmeny" sheetId="3" r:id="rId23"/>
    <sheet name="spriaznene osoby" sheetId="4" r:id="rId24"/>
    <sheet name="vlastne imanie" sheetId="6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22" l="1"/>
  <c r="B38" i="22"/>
  <c r="C29" i="22"/>
  <c r="C25" i="22" s="1"/>
  <c r="B29" i="22"/>
  <c r="B27" i="22"/>
  <c r="B25" i="22"/>
  <c r="C21" i="22"/>
  <c r="C17" i="22" s="1"/>
  <c r="B21" i="22"/>
  <c r="B17" i="22" s="1"/>
  <c r="C15" i="22"/>
  <c r="B15" i="22"/>
  <c r="C7" i="22"/>
  <c r="B7" i="22"/>
  <c r="C4" i="22"/>
  <c r="C3" i="22" s="1"/>
  <c r="B4" i="22"/>
  <c r="B3" i="22"/>
  <c r="B11" i="25" l="1"/>
  <c r="C9" i="25"/>
  <c r="D9" i="25" s="1"/>
  <c r="D3" i="25"/>
  <c r="D4" i="25"/>
  <c r="D5" i="25"/>
  <c r="D6" i="25"/>
  <c r="D7" i="25"/>
  <c r="D8" i="25"/>
  <c r="D2" i="25"/>
  <c r="C10" i="25"/>
  <c r="B10" i="25"/>
  <c r="B12" i="25" s="1"/>
  <c r="B4" i="25"/>
  <c r="G46" i="12"/>
  <c r="G45" i="12"/>
  <c r="G44" i="12"/>
  <c r="F19" i="26"/>
  <c r="E19" i="26"/>
  <c r="D19" i="26"/>
  <c r="C19" i="26"/>
  <c r="G18" i="26"/>
  <c r="G17" i="26"/>
  <c r="G16" i="26"/>
  <c r="G19" i="26" s="1"/>
  <c r="G15" i="26"/>
  <c r="D9" i="26"/>
  <c r="E9" i="26"/>
  <c r="F9" i="26"/>
  <c r="G5" i="26"/>
  <c r="G6" i="26"/>
  <c r="G9" i="26" s="1"/>
  <c r="G7" i="26"/>
  <c r="C9" i="26"/>
  <c r="G8" i="26"/>
  <c r="C12" i="25" l="1"/>
  <c r="C11" i="25"/>
  <c r="D10" i="25"/>
  <c r="D12" i="25" s="1"/>
  <c r="D11" i="25"/>
  <c r="C65" i="15" l="1"/>
  <c r="I12" i="6"/>
  <c r="I13" i="6"/>
  <c r="I6" i="6"/>
  <c r="I7" i="6"/>
  <c r="I8" i="6"/>
  <c r="E16" i="6"/>
  <c r="F16" i="6"/>
  <c r="E10" i="6"/>
  <c r="C10" i="6"/>
  <c r="D10" i="6"/>
  <c r="D16" i="6" s="1"/>
  <c r="F10" i="6"/>
  <c r="F12" i="24"/>
  <c r="E12" i="24"/>
  <c r="F5" i="24"/>
  <c r="F7" i="24"/>
  <c r="C12" i="24"/>
  <c r="B22" i="24"/>
  <c r="B21" i="24"/>
  <c r="B7" i="24"/>
  <c r="D15" i="23"/>
  <c r="E15" i="23"/>
  <c r="E5" i="23"/>
  <c r="E10" i="23"/>
  <c r="E6" i="23"/>
  <c r="E8" i="23"/>
  <c r="D3" i="23"/>
  <c r="E2" i="23"/>
  <c r="B5" i="23"/>
  <c r="B2" i="23"/>
  <c r="B8" i="23"/>
  <c r="B7" i="5"/>
  <c r="C7" i="29" l="1"/>
  <c r="D7" i="29"/>
  <c r="B7" i="29"/>
  <c r="E5" i="29"/>
  <c r="E7" i="29" s="1"/>
  <c r="F5" i="29"/>
  <c r="F7" i="29" s="1"/>
  <c r="H5" i="21"/>
  <c r="I5" i="21"/>
  <c r="I4" i="21"/>
  <c r="I6" i="21" s="1"/>
  <c r="H4" i="21"/>
  <c r="C45" i="15"/>
  <c r="C47" i="15"/>
  <c r="B47" i="15"/>
  <c r="B45" i="15"/>
  <c r="B8" i="19"/>
  <c r="B3" i="17"/>
  <c r="E28" i="16"/>
  <c r="D28" i="16"/>
  <c r="C28" i="16"/>
  <c r="B28" i="16"/>
  <c r="B22" i="16" s="1"/>
  <c r="F27" i="16"/>
  <c r="F28" i="16" s="1"/>
  <c r="E25" i="16"/>
  <c r="D25" i="16"/>
  <c r="D22" i="16" s="1"/>
  <c r="C25" i="16"/>
  <c r="B25" i="16"/>
  <c r="F24" i="16"/>
  <c r="F25" i="16" s="1"/>
  <c r="F20" i="16"/>
  <c r="F19" i="16" s="1"/>
  <c r="E19" i="16"/>
  <c r="D19" i="16"/>
  <c r="C19" i="16"/>
  <c r="B19" i="16"/>
  <c r="C9" i="16"/>
  <c r="C4" i="16"/>
  <c r="D4" i="16"/>
  <c r="E4" i="16"/>
  <c r="F4" i="16"/>
  <c r="B4" i="16"/>
  <c r="F5" i="16"/>
  <c r="C35" i="15"/>
  <c r="B35" i="15"/>
  <c r="C9" i="28"/>
  <c r="D9" i="28"/>
  <c r="E9" i="28"/>
  <c r="B9" i="28"/>
  <c r="F4" i="28"/>
  <c r="F5" i="28"/>
  <c r="F6" i="28"/>
  <c r="F9" i="28" s="1"/>
  <c r="F7" i="28"/>
  <c r="F8" i="28"/>
  <c r="F3" i="28"/>
  <c r="B26" i="14"/>
  <c r="B11" i="14"/>
  <c r="H6" i="21" l="1"/>
  <c r="E22" i="16"/>
  <c r="C22" i="16"/>
  <c r="F22" i="16"/>
  <c r="I54" i="12" l="1"/>
  <c r="H54" i="12"/>
  <c r="G54" i="12"/>
  <c r="F54" i="12"/>
  <c r="E54" i="12"/>
  <c r="D54" i="12"/>
  <c r="C54" i="12"/>
  <c r="B54" i="12"/>
  <c r="J53" i="12"/>
  <c r="J52" i="12"/>
  <c r="J51" i="12"/>
  <c r="J50" i="12"/>
  <c r="J47" i="12"/>
  <c r="I61" i="12"/>
  <c r="H61" i="12"/>
  <c r="G61" i="12"/>
  <c r="F61" i="12"/>
  <c r="E61" i="12"/>
  <c r="D61" i="12"/>
  <c r="C61" i="12"/>
  <c r="B61" i="12"/>
  <c r="I59" i="12"/>
  <c r="H59" i="12"/>
  <c r="G59" i="12"/>
  <c r="F59" i="12"/>
  <c r="E59" i="12"/>
  <c r="D59" i="12"/>
  <c r="C59" i="12"/>
  <c r="B59" i="12"/>
  <c r="J58" i="12"/>
  <c r="J57" i="12"/>
  <c r="J56" i="12"/>
  <c r="I48" i="12"/>
  <c r="H48" i="12"/>
  <c r="G48" i="12"/>
  <c r="F48" i="12"/>
  <c r="E48" i="12"/>
  <c r="D48" i="12"/>
  <c r="C48" i="12"/>
  <c r="B48" i="12"/>
  <c r="J46" i="12"/>
  <c r="J45" i="12"/>
  <c r="J44" i="12"/>
  <c r="J54" i="12" l="1"/>
  <c r="C62" i="12"/>
  <c r="E62" i="12"/>
  <c r="D62" i="12"/>
  <c r="J48" i="12"/>
  <c r="F62" i="12"/>
  <c r="G62" i="12"/>
  <c r="H62" i="12"/>
  <c r="I62" i="12"/>
  <c r="B62" i="12"/>
  <c r="J61" i="12"/>
  <c r="J59" i="12"/>
  <c r="J62" i="12" l="1"/>
  <c r="D15" i="11" l="1"/>
  <c r="M19" i="11"/>
  <c r="M18" i="11"/>
  <c r="M17" i="11"/>
  <c r="M8" i="11"/>
  <c r="K8" i="11"/>
  <c r="L9" i="11"/>
  <c r="D8" i="11"/>
  <c r="D9" i="11"/>
  <c r="C8" i="11"/>
  <c r="F17" i="24" l="1"/>
  <c r="G16" i="24"/>
  <c r="G15" i="24"/>
  <c r="E11" i="24"/>
  <c r="F10" i="24"/>
  <c r="G10" i="24" s="1"/>
  <c r="F8" i="24"/>
  <c r="G8" i="24" s="1"/>
  <c r="C7" i="24"/>
  <c r="D7" i="24" s="1"/>
  <c r="C17" i="24"/>
  <c r="D16" i="24"/>
  <c r="D15" i="24"/>
  <c r="B11" i="24"/>
  <c r="C10" i="24"/>
  <c r="D10" i="24" s="1"/>
  <c r="C8" i="24"/>
  <c r="D8" i="24" s="1"/>
  <c r="C5" i="24"/>
  <c r="D8" i="23"/>
  <c r="C15" i="23"/>
  <c r="D4" i="23"/>
  <c r="D5" i="23"/>
  <c r="D6" i="23"/>
  <c r="D7" i="23"/>
  <c r="D9" i="23"/>
  <c r="F11" i="24" l="1"/>
  <c r="F13" i="24" s="1"/>
  <c r="G17" i="24"/>
  <c r="G7" i="24"/>
  <c r="G11" i="24" s="1"/>
  <c r="C11" i="24"/>
  <c r="D11" i="24" s="1"/>
  <c r="D17" i="24"/>
  <c r="G13" i="24" l="1"/>
  <c r="C13" i="24"/>
  <c r="D13" i="24" s="1"/>
  <c r="B10" i="23" l="1"/>
  <c r="C10" i="23"/>
  <c r="D2" i="23"/>
  <c r="D10" i="23" s="1"/>
  <c r="B15" i="23" l="1"/>
  <c r="C27" i="5" l="1"/>
  <c r="B27" i="5"/>
  <c r="C18" i="5"/>
  <c r="C11" i="5" s="1"/>
  <c r="C3" i="5"/>
  <c r="B3" i="5"/>
  <c r="G6" i="21"/>
  <c r="F6" i="21"/>
  <c r="E6" i="21"/>
  <c r="D6" i="21"/>
  <c r="C6" i="21"/>
  <c r="B6" i="21"/>
  <c r="C43" i="15"/>
  <c r="C49" i="15" s="1"/>
  <c r="B43" i="15"/>
  <c r="B49" i="15" s="1"/>
  <c r="F9" i="20"/>
  <c r="E9" i="20"/>
  <c r="F4" i="20"/>
  <c r="E4" i="20"/>
  <c r="B11" i="19"/>
  <c r="C8" i="19"/>
  <c r="C11" i="19" s="1"/>
  <c r="H15" i="18"/>
  <c r="F15" i="18"/>
  <c r="D15" i="18"/>
  <c r="B15" i="18"/>
  <c r="G13" i="18"/>
  <c r="G15" i="18" s="1"/>
  <c r="C13" i="18"/>
  <c r="C15" i="18" s="1"/>
  <c r="H7" i="18"/>
  <c r="F7" i="18"/>
  <c r="D7" i="18"/>
  <c r="C7" i="18"/>
  <c r="B7" i="18"/>
  <c r="G7" i="18"/>
  <c r="C8" i="17"/>
  <c r="B8" i="17"/>
  <c r="C4" i="17"/>
  <c r="B4" i="17"/>
  <c r="E13" i="16"/>
  <c r="D13" i="16"/>
  <c r="C13" i="16"/>
  <c r="B13" i="16"/>
  <c r="F12" i="16"/>
  <c r="F13" i="16" s="1"/>
  <c r="E10" i="16"/>
  <c r="E7" i="16" s="1"/>
  <c r="D10" i="16"/>
  <c r="C10" i="16"/>
  <c r="B10" i="16"/>
  <c r="F9" i="16"/>
  <c r="F10" i="16" s="1"/>
  <c r="C31" i="15"/>
  <c r="C38" i="15" s="1"/>
  <c r="B31" i="15"/>
  <c r="B29" i="15"/>
  <c r="C24" i="15"/>
  <c r="B24" i="15"/>
  <c r="C9" i="15"/>
  <c r="B9" i="15"/>
  <c r="C4" i="15"/>
  <c r="B4" i="15"/>
  <c r="C3" i="15"/>
  <c r="B3" i="15"/>
  <c r="D26" i="14"/>
  <c r="D25" i="14"/>
  <c r="D24" i="14"/>
  <c r="C27" i="14"/>
  <c r="B27" i="14"/>
  <c r="D22" i="14"/>
  <c r="C19" i="14"/>
  <c r="B19" i="14"/>
  <c r="D18" i="14"/>
  <c r="D17" i="14"/>
  <c r="C12" i="14"/>
  <c r="D11" i="14"/>
  <c r="D10" i="14"/>
  <c r="D9" i="14"/>
  <c r="B12" i="14"/>
  <c r="D7" i="14"/>
  <c r="C4" i="14"/>
  <c r="B4" i="14"/>
  <c r="D3" i="14"/>
  <c r="D2" i="14"/>
  <c r="E7" i="13"/>
  <c r="D7" i="13"/>
  <c r="B7" i="13"/>
  <c r="F6" i="13"/>
  <c r="F5" i="13"/>
  <c r="F4" i="13"/>
  <c r="F3" i="13"/>
  <c r="I35" i="12"/>
  <c r="H35" i="12"/>
  <c r="G35" i="12"/>
  <c r="F35" i="12"/>
  <c r="E35" i="12"/>
  <c r="D35" i="12"/>
  <c r="C35" i="12"/>
  <c r="B35" i="12"/>
  <c r="I33" i="12"/>
  <c r="H33" i="12"/>
  <c r="G33" i="12"/>
  <c r="F33" i="12"/>
  <c r="E33" i="12"/>
  <c r="D33" i="12"/>
  <c r="C33" i="12"/>
  <c r="B33" i="12"/>
  <c r="J32" i="12"/>
  <c r="J31" i="12"/>
  <c r="J30" i="12"/>
  <c r="I28" i="12"/>
  <c r="H28" i="12"/>
  <c r="G28" i="12"/>
  <c r="F28" i="12"/>
  <c r="E28" i="12"/>
  <c r="D28" i="12"/>
  <c r="C28" i="12"/>
  <c r="B28" i="12"/>
  <c r="J27" i="12"/>
  <c r="J26" i="12"/>
  <c r="J25" i="12"/>
  <c r="J24" i="12"/>
  <c r="F14" i="12"/>
  <c r="I16" i="12"/>
  <c r="H16" i="12"/>
  <c r="G16" i="12"/>
  <c r="F16" i="12"/>
  <c r="E16" i="12"/>
  <c r="D16" i="12"/>
  <c r="C16" i="12"/>
  <c r="B16" i="12"/>
  <c r="I14" i="12"/>
  <c r="H14" i="12"/>
  <c r="G14" i="12"/>
  <c r="E14" i="12"/>
  <c r="D14" i="12"/>
  <c r="C14" i="12"/>
  <c r="B14" i="12"/>
  <c r="J13" i="12"/>
  <c r="J12" i="12"/>
  <c r="J11" i="12"/>
  <c r="I9" i="12"/>
  <c r="H9" i="12"/>
  <c r="G9" i="12"/>
  <c r="F9" i="12"/>
  <c r="E9" i="12"/>
  <c r="D9" i="12"/>
  <c r="C9" i="12"/>
  <c r="B9" i="12"/>
  <c r="J8" i="12"/>
  <c r="J7" i="12"/>
  <c r="J6" i="12"/>
  <c r="J5" i="12"/>
  <c r="J7" i="11"/>
  <c r="I48" i="11"/>
  <c r="H48" i="11"/>
  <c r="G48" i="11"/>
  <c r="F48" i="11"/>
  <c r="E48" i="11"/>
  <c r="D48" i="11"/>
  <c r="C48" i="11"/>
  <c r="B48" i="11"/>
  <c r="I46" i="11"/>
  <c r="H46" i="11"/>
  <c r="G46" i="11"/>
  <c r="F46" i="11"/>
  <c r="E46" i="11"/>
  <c r="D46" i="11"/>
  <c r="C46" i="11"/>
  <c r="B46" i="11"/>
  <c r="J45" i="11"/>
  <c r="J44" i="11"/>
  <c r="J43" i="11"/>
  <c r="I41" i="11"/>
  <c r="H41" i="11"/>
  <c r="G41" i="11"/>
  <c r="F41" i="11"/>
  <c r="E41" i="11"/>
  <c r="D41" i="11"/>
  <c r="C41" i="11"/>
  <c r="B41" i="11"/>
  <c r="B49" i="11" s="1"/>
  <c r="J40" i="11"/>
  <c r="J39" i="11"/>
  <c r="J38" i="11"/>
  <c r="I36" i="11"/>
  <c r="H36" i="11"/>
  <c r="G36" i="11"/>
  <c r="F36" i="11"/>
  <c r="E36" i="11"/>
  <c r="D36" i="11"/>
  <c r="C36" i="11"/>
  <c r="B36" i="11"/>
  <c r="J35" i="11"/>
  <c r="J34" i="11"/>
  <c r="J33" i="11"/>
  <c r="J32" i="11"/>
  <c r="I23" i="11"/>
  <c r="H23" i="11"/>
  <c r="G23" i="11"/>
  <c r="F23" i="11"/>
  <c r="E23" i="11"/>
  <c r="D23" i="11"/>
  <c r="C23" i="11"/>
  <c r="B23" i="11"/>
  <c r="I21" i="11"/>
  <c r="H21" i="11"/>
  <c r="G21" i="11"/>
  <c r="F21" i="11"/>
  <c r="E21" i="11"/>
  <c r="D21" i="11"/>
  <c r="C21" i="11"/>
  <c r="B21" i="11"/>
  <c r="J20" i="11"/>
  <c r="J19" i="11"/>
  <c r="J18" i="11"/>
  <c r="I16" i="11"/>
  <c r="H16" i="11"/>
  <c r="G16" i="11"/>
  <c r="F16" i="11"/>
  <c r="E16" i="11"/>
  <c r="E24" i="11" s="1"/>
  <c r="D16" i="11"/>
  <c r="C16" i="11"/>
  <c r="B16" i="11"/>
  <c r="J15" i="11"/>
  <c r="J14" i="11"/>
  <c r="J13" i="11"/>
  <c r="I11" i="11"/>
  <c r="H11" i="11"/>
  <c r="G11" i="11"/>
  <c r="F11" i="11"/>
  <c r="E11" i="11"/>
  <c r="D11" i="11"/>
  <c r="M11" i="11" s="1"/>
  <c r="C11" i="11"/>
  <c r="B11" i="11"/>
  <c r="J10" i="11"/>
  <c r="J9" i="11"/>
  <c r="J8" i="11"/>
  <c r="H44" i="10"/>
  <c r="G44" i="10"/>
  <c r="F44" i="10"/>
  <c r="E44" i="10"/>
  <c r="D44" i="10"/>
  <c r="C44" i="10"/>
  <c r="B44" i="10"/>
  <c r="H42" i="10"/>
  <c r="G42" i="10"/>
  <c r="F42" i="10"/>
  <c r="E42" i="10"/>
  <c r="D42" i="10"/>
  <c r="C42" i="10"/>
  <c r="B42" i="10"/>
  <c r="I41" i="10"/>
  <c r="I40" i="10"/>
  <c r="I39" i="10"/>
  <c r="H37" i="10"/>
  <c r="G37" i="10"/>
  <c r="F37" i="10"/>
  <c r="E37" i="10"/>
  <c r="D37" i="10"/>
  <c r="C37" i="10"/>
  <c r="B37" i="10"/>
  <c r="I36" i="10"/>
  <c r="I35" i="10"/>
  <c r="I34" i="10"/>
  <c r="H32" i="10"/>
  <c r="G32" i="10"/>
  <c r="F32" i="10"/>
  <c r="E32" i="10"/>
  <c r="D32" i="10"/>
  <c r="C32" i="10"/>
  <c r="B32" i="10"/>
  <c r="I31" i="10"/>
  <c r="I30" i="10"/>
  <c r="I29" i="10"/>
  <c r="I28" i="10"/>
  <c r="C13" i="10"/>
  <c r="C8" i="10"/>
  <c r="H20" i="10"/>
  <c r="G20" i="10"/>
  <c r="F20" i="10"/>
  <c r="E20" i="10"/>
  <c r="D20" i="10"/>
  <c r="C20" i="10"/>
  <c r="B20" i="10"/>
  <c r="H18" i="10"/>
  <c r="G18" i="10"/>
  <c r="F18" i="10"/>
  <c r="E18" i="10"/>
  <c r="D18" i="10"/>
  <c r="C18" i="10"/>
  <c r="B18" i="10"/>
  <c r="I17" i="10"/>
  <c r="I16" i="10"/>
  <c r="I15" i="10"/>
  <c r="H13" i="10"/>
  <c r="G13" i="10"/>
  <c r="F13" i="10"/>
  <c r="E13" i="10"/>
  <c r="D13" i="10"/>
  <c r="B13" i="10"/>
  <c r="I12" i="10"/>
  <c r="I11" i="10"/>
  <c r="I10" i="10"/>
  <c r="H8" i="10"/>
  <c r="G8" i="10"/>
  <c r="F8" i="10"/>
  <c r="E8" i="10"/>
  <c r="D8" i="10"/>
  <c r="B8" i="10"/>
  <c r="I7" i="10"/>
  <c r="I6" i="10"/>
  <c r="I5" i="10"/>
  <c r="I4" i="10"/>
  <c r="B38" i="15" l="1"/>
  <c r="D7" i="16"/>
  <c r="G36" i="12"/>
  <c r="C36" i="12"/>
  <c r="F17" i="12"/>
  <c r="J28" i="12"/>
  <c r="D36" i="12"/>
  <c r="G24" i="11"/>
  <c r="C49" i="11"/>
  <c r="C7" i="16"/>
  <c r="E36" i="12"/>
  <c r="F36" i="12"/>
  <c r="H36" i="12"/>
  <c r="C24" i="11"/>
  <c r="I36" i="12"/>
  <c r="B36" i="12"/>
  <c r="J35" i="12"/>
  <c r="D49" i="11"/>
  <c r="J21" i="11"/>
  <c r="I49" i="11"/>
  <c r="H49" i="11"/>
  <c r="G49" i="11"/>
  <c r="J36" i="11"/>
  <c r="F49" i="11"/>
  <c r="E49" i="11"/>
  <c r="J46" i="11"/>
  <c r="J48" i="11"/>
  <c r="B24" i="11"/>
  <c r="F24" i="11"/>
  <c r="D24" i="11"/>
  <c r="I24" i="11"/>
  <c r="H24" i="11"/>
  <c r="J23" i="11"/>
  <c r="J11" i="11"/>
  <c r="E11" i="20"/>
  <c r="F11" i="20"/>
  <c r="B7" i="16"/>
  <c r="F7" i="16"/>
  <c r="C5" i="15"/>
  <c r="B5" i="15"/>
  <c r="D19" i="14"/>
  <c r="D23" i="14"/>
  <c r="D4" i="14"/>
  <c r="D8" i="14"/>
  <c r="D12" i="14" s="1"/>
  <c r="C7" i="13"/>
  <c r="F7" i="13"/>
  <c r="J33" i="12"/>
  <c r="J16" i="12"/>
  <c r="B17" i="12"/>
  <c r="J9" i="12"/>
  <c r="C17" i="12"/>
  <c r="G17" i="12"/>
  <c r="D17" i="12"/>
  <c r="H17" i="12"/>
  <c r="E17" i="12"/>
  <c r="I17" i="12"/>
  <c r="J14" i="12"/>
  <c r="J41" i="11"/>
  <c r="J16" i="11"/>
  <c r="C45" i="10"/>
  <c r="G45" i="10"/>
  <c r="I44" i="10"/>
  <c r="I32" i="10"/>
  <c r="D45" i="10"/>
  <c r="H45" i="10"/>
  <c r="I42" i="10"/>
  <c r="F45" i="10"/>
  <c r="E45" i="10"/>
  <c r="B45" i="10"/>
  <c r="I37" i="10"/>
  <c r="I8" i="10"/>
  <c r="D21" i="10"/>
  <c r="I20" i="10"/>
  <c r="I18" i="10"/>
  <c r="C21" i="10"/>
  <c r="G21" i="10"/>
  <c r="E21" i="10"/>
  <c r="H21" i="10"/>
  <c r="B21" i="10"/>
  <c r="F21" i="10"/>
  <c r="I13" i="10"/>
  <c r="D27" i="14" l="1"/>
  <c r="J36" i="12"/>
  <c r="J49" i="11"/>
  <c r="J24" i="11"/>
  <c r="J17" i="12"/>
  <c r="I45" i="10"/>
  <c r="I21" i="10"/>
  <c r="B18" i="5" l="1"/>
  <c r="B11" i="5" s="1"/>
  <c r="I14" i="6" l="1"/>
  <c r="I11" i="6"/>
  <c r="H10" i="6"/>
  <c r="H16" i="6" s="1"/>
  <c r="G10" i="6"/>
  <c r="G16" i="6" s="1"/>
  <c r="C16" i="6"/>
  <c r="B10" i="6"/>
  <c r="B16" i="6" s="1"/>
  <c r="I5" i="6"/>
  <c r="I4" i="6"/>
  <c r="I10" i="6" l="1"/>
  <c r="I16" i="6" s="1"/>
</calcChain>
</file>

<file path=xl/sharedStrings.xml><?xml version="1.0" encoding="utf-8"?>
<sst xmlns="http://schemas.openxmlformats.org/spreadsheetml/2006/main" count="682" uniqueCount="368">
  <si>
    <t>EUR</t>
  </si>
  <si>
    <t>Odložená daňová pohľadávka</t>
  </si>
  <si>
    <t>Odložený daňový záväzok</t>
  </si>
  <si>
    <t>Názov položky </t>
  </si>
  <si>
    <t>Zaúčtovaná do vlastného imania</t>
  </si>
  <si>
    <t>Zaúčtované do výkazu ziskov a strát</t>
  </si>
  <si>
    <t>Pohľadávky</t>
  </si>
  <si>
    <t>Celkom</t>
  </si>
  <si>
    <t>Sadzba dane z príjmov ( v %) *</t>
  </si>
  <si>
    <t>Odložená daňová pohľadávka vypočítaná</t>
  </si>
  <si>
    <t>Uplatnená daňová pohľadávka zaúčtovaná</t>
  </si>
  <si>
    <t>0 </t>
  </si>
  <si>
    <t>Dlhodobý hmotný majetok</t>
  </si>
  <si>
    <t>Hodnota  príjmu, výhody súčasných členov orgánov</t>
  </si>
  <si>
    <t>Druh príjmu, výhody</t>
  </si>
  <si>
    <t>Peňažné príjmy</t>
  </si>
  <si>
    <t>Nepeňažné príjmy</t>
  </si>
  <si>
    <t>Poskytnuté úvery</t>
  </si>
  <si>
    <t>Poskytnuté záruky</t>
  </si>
  <si>
    <t>Ostatné spriaznené osoby</t>
  </si>
  <si>
    <t>Názov položky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</si>
  <si>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</si>
  <si>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</si>
  <si>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</si>
  <si>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</si>
  <si>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</si>
  <si>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Výnosové úroky</t>
  </si>
  <si>
    <t xml:space="preserve"> Základné imanie </t>
  </si>
  <si>
    <t>Nerozdelený zisk minulých rokov</t>
  </si>
  <si>
    <t>Spolu</t>
  </si>
  <si>
    <t>Rezervný fond</t>
  </si>
  <si>
    <t>Zisk za účtovné obdobie</t>
  </si>
  <si>
    <t>Presun</t>
  </si>
  <si>
    <t>Dlhodobé záväzky spolu</t>
  </si>
  <si>
    <t>Dlhodobé záväzky voči prepojeným spoločnostiam</t>
  </si>
  <si>
    <t xml:space="preserve">Výsledok hospodárenia </t>
  </si>
  <si>
    <t>31. decembra 2017</t>
  </si>
  <si>
    <t>Obchodné meno a sídlo spoločnosti, v ktorej má účtovná jednotka umiestnený dlhodobý finančný majetok</t>
  </si>
  <si>
    <t>Podiel účtovnej jednotky na ZI v %</t>
  </si>
  <si>
    <t>Podiel účtovnej jednotky na hlas. právach v %</t>
  </si>
  <si>
    <t>Hodnota  vlastného imania účtovnej jednotky, v ktorej má účtovná jednotka umiestnený DFM</t>
  </si>
  <si>
    <t>Výsledok hospodárenia účtovnej jednotky, v ktorej má účtovná jednotka umiestnený DFM</t>
  </si>
  <si>
    <t>Účtovná hodnota dlhodobého finančného majetku</t>
  </si>
  <si>
    <t>a) Dcérske účtovné jednotky</t>
  </si>
  <si>
    <t>DAS, s.r.o.</t>
  </si>
  <si>
    <t>x</t>
  </si>
  <si>
    <t>Dlhodobý finančný majetok spolu</t>
  </si>
  <si>
    <t>Priemerný prepočítaný počet zamestnancov</t>
  </si>
  <si>
    <t>Stav zamestnancov ku dňu, ku ktorému sa zostavuje účtovná závierka, z toho:</t>
  </si>
  <si>
    <t>počet vedúcich zamestnancov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</si>
  <si>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</si>
  <si>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</si>
  <si>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</si>
  <si>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</si>
  <si>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</si>
  <si>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</si>
  <si>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</si>
  <si>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</si>
  <si>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</si>
  <si>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</si>
  <si>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</si>
  <si>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</si>
  <si>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</si>
  <si>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</si>
  <si>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</si>
  <si>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</si>
  <si>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</si>
  <si>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</si>
  <si>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</si>
  <si>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</si>
  <si>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</si>
  <si>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</si>
  <si>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</si>
  <si>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</si>
  <si>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Podielové cenné papiere a podiely v prepojených účtovnych jednotkách</t>
  </si>
  <si>
    <t>Podielové cenné papiere a podiely v spoločnosti s podstatným vplyvom</t>
  </si>
  <si>
    <t>Ostatné realizovateľné cenné papiere a podiely</t>
  </si>
  <si>
    <t>Pôžičky prepojeným ÚJ</t>
  </si>
  <si>
    <t>Ostatné pôžičky</t>
  </si>
  <si>
    <t>Dlhové CP a ostatný dlhodobý finančný majetok</t>
  </si>
  <si>
    <t>Obstarávaný dlhodobý finančný majetok</t>
  </si>
  <si>
    <t>Poskytnuté preddavky na dlhodobý finančný majetok</t>
  </si>
  <si>
    <t>Presuny/preklasifikácie</t>
  </si>
  <si>
    <t>Účtovná hodnota</t>
  </si>
  <si>
    <t>Bezprostredne predchádzajúce obdobie - rok 2016</t>
  </si>
  <si>
    <t>Tvorba opravnej položky</t>
  </si>
  <si>
    <t>Zúčtovanie opravnej položky z dôvodu vyradenia majetku z účtovníctva</t>
  </si>
  <si>
    <t>Pohľadávky z obchodného styku voči prepojeným UJ</t>
  </si>
  <si>
    <t>Ostatné pohľadávky z obchodného styku</t>
  </si>
  <si>
    <t>Ostatné pohľadávky voči prepojeným UJ</t>
  </si>
  <si>
    <t>Iné pohľadávky</t>
  </si>
  <si>
    <t>Pohľadávky spolu</t>
  </si>
  <si>
    <t>Opravné položky k pohľadávkam</t>
  </si>
  <si>
    <t>Opravné položky spolu</t>
  </si>
  <si>
    <t>V lehote splatnosti</t>
  </si>
  <si>
    <t>Po lehote splatnosti</t>
  </si>
  <si>
    <t>Dlhodobé pohľadávky spolu</t>
  </si>
  <si>
    <t>Krátkodobé pohľadávky</t>
  </si>
  <si>
    <t>Pohľadávky z obchodného styku voči prepojeným účtovným jednotkám</t>
  </si>
  <si>
    <t>Ostatné pohľadávky voči prepojeným účtovným jednotkám</t>
  </si>
  <si>
    <t>Daňové pohľadávky a dotácie</t>
  </si>
  <si>
    <t>Krátkodobé pohľadávky spolu</t>
  </si>
  <si>
    <t>Pohľadávky podľa zostatkovej doby splatnosti</t>
  </si>
  <si>
    <t>31.12.2016</t>
  </si>
  <si>
    <t>Pohľadávky po lehote splatnosti viac ako 30 dní</t>
  </si>
  <si>
    <t>Pohľadávky so zostatkovou dobou splatnosti do jedného roka</t>
  </si>
  <si>
    <t>Pohľadávky so zostatkovou dobou splatnosti  jeden rok až päť rokov</t>
  </si>
  <si>
    <t>Pohľadávky so zostatkovou dobou splatnosti dlhšou ako päť rokov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</si>
  <si>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</si>
  <si>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</si>
  <si>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</si>
  <si>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</si>
  <si>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Hodnota pohľadávok, pri ktorých je obmedzené právo s nimi nakladať</t>
  </si>
  <si>
    <t>Opis predmetu záložného práva k 31.12. 2017</t>
  </si>
  <si>
    <t>Bežné bankové účty</t>
  </si>
  <si>
    <t>Bankové účty termínované</t>
  </si>
  <si>
    <t>Peniaze na ceste</t>
  </si>
  <si>
    <t>Náklady budúcich období dlhodobé, z toho:</t>
  </si>
  <si>
    <t>poistné</t>
  </si>
  <si>
    <t>Náklady budúcich období krátkodobé, z toho:</t>
  </si>
  <si>
    <t>poistenie</t>
  </si>
  <si>
    <t>ostatné</t>
  </si>
  <si>
    <t>Príjmy budúcich období dlhodobé</t>
  </si>
  <si>
    <t>Stav</t>
  </si>
  <si>
    <t>Tvorba</t>
  </si>
  <si>
    <t>Použitie</t>
  </si>
  <si>
    <t>Zrušenie</t>
  </si>
  <si>
    <t>Krátkodobé rezervy, z toho:</t>
  </si>
  <si>
    <t>Nevyčerpané dovolenky a zákonné sociálne odvody</t>
  </si>
  <si>
    <t>Zákonné rezervy krátkodobé spolu</t>
  </si>
  <si>
    <t>Ostatné krátkodobé rezervy spolu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</si>
  <si>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</si>
  <si>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</si>
  <si>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</si>
  <si>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</si>
  <si>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</si>
  <si>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z obchodného styku zádržné</t>
  </si>
  <si>
    <t>Dlhodobé záväzky zo splátkového predaja</t>
  </si>
  <si>
    <t>Záväzky zo sociálneho fondu</t>
  </si>
  <si>
    <t>Dlhodobé záväzky finančný leasing</t>
  </si>
  <si>
    <t xml:space="preserve"> 31. 12. 2017</t>
  </si>
  <si>
    <t xml:space="preserve"> 31. 12. 2016</t>
  </si>
  <si>
    <t>Splatnosť</t>
  </si>
  <si>
    <t>do jedného roka vrátane</t>
  </si>
  <si>
    <t>od jedného roka do piatich rokov vrátane</t>
  </si>
  <si>
    <t>viac ako päť rokov</t>
  </si>
  <si>
    <t>Istina finančný leasing</t>
  </si>
  <si>
    <t>Finančný náklad</t>
  </si>
  <si>
    <t>Istina splátkový predaj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</si>
  <si>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</si>
  <si>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</si>
  <si>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</si>
  <si>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</si>
  <si>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</si>
  <si>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</si>
  <si>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</si>
  <si>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Mena</t>
  </si>
  <si>
    <t>Úrok p.a.      v %</t>
  </si>
  <si>
    <t>Dátum splatnosti</t>
  </si>
  <si>
    <t>Suma istiny     v príslušnej mene                 k 31.12.2017</t>
  </si>
  <si>
    <t>Suma istiny      v príslušnej mene                k 31.12.2016</t>
  </si>
  <si>
    <t>Dlhodobé bankové úvery</t>
  </si>
  <si>
    <t>Dlhodobé úvery spolu</t>
  </si>
  <si>
    <t>Krátkodobé bankové úvery</t>
  </si>
  <si>
    <t>Kontokorentný úver</t>
  </si>
  <si>
    <t>Revolvingový úver</t>
  </si>
  <si>
    <t>Krátkodobé úvery spolu</t>
  </si>
  <si>
    <t>Výdavky budúcich období dlhodobé, z toho:</t>
  </si>
  <si>
    <t>Výdaky budúcich období krátkodobé, z toho:</t>
  </si>
  <si>
    <t>Výnosy budúcich období dlhodobé, z toho:</t>
  </si>
  <si>
    <t>Výnosy budúcich období krátkodobé, z toho:</t>
  </si>
  <si>
    <t>Oblasť</t>
  </si>
  <si>
    <t>Tovar</t>
  </si>
  <si>
    <t>odbytu</t>
  </si>
  <si>
    <t>Slovenská republika</t>
  </si>
  <si>
    <t>Zahraničie</t>
  </si>
  <si>
    <t>Významné položky pri aktivácii nákladov</t>
  </si>
  <si>
    <t>Tržby z predaja služieb</t>
  </si>
  <si>
    <t>Čistý obrat spolu</t>
  </si>
  <si>
    <t>Tržby z predaja vlastných výrobkov</t>
  </si>
  <si>
    <t>Náklady na poskytnuté služby, z toho:</t>
  </si>
  <si>
    <t>Náklady voči audítorovi, audítorskej spoločnosti, z toho:</t>
  </si>
  <si>
    <t xml:space="preserve">Náklady na overenie individuálnej účtovnej závierky </t>
  </si>
  <si>
    <t>Ostatné významné položky nákladov za poskytnuté služby, z toho:</t>
  </si>
  <si>
    <t>Náklady na opravy a údržbu</t>
  </si>
  <si>
    <t>Cestovné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</si>
  <si>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</si>
  <si>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</si>
  <si>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</si>
  <si>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</si>
  <si>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</si>
  <si>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 na reprezentáciu</t>
  </si>
  <si>
    <t xml:space="preserve">Ostatné </t>
  </si>
  <si>
    <t>Pokuty a penále</t>
  </si>
  <si>
    <t>Ostatné náklady na hospodársku činnosť</t>
  </si>
  <si>
    <t>Nákladové úroky bankové úvery</t>
  </si>
  <si>
    <t>Nákladové úroky splátkový predaj a finančný leasing</t>
  </si>
  <si>
    <t>Náklady na odpis a postúpenie pohľadávok</t>
  </si>
  <si>
    <t>Osobné náklady, z toho:</t>
  </si>
  <si>
    <t>Mzdy</t>
  </si>
  <si>
    <t>Príjmy spoločníka</t>
  </si>
  <si>
    <t>Sociálne a zdravotné poistenie</t>
  </si>
  <si>
    <t>Zákonné sociálne náklady</t>
  </si>
  <si>
    <t>Rezervy</t>
  </si>
  <si>
    <t>Zásoby</t>
  </si>
  <si>
    <t>Dlhodobý majetok</t>
  </si>
  <si>
    <t>Daňová strata umoriteľná</t>
  </si>
  <si>
    <t>Ostatné - neuhradené náklady</t>
  </si>
  <si>
    <t>Záväzky</t>
  </si>
  <si>
    <t>Základ dane</t>
  </si>
  <si>
    <t>Daň</t>
  </si>
  <si>
    <t>Daň v %</t>
  </si>
  <si>
    <t>Výsledok hospodárenia pred zdanením, z toho:</t>
  </si>
  <si>
    <t xml:space="preserve">teoretická daň                  </t>
  </si>
  <si>
    <t>Daňovo neuznané náklady</t>
  </si>
  <si>
    <t>Výnosy nepodliehajúce dani</t>
  </si>
  <si>
    <t>Vplyv nevykázanej daňovej pohľadávky</t>
  </si>
  <si>
    <t>Celková vykázaná daň</t>
  </si>
  <si>
    <t>Splatná daň z príjmov</t>
  </si>
  <si>
    <t>Odložená daň z príjmov</t>
  </si>
  <si>
    <t>Celková vykázaná daň z príjmov</t>
  </si>
  <si>
    <t>Spriaznená osoba</t>
  </si>
  <si>
    <t>Hodnota obchodu 2017</t>
  </si>
  <si>
    <t>Hodnota obchodu 2016</t>
  </si>
  <si>
    <t>Nákup majetku</t>
  </si>
  <si>
    <t>Subjekt, ktorý v účtovnej jednotke vykonáva rozhodujúci vplyv</t>
  </si>
  <si>
    <t>Predaj majetku</t>
  </si>
  <si>
    <t>Nákup zásob</t>
  </si>
  <si>
    <t>Predaj zásob</t>
  </si>
  <si>
    <t>Nákup služieb</t>
  </si>
  <si>
    <t>Predaj služieb</t>
  </si>
  <si>
    <t>Záväzky z obchodného styku</t>
  </si>
  <si>
    <t xml:space="preserve">Charakteristika transakcie </t>
  </si>
  <si>
    <t>Dcérska účtovná jednotka</t>
  </si>
  <si>
    <t>Stav k 31.12. 2017</t>
  </si>
  <si>
    <t>Stav k 31.12. 2016</t>
  </si>
  <si>
    <t>Pohľadávky  z obchodného styku</t>
  </si>
  <si>
    <t>Ostatné pohľadávky</t>
  </si>
  <si>
    <t>Záväzky voči spoločníkom</t>
  </si>
  <si>
    <t>;</t>
  </si>
  <si>
    <t>Názov položky</t>
  </si>
  <si>
    <t>Prehľad o pohybe dlhodobého nehmotného majetku - bežné obdobie 2021</t>
  </si>
  <si>
    <t>Prehľad o pohybe dlhodobého nehmotného majetku - bezprostredne predchádzajúce obdobie 2020</t>
  </si>
  <si>
    <t>Prehľad o pohybe dlhodobého hmotného majetku - bezprostredne predchádzajúce obdobie 2020</t>
  </si>
  <si>
    <t>Prehľad o pohybe dlhodobého hmotného majetku - bežné obdobie 2021</t>
  </si>
  <si>
    <t>Dlhodobý hmotný majetok, na ktorý je zriadené záložné právo</t>
  </si>
  <si>
    <t>Dlhodobý hmotný majetok, pri ktorom má účtovná jednotka obmedzené právo s ním nakladať</t>
  </si>
  <si>
    <t>Prehľad o pohybe dlhodobého finančného majetku - bežné obdobie 2021</t>
  </si>
  <si>
    <t>Prehľad o pohybe dlhodobého finančného majetku - bezprostredne predchádzajúce obdobie 2020</t>
  </si>
  <si>
    <t>Zvýšenie/zníženie hodnoty (+/-)</t>
  </si>
  <si>
    <t>Vplyv ocenenia na výsledok hospodárenia bežného účtovného obdobia</t>
  </si>
  <si>
    <t>Vplyv ocenenia na vlastné imanie</t>
  </si>
  <si>
    <t>a</t>
  </si>
  <si>
    <t>b</t>
  </si>
  <si>
    <t>c</t>
  </si>
  <si>
    <t>d</t>
  </si>
  <si>
    <t>Dlhové cenné papiere držané do splatnosti</t>
  </si>
  <si>
    <t>Zvýšenie hodnoty</t>
  </si>
  <si>
    <t>Zníženie hodnoty</t>
  </si>
  <si>
    <t>e</t>
  </si>
  <si>
    <t>f</t>
  </si>
  <si>
    <t>Do splatnosti viac ako päť rokov</t>
  </si>
  <si>
    <t>Do splatnosti viac ako tri roky a najviac päť rokov vrátane</t>
  </si>
  <si>
    <t>Do splatnosti viac ako jeden rok a najviac tri roky vrátane</t>
  </si>
  <si>
    <t>Do splatnosti do jedného roka vrátane</t>
  </si>
  <si>
    <t>Dlhové cenné papiere držané do splatnosti spolu</t>
  </si>
  <si>
    <t>Stav k 1.1.2021</t>
  </si>
  <si>
    <t>Stav k 31.12.2021</t>
  </si>
  <si>
    <t>Precenenie</t>
  </si>
  <si>
    <t>Bežné účtovné obdobie (rok 2021)</t>
  </si>
  <si>
    <t>Pohľadávky z obchodného styku</t>
  </si>
  <si>
    <t>Stav opravnej položky k 31.12.2020</t>
  </si>
  <si>
    <t>Stav opravnej položky k 31.12.2021</t>
  </si>
  <si>
    <t>Zúčtovanie opravnej položky  z dôvodu zániku opodstatnenosti</t>
  </si>
  <si>
    <t>Pohľadávky k 31.12.2021</t>
  </si>
  <si>
    <t>Pohľadávky z obchodného styku voči prepojeným ÚJ</t>
  </si>
  <si>
    <t>Ostatné pohľadávky voči prepojeným ÚJ</t>
  </si>
  <si>
    <t>Pohľadávky k 31.12.2020</t>
  </si>
  <si>
    <t xml:space="preserve">Pohľadávky z obchodného styku </t>
  </si>
  <si>
    <t>Krátkodobý finančný majetok</t>
  </si>
  <si>
    <t>Majetkové cenné papiere na obchodovanie</t>
  </si>
  <si>
    <t>Dlhové cenné papiere na obchodovanie</t>
  </si>
  <si>
    <t>Emisné kvóty</t>
  </si>
  <si>
    <t>Dlhové cenné papiere so splatnosťou do jedného roka držané do splatnosti</t>
  </si>
  <si>
    <t>Ostatné realizovateľné cenné papiere</t>
  </si>
  <si>
    <t>Obstarávanie krátkodobého finančného majetku</t>
  </si>
  <si>
    <t>Krátkodobý finančný majetok spolu</t>
  </si>
  <si>
    <t>Stav  k 1.1.2021</t>
  </si>
  <si>
    <t>Stav  k 31.12.2021</t>
  </si>
  <si>
    <t>Pokladnica</t>
  </si>
  <si>
    <t>Ceniny</t>
  </si>
  <si>
    <t>Príjmy budúcich období krátkoodobé</t>
  </si>
  <si>
    <t>poistné plnenie</t>
  </si>
  <si>
    <t>k 31. 12. 2020</t>
  </si>
  <si>
    <t>k 31. 12. 2021</t>
  </si>
  <si>
    <t>Dlhodobé rezervy, z toho:</t>
  </si>
  <si>
    <t>Rezervy na audit účtovnej závierky</t>
  </si>
  <si>
    <t>rezerva na odchodné</t>
  </si>
  <si>
    <t>k 31. 12. 2019</t>
  </si>
  <si>
    <t>Bežné účtovné obdobie (rok 2020)</t>
  </si>
  <si>
    <t xml:space="preserve">Emisné kvóty </t>
  </si>
  <si>
    <t xml:space="preserve"> 31. 12. 2021</t>
  </si>
  <si>
    <t xml:space="preserve"> 31. 12. 2020</t>
  </si>
  <si>
    <t>dotácie na dlhodobý majetok</t>
  </si>
  <si>
    <t>Tržby za mäsokostnu mučku</t>
  </si>
  <si>
    <t>Tržby za tuky</t>
  </si>
  <si>
    <t>Zmena stavu vnútroorganizačných zásob</t>
  </si>
  <si>
    <t>Konečný zostatok</t>
  </si>
  <si>
    <t>Začiatočný stav</t>
  </si>
  <si>
    <t>Nedokončená výroba a polotovary vlastnej výroby</t>
  </si>
  <si>
    <t>Výrobky</t>
  </si>
  <si>
    <t>Zvieratá</t>
  </si>
  <si>
    <t>Manká a škody</t>
  </si>
  <si>
    <t>Reprezentačné</t>
  </si>
  <si>
    <t>Dary</t>
  </si>
  <si>
    <t>Iné</t>
  </si>
  <si>
    <t>Zmena stavu vnútroorganizačných zásob vo výkaze ziskov a strát</t>
  </si>
  <si>
    <t>poistne udalosti</t>
  </si>
  <si>
    <t>štátne dotácie na dlhoodbý majetok</t>
  </si>
  <si>
    <t>refakturácie</t>
  </si>
  <si>
    <t xml:space="preserve">    výnosy z krátkodbého finančného majetku - zmenečný úrok</t>
  </si>
  <si>
    <t xml:space="preserve">     tržby z redemácie podielových listov</t>
  </si>
  <si>
    <t xml:space="preserve">     tržby z predaja dlhopisu</t>
  </si>
  <si>
    <t xml:space="preserve">    ostatné výnosy z finančného majetku - uroky z dlhopisov</t>
  </si>
  <si>
    <t>Tržby z predaja tovaru</t>
  </si>
  <si>
    <t>Stav k 31.12.2020</t>
  </si>
  <si>
    <t>Casové rozlíšenie štatnej dotácie</t>
  </si>
  <si>
    <t>nižšia sadzba zrážkovej dane</t>
  </si>
  <si>
    <t>1. januára 2020</t>
  </si>
  <si>
    <t>Dividendy</t>
  </si>
  <si>
    <t>31. decembra 2020</t>
  </si>
  <si>
    <t>Štatutárne fondy</t>
  </si>
  <si>
    <t>Oceňovacie rozdiely</t>
  </si>
  <si>
    <t>Zmena reálnej hodnoty dlhodobého finančného majetku</t>
  </si>
  <si>
    <t>Ostatné kapitálové fondy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</si>
  <si>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</si>
  <si>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</si>
  <si>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</si>
  <si>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</si>
  <si>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</si>
  <si>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</si>
  <si>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</si>
  <si>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</si>
  <si>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</si>
  <si>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kupónové dlhopisy</t>
  </si>
  <si>
    <t>dlhopisy</t>
  </si>
  <si>
    <t>diskontovaný dlhopis</t>
  </si>
  <si>
    <t>Vyradenie dlhového cenného papiera z účtovníctva</t>
  </si>
  <si>
    <t>Druh cenného papiera</t>
  </si>
  <si>
    <t xml:space="preserve">  Zvýšenie/zníženie hodnoty (+/-)</t>
  </si>
  <si>
    <t xml:space="preserve">  Prvorné ocenenie k 1.1.2021</t>
  </si>
  <si>
    <t>podielové listy</t>
  </si>
  <si>
    <t>Fondové akcie</t>
  </si>
  <si>
    <t xml:space="preserve">  Prvorné ocenenie k 31.12.2021</t>
  </si>
  <si>
    <t>SPOLU</t>
  </si>
  <si>
    <t xml:space="preserve">  nákup</t>
  </si>
  <si>
    <t xml:space="preserve">  predaj/ redemácia</t>
  </si>
  <si>
    <t>Účtovná hodnota k 1.1. 2021</t>
  </si>
  <si>
    <t>Účtovná hodnota k 31.12. 2021</t>
  </si>
  <si>
    <t>Daňové a právne poradenstvo</t>
  </si>
  <si>
    <t>Prepravné a likvidácia VŽP</t>
  </si>
  <si>
    <t xml:space="preserve">Náklady na nájom </t>
  </si>
  <si>
    <t>Poštovné a telefón</t>
  </si>
  <si>
    <t>Ostatné náklady na hospodársku činnosť, z toho:</t>
  </si>
  <si>
    <t>Poistné</t>
  </si>
  <si>
    <t>Predané cenné papiere a podiely</t>
  </si>
  <si>
    <t>Poplatky banke a Poplatky z cenných papierov</t>
  </si>
  <si>
    <t>Bežné účtovné obdobie -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</si>
</sst>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d/\ m/\ yyyy"/>
    <numFmt numFmtId="166" formatCode="#,##0_ ;\-#,##0\ "/>
    <numFmt numFmtId="167" formatCode="0.00\ %"/>
    <numFmt numFmtId="168" formatCode="_(* #,##0_);_(* \(#,##0\);_(* &quot;-&quot;??_);_(@_)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7.5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b/>
      <i/>
      <sz val="7.5"/>
      <color theme="1"/>
      <name val="Calibri"/>
      <family val="2"/>
      <charset val="238"/>
      <scheme val="minor"/>
    </font>
    <font>
      <i/>
      <sz val="7.5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sz val="7.5"/>
      <color theme="1"/>
      <name val="Arial Narrow"/>
      <family val="2"/>
      <charset val="238"/>
    </font>
    <font>
      <b/>
      <sz val="7.5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8"/>
      <color theme="1"/>
      <name val="Times New Roman"/>
      <family val="2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  <charset val="238"/>
    </font>
    <font>
      <sz val="9"/>
      <color theme="1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i/>
      <sz val="9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i/>
      <sz val="8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0"/>
    <xf numFmtId="0" fontId="32" fillId="0" borderId="0"/>
  </cellStyleXfs>
  <cellXfs count="466">
    <xf numFmtId="0" fontId="0" fillId="0" borderId="0" xfId="0"/>
    <xf numFmtId="0" fontId="0" fillId="0" borderId="0" xfId="0" applyFont="1"/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3" fontId="7" fillId="2" borderId="2" xfId="0" applyNumberFormat="1" applyFont="1" applyFill="1" applyBorder="1" applyAlignment="1">
      <alignment horizontal="center" wrapText="1"/>
    </xf>
    <xf numFmtId="3" fontId="4" fillId="2" borderId="2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9" fillId="0" borderId="0" xfId="0" applyFont="1"/>
    <xf numFmtId="0" fontId="3" fillId="0" borderId="0" xfId="0" applyFont="1"/>
    <xf numFmtId="0" fontId="4" fillId="2" borderId="0" xfId="0" applyFont="1" applyFill="1" applyAlignment="1"/>
    <xf numFmtId="0" fontId="11" fillId="2" borderId="0" xfId="0" applyFont="1" applyFill="1" applyAlignment="1"/>
    <xf numFmtId="0" fontId="11" fillId="0" borderId="0" xfId="0" applyFont="1"/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/>
    <xf numFmtId="14" fontId="13" fillId="2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/>
    <xf numFmtId="14" fontId="13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Border="1" applyAlignment="1">
      <alignment horizontal="center"/>
    </xf>
    <xf numFmtId="0" fontId="15" fillId="2" borderId="2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horizontal="center" wrapText="1"/>
    </xf>
    <xf numFmtId="3" fontId="15" fillId="2" borderId="2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3" fontId="15" fillId="2" borderId="1" xfId="0" applyNumberFormat="1" applyFont="1" applyFill="1" applyBorder="1" applyAlignment="1">
      <alignment horizontal="center"/>
    </xf>
    <xf numFmtId="3" fontId="14" fillId="2" borderId="1" xfId="0" applyNumberFormat="1" applyFont="1" applyFill="1" applyBorder="1" applyAlignment="1">
      <alignment horizontal="center"/>
    </xf>
    <xf numFmtId="0" fontId="15" fillId="0" borderId="0" xfId="0" applyFont="1"/>
    <xf numFmtId="0" fontId="8" fillId="3" borderId="0" xfId="0" applyFont="1" applyFill="1" applyAlignment="1">
      <alignment vertical="top"/>
    </xf>
    <xf numFmtId="0" fontId="15" fillId="2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vertical="top"/>
    </xf>
    <xf numFmtId="0" fontId="15" fillId="3" borderId="0" xfId="0" applyFont="1" applyFill="1" applyBorder="1" applyAlignment="1">
      <alignment horizontal="left" vertical="top"/>
    </xf>
    <xf numFmtId="3" fontId="15" fillId="3" borderId="0" xfId="0" applyNumberFormat="1" applyFont="1" applyFill="1" applyBorder="1" applyAlignment="1">
      <alignment horizontal="right" vertical="top"/>
    </xf>
    <xf numFmtId="0" fontId="15" fillId="3" borderId="0" xfId="0" applyFont="1" applyFill="1" applyBorder="1" applyAlignment="1">
      <alignment horizontal="right" vertical="top"/>
    </xf>
    <xf numFmtId="0" fontId="15" fillId="3" borderId="2" xfId="0" applyFont="1" applyFill="1" applyBorder="1" applyAlignment="1">
      <alignment horizontal="left" vertical="top" wrapText="1"/>
    </xf>
    <xf numFmtId="3" fontId="15" fillId="3" borderId="2" xfId="0" applyNumberFormat="1" applyFont="1" applyFill="1" applyBorder="1" applyAlignment="1">
      <alignment horizontal="right" vertical="top"/>
    </xf>
    <xf numFmtId="0" fontId="15" fillId="3" borderId="2" xfId="0" applyFont="1" applyFill="1" applyBorder="1" applyAlignment="1">
      <alignment horizontal="right" vertical="top"/>
    </xf>
    <xf numFmtId="0" fontId="14" fillId="3" borderId="4" xfId="0" applyFont="1" applyFill="1" applyBorder="1" applyAlignment="1">
      <alignment horizontal="left" vertical="top" wrapText="1"/>
    </xf>
    <xf numFmtId="3" fontId="14" fillId="3" borderId="4" xfId="0" applyNumberFormat="1" applyFont="1" applyFill="1" applyBorder="1" applyAlignment="1">
      <alignment vertical="top"/>
    </xf>
    <xf numFmtId="0" fontId="14" fillId="3" borderId="0" xfId="0" applyFont="1" applyFill="1" applyBorder="1" applyAlignment="1">
      <alignment horizontal="left" vertical="top" wrapText="1"/>
    </xf>
    <xf numFmtId="3" fontId="14" fillId="3" borderId="0" xfId="0" applyNumberFormat="1" applyFont="1" applyFill="1" applyBorder="1" applyAlignment="1">
      <alignment vertical="top"/>
    </xf>
    <xf numFmtId="0" fontId="16" fillId="3" borderId="0" xfId="0" applyFont="1" applyFill="1" applyAlignment="1">
      <alignment vertical="top" wrapText="1"/>
    </xf>
    <xf numFmtId="3" fontId="15" fillId="0" borderId="0" xfId="0" applyNumberFormat="1" applyFont="1" applyFill="1" applyAlignment="1">
      <alignment horizontal="right" vertical="top"/>
    </xf>
    <xf numFmtId="3" fontId="15" fillId="3" borderId="0" xfId="0" applyNumberFormat="1" applyFont="1" applyFill="1" applyAlignment="1">
      <alignment horizontal="right" vertical="top"/>
    </xf>
    <xf numFmtId="3" fontId="15" fillId="2" borderId="0" xfId="0" applyNumberFormat="1" applyFont="1" applyFill="1" applyBorder="1" applyAlignment="1">
      <alignment horizontal="right" vertical="top"/>
    </xf>
    <xf numFmtId="0" fontId="16" fillId="3" borderId="2" xfId="0" applyFont="1" applyFill="1" applyBorder="1" applyAlignment="1">
      <alignment vertical="top" wrapText="1"/>
    </xf>
    <xf numFmtId="3" fontId="15" fillId="2" borderId="2" xfId="0" applyNumberFormat="1" applyFont="1" applyFill="1" applyBorder="1" applyAlignment="1">
      <alignment horizontal="right" vertical="top"/>
    </xf>
    <xf numFmtId="0" fontId="17" fillId="3" borderId="2" xfId="0" applyFont="1" applyFill="1" applyBorder="1" applyAlignment="1">
      <alignment vertical="top" wrapText="1"/>
    </xf>
    <xf numFmtId="3" fontId="14" fillId="3" borderId="2" xfId="0" applyNumberFormat="1" applyFont="1" applyFill="1" applyBorder="1" applyAlignment="1">
      <alignment vertical="top"/>
    </xf>
    <xf numFmtId="0" fontId="15" fillId="3" borderId="0" xfId="0" applyFont="1" applyFill="1" applyAlignment="1">
      <alignment vertical="top"/>
    </xf>
    <xf numFmtId="0" fontId="14" fillId="3" borderId="0" xfId="0" applyFont="1" applyFill="1" applyAlignment="1">
      <alignment horizontal="left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top"/>
    </xf>
    <xf numFmtId="0" fontId="17" fillId="3" borderId="4" xfId="0" applyFont="1" applyFill="1" applyBorder="1" applyAlignment="1">
      <alignment vertical="top" wrapText="1"/>
    </xf>
    <xf numFmtId="49" fontId="15" fillId="2" borderId="0" xfId="0" applyNumberFormat="1" applyFont="1" applyFill="1" applyAlignment="1">
      <alignment horizontal="center" vertical="top" wrapText="1"/>
    </xf>
    <xf numFmtId="14" fontId="15" fillId="2" borderId="0" xfId="0" applyNumberFormat="1" applyFont="1" applyFill="1" applyAlignment="1">
      <alignment horizontal="center" vertical="top" wrapText="1"/>
    </xf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Alignment="1">
      <alignment wrapText="1"/>
    </xf>
    <xf numFmtId="0" fontId="15" fillId="2" borderId="0" xfId="0" applyFont="1" applyFill="1"/>
    <xf numFmtId="3" fontId="15" fillId="2" borderId="0" xfId="0" applyNumberFormat="1" applyFont="1" applyFill="1" applyAlignment="1">
      <alignment horizontal="right"/>
    </xf>
    <xf numFmtId="0" fontId="14" fillId="2" borderId="0" xfId="0" applyFont="1" applyFill="1"/>
    <xf numFmtId="3" fontId="14" fillId="2" borderId="0" xfId="0" applyNumberFormat="1" applyFont="1" applyFill="1" applyBorder="1" applyAlignment="1">
      <alignment horizontal="right"/>
    </xf>
    <xf numFmtId="49" fontId="14" fillId="2" borderId="0" xfId="0" applyNumberFormat="1" applyFont="1" applyFill="1" applyAlignment="1">
      <alignment horizontal="left" vertical="top" wrapText="1"/>
    </xf>
    <xf numFmtId="0" fontId="15" fillId="2" borderId="2" xfId="0" applyFont="1" applyFill="1" applyBorder="1" applyAlignment="1">
      <alignment wrapText="1"/>
    </xf>
    <xf numFmtId="3" fontId="15" fillId="2" borderId="2" xfId="0" applyNumberFormat="1" applyFont="1" applyFill="1" applyBorder="1" applyAlignment="1">
      <alignment horizontal="right"/>
    </xf>
    <xf numFmtId="0" fontId="14" fillId="2" borderId="4" xfId="0" applyFont="1" applyFill="1" applyBorder="1"/>
    <xf numFmtId="3" fontId="14" fillId="2" borderId="4" xfId="0" applyNumberFormat="1" applyFont="1" applyFill="1" applyBorder="1" applyAlignment="1">
      <alignment horizontal="right"/>
    </xf>
    <xf numFmtId="0" fontId="15" fillId="2" borderId="2" xfId="0" applyFont="1" applyFill="1" applyBorder="1"/>
    <xf numFmtId="0" fontId="15" fillId="2" borderId="0" xfId="0" applyFont="1" applyFill="1" applyAlignment="1">
      <alignment horizontal="right"/>
    </xf>
    <xf numFmtId="14" fontId="15" fillId="2" borderId="2" xfId="0" applyNumberFormat="1" applyFont="1" applyFill="1" applyBorder="1" applyAlignment="1">
      <alignment horizontal="center" vertical="top" wrapText="1"/>
    </xf>
    <xf numFmtId="49" fontId="14" fillId="2" borderId="2" xfId="0" applyNumberFormat="1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Alignment="1">
      <alignment horizontal="center" vertical="top"/>
    </xf>
    <xf numFmtId="0" fontId="15" fillId="2" borderId="2" xfId="0" applyFont="1" applyFill="1" applyBorder="1" applyAlignment="1">
      <alignment horizontal="center" vertical="top"/>
    </xf>
    <xf numFmtId="0" fontId="14" fillId="2" borderId="0" xfId="0" applyFont="1" applyFill="1" applyAlignment="1">
      <alignment vertical="top"/>
    </xf>
    <xf numFmtId="3" fontId="14" fillId="2" borderId="0" xfId="0" applyNumberFormat="1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3" fontId="15" fillId="2" borderId="0" xfId="0" applyNumberFormat="1" applyFont="1" applyFill="1" applyAlignment="1">
      <alignment vertical="top"/>
    </xf>
    <xf numFmtId="0" fontId="15" fillId="2" borderId="0" xfId="0" applyFont="1" applyFill="1" applyAlignment="1">
      <alignment vertical="top"/>
    </xf>
    <xf numFmtId="0" fontId="6" fillId="0" borderId="0" xfId="0" applyFont="1"/>
    <xf numFmtId="0" fontId="15" fillId="2" borderId="0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top" wrapText="1"/>
    </xf>
    <xf numFmtId="3" fontId="15" fillId="2" borderId="0" xfId="0" applyNumberFormat="1" applyFont="1" applyFill="1" applyAlignment="1">
      <alignment horizontal="right" vertical="top"/>
    </xf>
    <xf numFmtId="0" fontId="17" fillId="2" borderId="0" xfId="0" applyFont="1" applyFill="1" applyAlignment="1">
      <alignment vertical="top" wrapText="1"/>
    </xf>
    <xf numFmtId="3" fontId="14" fillId="2" borderId="4" xfId="0" applyNumberFormat="1" applyFont="1" applyFill="1" applyBorder="1" applyAlignment="1">
      <alignment horizontal="right" vertical="top"/>
    </xf>
    <xf numFmtId="0" fontId="16" fillId="2" borderId="0" xfId="0" applyFont="1" applyFill="1" applyAlignment="1">
      <alignment vertical="top" wrapText="1"/>
    </xf>
    <xf numFmtId="0" fontId="17" fillId="2" borderId="4" xfId="0" applyFont="1" applyFill="1" applyBorder="1" applyAlignment="1">
      <alignment vertical="top" wrapText="1"/>
    </xf>
    <xf numFmtId="0" fontId="16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top" wrapText="1"/>
    </xf>
    <xf numFmtId="3" fontId="15" fillId="2" borderId="0" xfId="0" applyNumberFormat="1" applyFont="1" applyFill="1" applyAlignment="1">
      <alignment horizontal="center" vertical="top"/>
    </xf>
    <xf numFmtId="0" fontId="14" fillId="2" borderId="0" xfId="0" applyFont="1" applyFill="1" applyBorder="1" applyAlignment="1">
      <alignment vertical="top"/>
    </xf>
    <xf numFmtId="10" fontId="15" fillId="2" borderId="0" xfId="0" applyNumberFormat="1" applyFont="1" applyFill="1" applyAlignment="1">
      <alignment horizontal="center" vertical="top"/>
    </xf>
    <xf numFmtId="0" fontId="15" fillId="2" borderId="4" xfId="0" applyFont="1" applyFill="1" applyBorder="1" applyAlignment="1">
      <alignment vertical="top"/>
    </xf>
    <xf numFmtId="0" fontId="16" fillId="2" borderId="4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vertical="top"/>
    </xf>
    <xf numFmtId="14" fontId="15" fillId="2" borderId="4" xfId="0" applyNumberFormat="1" applyFont="1" applyFill="1" applyBorder="1" applyAlignment="1">
      <alignment horizontal="center" vertical="top"/>
    </xf>
    <xf numFmtId="3" fontId="15" fillId="2" borderId="4" xfId="0" applyNumberFormat="1" applyFont="1" applyFill="1" applyBorder="1" applyAlignment="1">
      <alignment horizontal="right" vertical="top"/>
    </xf>
    <xf numFmtId="0" fontId="17" fillId="2" borderId="4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vertical="top" wrapText="1"/>
    </xf>
    <xf numFmtId="10" fontId="15" fillId="2" borderId="2" xfId="0" applyNumberFormat="1" applyFont="1" applyFill="1" applyBorder="1" applyAlignment="1">
      <alignment horizontal="center" vertical="top"/>
    </xf>
    <xf numFmtId="0" fontId="17" fillId="2" borderId="2" xfId="0" applyFont="1" applyFill="1" applyBorder="1" applyAlignment="1">
      <alignment vertical="top" wrapText="1"/>
    </xf>
    <xf numFmtId="0" fontId="17" fillId="2" borderId="2" xfId="0" applyFont="1" applyFill="1" applyBorder="1" applyAlignment="1">
      <alignment horizontal="center" vertical="top" wrapText="1"/>
    </xf>
    <xf numFmtId="3" fontId="14" fillId="2" borderId="2" xfId="0" applyNumberFormat="1" applyFont="1" applyFill="1" applyBorder="1" applyAlignment="1">
      <alignment horizontal="right" vertical="top"/>
    </xf>
    <xf numFmtId="3" fontId="4" fillId="0" borderId="0" xfId="0" applyNumberFormat="1" applyFont="1"/>
    <xf numFmtId="3" fontId="11" fillId="0" borderId="0" xfId="0" applyNumberFormat="1" applyFont="1"/>
    <xf numFmtId="0" fontId="6" fillId="2" borderId="2" xfId="0" applyFont="1" applyFill="1" applyBorder="1" applyAlignment="1">
      <alignment horizontal="center"/>
    </xf>
    <xf numFmtId="0" fontId="4" fillId="2" borderId="0" xfId="0" applyFont="1" applyFill="1"/>
    <xf numFmtId="3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18" fillId="2" borderId="0" xfId="0" applyFont="1" applyFill="1" applyAlignment="1">
      <alignment vertical="top"/>
    </xf>
    <xf numFmtId="3" fontId="18" fillId="3" borderId="0" xfId="0" applyNumberFormat="1" applyFont="1" applyFill="1" applyAlignment="1">
      <alignment vertical="top"/>
    </xf>
    <xf numFmtId="3" fontId="18" fillId="2" borderId="0" xfId="0" applyNumberFormat="1" applyFont="1" applyFill="1" applyAlignment="1">
      <alignment vertical="top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6" fillId="0" borderId="4" xfId="0" applyFont="1" applyBorder="1"/>
    <xf numFmtId="3" fontId="6" fillId="0" borderId="4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3" fontId="4" fillId="0" borderId="0" xfId="0" applyNumberFormat="1" applyFont="1" applyBorder="1"/>
    <xf numFmtId="9" fontId="6" fillId="0" borderId="0" xfId="3" applyFont="1" applyAlignment="1">
      <alignment horizontal="right"/>
    </xf>
    <xf numFmtId="9" fontId="4" fillId="0" borderId="0" xfId="3" applyFont="1"/>
    <xf numFmtId="0" fontId="4" fillId="2" borderId="0" xfId="0" applyFont="1" applyFill="1" applyBorder="1"/>
    <xf numFmtId="0" fontId="20" fillId="2" borderId="0" xfId="0" applyFont="1" applyFill="1"/>
    <xf numFmtId="0" fontId="20" fillId="0" borderId="0" xfId="0" applyFont="1" applyFill="1" applyBorder="1"/>
    <xf numFmtId="3" fontId="20" fillId="0" borderId="0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center" vertical="center" wrapText="1"/>
    </xf>
    <xf numFmtId="167" fontId="15" fillId="2" borderId="0" xfId="3" applyNumberFormat="1" applyFont="1" applyFill="1" applyAlignment="1">
      <alignment horizontal="right" vertical="top"/>
    </xf>
    <xf numFmtId="167" fontId="15" fillId="2" borderId="0" xfId="3" applyNumberFormat="1" applyFont="1" applyFill="1" applyAlignment="1">
      <alignment horizontal="center" vertical="top"/>
    </xf>
    <xf numFmtId="167" fontId="15" fillId="2" borderId="0" xfId="3" applyNumberFormat="1" applyFont="1" applyFill="1" applyBorder="1" applyAlignment="1">
      <alignment horizontal="right" vertical="top"/>
    </xf>
    <xf numFmtId="167" fontId="15" fillId="2" borderId="2" xfId="3" applyNumberFormat="1" applyFont="1" applyFill="1" applyBorder="1" applyAlignment="1">
      <alignment horizontal="right" vertical="top"/>
    </xf>
    <xf numFmtId="3" fontId="14" fillId="2" borderId="0" xfId="0" applyNumberFormat="1" applyFont="1" applyFill="1" applyAlignment="1">
      <alignment horizontal="right" vertical="top"/>
    </xf>
    <xf numFmtId="167" fontId="14" fillId="2" borderId="0" xfId="3" applyNumberFormat="1" applyFont="1" applyFill="1" applyAlignment="1">
      <alignment horizontal="right" vertical="top"/>
    </xf>
    <xf numFmtId="3" fontId="14" fillId="2" borderId="1" xfId="0" applyNumberFormat="1" applyFont="1" applyFill="1" applyBorder="1" applyAlignment="1">
      <alignment horizontal="right" vertical="top"/>
    </xf>
    <xf numFmtId="167" fontId="14" fillId="2" borderId="1" xfId="3" applyNumberFormat="1" applyFont="1" applyFill="1" applyBorder="1" applyAlignment="1">
      <alignment horizontal="right" vertical="top"/>
    </xf>
    <xf numFmtId="0" fontId="6" fillId="0" borderId="2" xfId="0" applyFont="1" applyBorder="1" applyAlignment="1">
      <alignment horizontal="left" vertical="center" wrapText="1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3" fontId="15" fillId="2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3" fontId="18" fillId="2" borderId="0" xfId="0" applyNumberFormat="1" applyFont="1" applyFill="1" applyAlignment="1">
      <alignment horizontal="center" vertical="center"/>
    </xf>
    <xf numFmtId="0" fontId="19" fillId="0" borderId="0" xfId="0" applyFont="1"/>
    <xf numFmtId="0" fontId="4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top"/>
    </xf>
    <xf numFmtId="0" fontId="23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vertical="center"/>
    </xf>
    <xf numFmtId="0" fontId="23" fillId="2" borderId="4" xfId="0" applyFont="1" applyFill="1" applyBorder="1" applyAlignment="1">
      <alignment horizontal="center" vertical="center" wrapText="1"/>
    </xf>
    <xf numFmtId="0" fontId="24" fillId="2" borderId="0" xfId="0" applyFont="1" applyFill="1" applyAlignment="1"/>
    <xf numFmtId="166" fontId="24" fillId="2" borderId="0" xfId="2" applyNumberFormat="1" applyFont="1" applyFill="1" applyAlignment="1" applyProtection="1">
      <alignment horizontal="right" vertical="center" wrapText="1"/>
      <protection locked="0"/>
    </xf>
    <xf numFmtId="166" fontId="24" fillId="2" borderId="0" xfId="0" applyNumberFormat="1" applyFont="1" applyFill="1" applyAlignment="1">
      <alignment horizontal="right" vertical="center" wrapText="1"/>
    </xf>
    <xf numFmtId="0" fontId="23" fillId="2" borderId="0" xfId="0" applyFont="1" applyFill="1" applyAlignment="1"/>
    <xf numFmtId="166" fontId="23" fillId="2" borderId="0" xfId="2" applyNumberFormat="1" applyFont="1" applyFill="1" applyAlignment="1" applyProtection="1">
      <alignment horizontal="right" vertical="center" wrapText="1"/>
      <protection locked="0"/>
    </xf>
    <xf numFmtId="0" fontId="24" fillId="2" borderId="2" xfId="0" applyFont="1" applyFill="1" applyBorder="1" applyAlignment="1"/>
    <xf numFmtId="166" fontId="24" fillId="2" borderId="2" xfId="2" applyNumberFormat="1" applyFont="1" applyFill="1" applyBorder="1" applyAlignment="1">
      <alignment horizontal="right" vertical="center" wrapText="1"/>
    </xf>
    <xf numFmtId="166" fontId="24" fillId="2" borderId="2" xfId="0" applyNumberFormat="1" applyFont="1" applyFill="1" applyBorder="1" applyAlignment="1">
      <alignment horizontal="right" vertical="center" wrapText="1"/>
    </xf>
    <xf numFmtId="166" fontId="23" fillId="2" borderId="2" xfId="2" applyNumberFormat="1" applyFont="1" applyFill="1" applyBorder="1" applyAlignment="1">
      <alignment horizontal="right" vertical="center" wrapText="1"/>
    </xf>
    <xf numFmtId="166" fontId="24" fillId="2" borderId="0" xfId="2" applyNumberFormat="1" applyFont="1" applyFill="1" applyAlignment="1">
      <alignment horizontal="right" vertical="center" wrapText="1"/>
    </xf>
    <xf numFmtId="166" fontId="23" fillId="2" borderId="0" xfId="2" applyNumberFormat="1" applyFont="1" applyFill="1" applyAlignment="1">
      <alignment horizontal="right" vertical="center" wrapText="1"/>
    </xf>
    <xf numFmtId="0" fontId="25" fillId="2" borderId="0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vertical="center"/>
    </xf>
    <xf numFmtId="0" fontId="25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/>
    <xf numFmtId="0" fontId="26" fillId="2" borderId="0" xfId="0" applyFont="1" applyFill="1" applyAlignment="1"/>
    <xf numFmtId="3" fontId="25" fillId="2" borderId="0" xfId="2" applyNumberFormat="1" applyFont="1" applyFill="1" applyAlignment="1" applyProtection="1">
      <alignment horizontal="right" vertical="center" wrapText="1"/>
      <protection locked="0"/>
    </xf>
    <xf numFmtId="3" fontId="26" fillId="2" borderId="0" xfId="2" applyNumberFormat="1" applyFont="1" applyFill="1" applyAlignment="1" applyProtection="1">
      <alignment horizontal="right" vertical="center" wrapText="1"/>
      <protection locked="0"/>
    </xf>
    <xf numFmtId="3" fontId="26" fillId="2" borderId="0" xfId="0" applyNumberFormat="1" applyFont="1" applyFill="1" applyAlignment="1" applyProtection="1">
      <alignment horizontal="right" vertical="center" wrapText="1"/>
      <protection locked="0"/>
    </xf>
    <xf numFmtId="3" fontId="26" fillId="2" borderId="0" xfId="0" applyNumberFormat="1" applyFont="1" applyFill="1" applyAlignment="1">
      <alignment horizontal="right" vertical="center" wrapText="1"/>
    </xf>
    <xf numFmtId="0" fontId="25" fillId="2" borderId="0" xfId="0" applyFont="1" applyFill="1" applyAlignment="1"/>
    <xf numFmtId="3" fontId="25" fillId="2" borderId="0" xfId="0" applyNumberFormat="1" applyFont="1" applyFill="1" applyAlignment="1" applyProtection="1">
      <alignment horizontal="right" vertical="center" wrapText="1"/>
      <protection locked="0"/>
    </xf>
    <xf numFmtId="0" fontId="26" fillId="2" borderId="2" xfId="0" applyFont="1" applyFill="1" applyBorder="1" applyAlignment="1"/>
    <xf numFmtId="3" fontId="25" fillId="2" borderId="2" xfId="2" applyNumberFormat="1" applyFont="1" applyFill="1" applyBorder="1" applyAlignment="1">
      <alignment horizontal="right" vertical="center" wrapText="1"/>
    </xf>
    <xf numFmtId="3" fontId="26" fillId="2" borderId="2" xfId="2" applyNumberFormat="1" applyFont="1" applyFill="1" applyBorder="1" applyAlignment="1">
      <alignment horizontal="right" vertical="center" wrapText="1"/>
    </xf>
    <xf numFmtId="3" fontId="25" fillId="2" borderId="4" xfId="0" applyNumberFormat="1" applyFont="1" applyFill="1" applyBorder="1" applyAlignment="1">
      <alignment horizontal="center" vertical="center" wrapText="1"/>
    </xf>
    <xf numFmtId="3" fontId="25" fillId="2" borderId="4" xfId="0" applyNumberFormat="1" applyFont="1" applyFill="1" applyBorder="1" applyAlignment="1">
      <alignment vertical="center"/>
    </xf>
    <xf numFmtId="3" fontId="26" fillId="2" borderId="4" xfId="0" applyNumberFormat="1" applyFont="1" applyFill="1" applyBorder="1" applyAlignment="1">
      <alignment horizontal="center" vertical="center" wrapText="1"/>
    </xf>
    <xf numFmtId="3" fontId="26" fillId="2" borderId="4" xfId="0" applyNumberFormat="1" applyFont="1" applyFill="1" applyBorder="1" applyAlignment="1">
      <alignment vertical="center"/>
    </xf>
    <xf numFmtId="3" fontId="26" fillId="2" borderId="0" xfId="2" applyNumberFormat="1" applyFont="1" applyFill="1" applyAlignment="1">
      <alignment horizontal="right" vertical="center" wrapText="1"/>
    </xf>
    <xf numFmtId="3" fontId="26" fillId="2" borderId="2" xfId="0" applyNumberFormat="1" applyFont="1" applyFill="1" applyBorder="1" applyAlignment="1">
      <alignment horizontal="right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/>
    <xf numFmtId="0" fontId="23" fillId="0" borderId="0" xfId="0" applyFont="1"/>
    <xf numFmtId="0" fontId="28" fillId="2" borderId="2" xfId="4" applyFont="1" applyFill="1" applyBorder="1" applyAlignment="1">
      <alignment horizontal="center"/>
    </xf>
    <xf numFmtId="0" fontId="29" fillId="2" borderId="0" xfId="4" applyFont="1" applyFill="1" applyAlignment="1">
      <alignment vertical="top" wrapText="1"/>
    </xf>
    <xf numFmtId="3" fontId="28" fillId="2" borderId="0" xfId="4" applyNumberFormat="1" applyFont="1" applyFill="1" applyAlignment="1">
      <alignment vertical="top"/>
    </xf>
    <xf numFmtId="0" fontId="3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 wrapText="1"/>
    </xf>
    <xf numFmtId="0" fontId="30" fillId="2" borderId="0" xfId="0" applyFont="1" applyFill="1" applyBorder="1" applyAlignment="1">
      <alignment horizontal="center" wrapText="1"/>
    </xf>
    <xf numFmtId="0" fontId="31" fillId="2" borderId="2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wrapText="1"/>
    </xf>
    <xf numFmtId="0" fontId="30" fillId="2" borderId="2" xfId="0" applyFont="1" applyFill="1" applyBorder="1" applyAlignment="1">
      <alignment horizontal="center" wrapText="1"/>
    </xf>
    <xf numFmtId="0" fontId="31" fillId="2" borderId="4" xfId="0" applyFont="1" applyFill="1" applyBorder="1" applyAlignment="1"/>
    <xf numFmtId="0" fontId="31" fillId="2" borderId="4" xfId="0" applyFont="1" applyFill="1" applyBorder="1" applyAlignment="1">
      <alignment horizontal="center" wrapText="1"/>
    </xf>
    <xf numFmtId="0" fontId="30" fillId="2" borderId="0" xfId="0" applyFont="1" applyFill="1" applyAlignment="1"/>
    <xf numFmtId="3" fontId="30" fillId="2" borderId="0" xfId="2" applyNumberFormat="1" applyFont="1" applyFill="1" applyAlignment="1" applyProtection="1">
      <alignment horizontal="right" wrapText="1"/>
      <protection locked="0"/>
    </xf>
    <xf numFmtId="3" fontId="30" fillId="2" borderId="0" xfId="0" applyNumberFormat="1" applyFont="1" applyFill="1" applyAlignment="1" applyProtection="1">
      <alignment horizontal="right" wrapText="1"/>
      <protection locked="0"/>
    </xf>
    <xf numFmtId="3" fontId="30" fillId="2" borderId="0" xfId="0" applyNumberFormat="1" applyFont="1" applyFill="1" applyAlignment="1">
      <alignment horizontal="right" wrapText="1"/>
    </xf>
    <xf numFmtId="0" fontId="31" fillId="2" borderId="0" xfId="0" applyFont="1" applyFill="1" applyAlignment="1"/>
    <xf numFmtId="3" fontId="31" fillId="2" borderId="0" xfId="2" applyNumberFormat="1" applyFont="1" applyFill="1" applyAlignment="1" applyProtection="1">
      <alignment horizontal="right" wrapText="1"/>
      <protection locked="0"/>
    </xf>
    <xf numFmtId="3" fontId="31" fillId="2" borderId="0" xfId="0" applyNumberFormat="1" applyFont="1" applyFill="1" applyAlignment="1" applyProtection="1">
      <alignment horizontal="right" wrapText="1"/>
      <protection locked="0"/>
    </xf>
    <xf numFmtId="0" fontId="30" fillId="2" borderId="2" xfId="0" applyFont="1" applyFill="1" applyBorder="1" applyAlignment="1"/>
    <xf numFmtId="3" fontId="31" fillId="2" borderId="2" xfId="2" applyNumberFormat="1" applyFont="1" applyFill="1" applyBorder="1" applyAlignment="1">
      <alignment horizontal="right" wrapText="1"/>
    </xf>
    <xf numFmtId="3" fontId="31" fillId="2" borderId="4" xfId="0" applyNumberFormat="1" applyFont="1" applyFill="1" applyBorder="1" applyAlignment="1">
      <alignment horizontal="center" wrapText="1"/>
    </xf>
    <xf numFmtId="3" fontId="31" fillId="2" borderId="4" xfId="0" applyNumberFormat="1" applyFont="1" applyFill="1" applyBorder="1" applyAlignment="1"/>
    <xf numFmtId="3" fontId="30" fillId="2" borderId="0" xfId="2" applyNumberFormat="1" applyFont="1" applyFill="1" applyAlignment="1">
      <alignment horizontal="right" wrapText="1"/>
    </xf>
    <xf numFmtId="3" fontId="30" fillId="2" borderId="2" xfId="2" applyNumberFormat="1" applyFont="1" applyFill="1" applyBorder="1" applyAlignment="1">
      <alignment horizontal="right" wrapText="1"/>
    </xf>
    <xf numFmtId="3" fontId="30" fillId="2" borderId="2" xfId="0" applyNumberFormat="1" applyFont="1" applyFill="1" applyBorder="1" applyAlignment="1">
      <alignment horizontal="right" wrapText="1"/>
    </xf>
    <xf numFmtId="3" fontId="33" fillId="2" borderId="0" xfId="0" applyNumberFormat="1" applyFont="1" applyFill="1" applyAlignment="1">
      <alignment horizontal="right"/>
    </xf>
    <xf numFmtId="0" fontId="33" fillId="0" borderId="0" xfId="0" applyFont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center" vertical="center" wrapText="1"/>
    </xf>
    <xf numFmtId="0" fontId="31" fillId="0" borderId="0" xfId="0" applyFont="1"/>
    <xf numFmtId="0" fontId="31" fillId="2" borderId="0" xfId="0" applyFont="1" applyFill="1" applyAlignment="1">
      <alignment wrapText="1"/>
    </xf>
    <xf numFmtId="3" fontId="31" fillId="2" borderId="0" xfId="0" applyNumberFormat="1" applyFont="1" applyFill="1" applyAlignment="1">
      <alignment horizontal="right"/>
    </xf>
    <xf numFmtId="0" fontId="31" fillId="2" borderId="4" xfId="0" applyFont="1" applyFill="1" applyBorder="1" applyAlignment="1">
      <alignment wrapText="1"/>
    </xf>
    <xf numFmtId="3" fontId="30" fillId="2" borderId="4" xfId="0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top"/>
    </xf>
    <xf numFmtId="0" fontId="29" fillId="2" borderId="0" xfId="0" applyFont="1" applyFill="1" applyAlignment="1" applyProtection="1">
      <alignment horizontal="left" wrapText="1"/>
      <protection locked="0"/>
    </xf>
    <xf numFmtId="3" fontId="29" fillId="2" borderId="0" xfId="0" applyNumberFormat="1" applyFont="1" applyFill="1" applyAlignment="1">
      <alignment horizontal="right" wrapText="1"/>
    </xf>
    <xf numFmtId="3" fontId="28" fillId="2" borderId="0" xfId="0" applyNumberFormat="1" applyFont="1" applyFill="1" applyAlignment="1">
      <alignment horizontal="right"/>
    </xf>
    <xf numFmtId="0" fontId="28" fillId="2" borderId="0" xfId="0" applyFont="1" applyFill="1" applyBorder="1" applyAlignment="1">
      <alignment vertical="top"/>
    </xf>
    <xf numFmtId="0" fontId="31" fillId="0" borderId="0" xfId="0" applyFont="1" applyAlignment="1"/>
    <xf numFmtId="0" fontId="31" fillId="2" borderId="0" xfId="0" applyFont="1" applyFill="1" applyAlignment="1">
      <alignment horizontal="center" wrapText="1"/>
    </xf>
    <xf numFmtId="0" fontId="35" fillId="3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vertical="top"/>
    </xf>
    <xf numFmtId="0" fontId="29" fillId="3" borderId="0" xfId="0" applyFont="1" applyFill="1" applyAlignment="1">
      <alignment vertical="center" wrapText="1"/>
    </xf>
    <xf numFmtId="3" fontId="28" fillId="3" borderId="0" xfId="0" applyNumberFormat="1" applyFont="1" applyFill="1" applyAlignment="1">
      <alignment horizontal="right" vertical="center"/>
    </xf>
    <xf numFmtId="3" fontId="28" fillId="3" borderId="0" xfId="0" applyNumberFormat="1" applyFont="1" applyFill="1" applyAlignment="1">
      <alignment vertical="center"/>
    </xf>
    <xf numFmtId="3" fontId="28" fillId="3" borderId="0" xfId="0" applyNumberFormat="1" applyFont="1" applyFill="1" applyBorder="1" applyAlignment="1">
      <alignment horizontal="right" vertical="center"/>
    </xf>
    <xf numFmtId="0" fontId="29" fillId="3" borderId="2" xfId="0" applyFont="1" applyFill="1" applyBorder="1" applyAlignment="1">
      <alignment vertical="center" wrapText="1"/>
    </xf>
    <xf numFmtId="3" fontId="28" fillId="3" borderId="2" xfId="0" applyNumberFormat="1" applyFont="1" applyFill="1" applyBorder="1" applyAlignment="1">
      <alignment horizontal="right" vertical="center"/>
    </xf>
    <xf numFmtId="3" fontId="28" fillId="3" borderId="2" xfId="0" applyNumberFormat="1" applyFont="1" applyFill="1" applyBorder="1" applyAlignment="1">
      <alignment vertical="center"/>
    </xf>
    <xf numFmtId="0" fontId="34" fillId="3" borderId="4" xfId="0" applyFont="1" applyFill="1" applyBorder="1" applyAlignment="1">
      <alignment vertical="center" wrapText="1"/>
    </xf>
    <xf numFmtId="3" fontId="35" fillId="3" borderId="4" xfId="0" applyNumberFormat="1" applyFont="1" applyFill="1" applyBorder="1" applyAlignment="1">
      <alignment vertical="center"/>
    </xf>
    <xf numFmtId="3" fontId="0" fillId="0" borderId="0" xfId="0" applyNumberFormat="1" applyFont="1"/>
    <xf numFmtId="0" fontId="36" fillId="2" borderId="0" xfId="0" applyFont="1" applyFill="1" applyAlignment="1">
      <alignment horizontal="center" vertical="top"/>
    </xf>
    <xf numFmtId="3" fontId="38" fillId="2" borderId="0" xfId="0" applyNumberFormat="1" applyFont="1" applyFill="1" applyAlignment="1">
      <alignment horizontal="right" wrapText="1"/>
    </xf>
    <xf numFmtId="3" fontId="36" fillId="2" borderId="0" xfId="0" applyNumberFormat="1" applyFont="1" applyFill="1" applyAlignment="1">
      <alignment horizontal="right"/>
    </xf>
    <xf numFmtId="3" fontId="36" fillId="2" borderId="0" xfId="0" applyNumberFormat="1" applyFont="1" applyFill="1" applyBorder="1" applyAlignment="1">
      <alignment horizontal="right"/>
    </xf>
    <xf numFmtId="0" fontId="29" fillId="2" borderId="0" xfId="0" applyFont="1" applyFill="1" applyAlignment="1" applyProtection="1">
      <alignment horizontal="left"/>
      <protection locked="0"/>
    </xf>
    <xf numFmtId="3" fontId="28" fillId="2" borderId="0" xfId="0" applyNumberFormat="1" applyFont="1" applyFill="1" applyBorder="1" applyAlignment="1">
      <alignment horizontal="right"/>
    </xf>
    <xf numFmtId="0" fontId="34" fillId="2" borderId="0" xfId="0" applyFont="1" applyFill="1" applyAlignment="1" applyProtection="1">
      <alignment horizontal="left" wrapText="1"/>
      <protection locked="0"/>
    </xf>
    <xf numFmtId="3" fontId="35" fillId="2" borderId="1" xfId="0" applyNumberFormat="1" applyFont="1" applyFill="1" applyBorder="1" applyAlignment="1">
      <alignment horizontal="right"/>
    </xf>
    <xf numFmtId="0" fontId="35" fillId="2" borderId="0" xfId="0" applyFont="1" applyFill="1" applyAlignment="1">
      <alignment horizontal="center" vertical="top"/>
    </xf>
    <xf numFmtId="0" fontId="35" fillId="2" borderId="4" xfId="0" applyFont="1" applyFill="1" applyBorder="1" applyAlignment="1">
      <alignment horizontal="left" vertical="top"/>
    </xf>
    <xf numFmtId="165" fontId="35" fillId="2" borderId="4" xfId="0" applyNumberFormat="1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/>
    </xf>
    <xf numFmtId="165" fontId="35" fillId="2" borderId="4" xfId="0" applyNumberFormat="1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left"/>
    </xf>
    <xf numFmtId="165" fontId="37" fillId="2" borderId="2" xfId="0" applyNumberFormat="1" applyFont="1" applyFill="1" applyBorder="1" applyAlignment="1">
      <alignment horizontal="center"/>
    </xf>
    <xf numFmtId="0" fontId="36" fillId="2" borderId="0" xfId="0" applyFont="1" applyFill="1"/>
    <xf numFmtId="0" fontId="38" fillId="2" borderId="0" xfId="0" applyFont="1" applyFill="1" applyAlignment="1" applyProtection="1">
      <alignment horizontal="left" vertical="top"/>
      <protection locked="0"/>
    </xf>
    <xf numFmtId="3" fontId="36" fillId="2" borderId="0" xfId="0" applyNumberFormat="1" applyFont="1" applyFill="1" applyAlignment="1">
      <alignment horizontal="right" vertical="center"/>
    </xf>
    <xf numFmtId="0" fontId="38" fillId="2" borderId="2" xfId="0" applyFont="1" applyFill="1" applyBorder="1" applyAlignment="1" applyProtection="1">
      <alignment horizontal="left" vertical="top"/>
      <protection locked="0"/>
    </xf>
    <xf numFmtId="3" fontId="38" fillId="2" borderId="2" xfId="0" applyNumberFormat="1" applyFont="1" applyFill="1" applyBorder="1" applyAlignment="1">
      <alignment horizontal="right" wrapText="1"/>
    </xf>
    <xf numFmtId="0" fontId="39" fillId="2" borderId="4" xfId="0" applyFont="1" applyFill="1" applyBorder="1" applyAlignment="1" applyProtection="1">
      <alignment horizontal="left" vertical="top"/>
      <protection locked="0"/>
    </xf>
    <xf numFmtId="3" fontId="37" fillId="2" borderId="4" xfId="0" applyNumberFormat="1" applyFont="1" applyFill="1" applyBorder="1" applyAlignment="1">
      <alignment horizontal="right" vertical="center"/>
    </xf>
    <xf numFmtId="0" fontId="35" fillId="2" borderId="0" xfId="0" applyFont="1" applyFill="1"/>
    <xf numFmtId="0" fontId="37" fillId="2" borderId="0" xfId="0" applyFont="1" applyFill="1" applyBorder="1" applyAlignment="1">
      <alignment horizontal="left"/>
    </xf>
    <xf numFmtId="3" fontId="37" fillId="2" borderId="0" xfId="0" applyNumberFormat="1" applyFont="1" applyFill="1" applyBorder="1" applyAlignment="1">
      <alignment horizontal="right"/>
    </xf>
    <xf numFmtId="0" fontId="36" fillId="2" borderId="0" xfId="0" applyFont="1" applyFill="1" applyBorder="1" applyAlignment="1" applyProtection="1">
      <alignment horizontal="left"/>
      <protection locked="0"/>
    </xf>
    <xf numFmtId="0" fontId="36" fillId="2" borderId="0" xfId="0" applyFont="1" applyFill="1" applyAlignment="1" applyProtection="1">
      <alignment horizontal="left" vertical="top"/>
      <protection locked="0"/>
    </xf>
    <xf numFmtId="0" fontId="37" fillId="2" borderId="0" xfId="0" applyFont="1" applyFill="1"/>
    <xf numFmtId="3" fontId="37" fillId="2" borderId="0" xfId="0" applyNumberFormat="1" applyFont="1" applyFill="1" applyAlignment="1">
      <alignment horizontal="right" vertical="center"/>
    </xf>
    <xf numFmtId="0" fontId="33" fillId="2" borderId="0" xfId="0" applyFont="1" applyFill="1" applyAlignment="1">
      <alignment vertical="top"/>
    </xf>
    <xf numFmtId="0" fontId="36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vertical="top"/>
    </xf>
    <xf numFmtId="0" fontId="37" fillId="2" borderId="0" xfId="0" applyFont="1" applyFill="1" applyAlignment="1">
      <alignment horizontal="left" vertical="top"/>
    </xf>
    <xf numFmtId="0" fontId="38" fillId="2" borderId="0" xfId="0" applyFont="1" applyFill="1" applyAlignment="1">
      <alignment horizontal="left" vertical="top" wrapText="1"/>
    </xf>
    <xf numFmtId="0" fontId="36" fillId="2" borderId="2" xfId="0" applyFont="1" applyFill="1" applyBorder="1" applyAlignment="1">
      <alignment horizontal="center" vertical="top"/>
    </xf>
    <xf numFmtId="3" fontId="37" fillId="2" borderId="0" xfId="0" applyNumberFormat="1" applyFont="1" applyFill="1" applyAlignment="1">
      <alignment vertical="top"/>
    </xf>
    <xf numFmtId="3" fontId="36" fillId="2" borderId="0" xfId="0" applyNumberFormat="1" applyFont="1" applyFill="1" applyAlignment="1">
      <alignment vertical="top"/>
    </xf>
    <xf numFmtId="3" fontId="37" fillId="2" borderId="3" xfId="0" applyNumberFormat="1" applyFont="1" applyFill="1" applyBorder="1" applyAlignment="1">
      <alignment vertical="top"/>
    </xf>
    <xf numFmtId="0" fontId="36" fillId="2" borderId="0" xfId="0" applyFont="1" applyFill="1" applyBorder="1" applyAlignment="1">
      <alignment horizontal="left" vertical="top"/>
    </xf>
    <xf numFmtId="3" fontId="36" fillId="2" borderId="0" xfId="0" applyNumberFormat="1" applyFont="1" applyFill="1" applyBorder="1" applyAlignment="1">
      <alignment vertical="top"/>
    </xf>
    <xf numFmtId="3" fontId="37" fillId="2" borderId="0" xfId="0" applyNumberFormat="1" applyFont="1" applyFill="1" applyBorder="1" applyAlignment="1">
      <alignment vertical="top"/>
    </xf>
    <xf numFmtId="0" fontId="36" fillId="2" borderId="0" xfId="0" applyFont="1" applyFill="1" applyAlignment="1">
      <alignment vertical="top"/>
    </xf>
    <xf numFmtId="0" fontId="36" fillId="2" borderId="0" xfId="0" applyFont="1" applyFill="1" applyBorder="1" applyAlignment="1">
      <alignment horizontal="center" vertical="top"/>
    </xf>
    <xf numFmtId="14" fontId="36" fillId="2" borderId="2" xfId="0" applyNumberFormat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30" fillId="0" borderId="0" xfId="0" applyFont="1"/>
    <xf numFmtId="165" fontId="37" fillId="2" borderId="2" xfId="0" applyNumberFormat="1" applyFont="1" applyFill="1" applyBorder="1" applyAlignment="1">
      <alignment horizontal="center" vertical="top"/>
    </xf>
    <xf numFmtId="0" fontId="36" fillId="2" borderId="0" xfId="0" applyFont="1" applyFill="1" applyAlignment="1">
      <alignment vertical="center"/>
    </xf>
    <xf numFmtId="0" fontId="36" fillId="2" borderId="2" xfId="0" applyFont="1" applyFill="1" applyBorder="1" applyAlignment="1">
      <alignment vertical="center" wrapText="1"/>
    </xf>
    <xf numFmtId="3" fontId="36" fillId="2" borderId="2" xfId="0" applyNumberFormat="1" applyFont="1" applyFill="1" applyBorder="1" applyAlignment="1">
      <alignment horizontal="right" vertical="center"/>
    </xf>
    <xf numFmtId="0" fontId="37" fillId="2" borderId="4" xfId="0" applyFont="1" applyFill="1" applyBorder="1" applyAlignment="1">
      <alignment vertical="center"/>
    </xf>
    <xf numFmtId="0" fontId="36" fillId="2" borderId="0" xfId="0" applyFont="1" applyFill="1" applyAlignment="1">
      <alignment horizontal="right" vertical="center"/>
    </xf>
    <xf numFmtId="0" fontId="36" fillId="2" borderId="0" xfId="0" applyFont="1" applyFill="1" applyAlignment="1">
      <alignment vertical="center" wrapText="1"/>
    </xf>
    <xf numFmtId="0" fontId="36" fillId="2" borderId="2" xfId="0" applyFont="1" applyFill="1" applyBorder="1" applyAlignment="1">
      <alignment vertical="center"/>
    </xf>
    <xf numFmtId="0" fontId="22" fillId="0" borderId="0" xfId="0" applyFont="1"/>
    <xf numFmtId="14" fontId="22" fillId="4" borderId="2" xfId="0" applyNumberFormat="1" applyFont="1" applyFill="1" applyBorder="1" applyAlignment="1">
      <alignment horizontal="center" vertical="center"/>
    </xf>
    <xf numFmtId="0" fontId="33" fillId="4" borderId="0" xfId="0" applyFont="1" applyFill="1" applyAlignment="1">
      <alignment horizontal="justify" vertical="center"/>
    </xf>
    <xf numFmtId="3" fontId="33" fillId="4" borderId="0" xfId="0" applyNumberFormat="1" applyFont="1" applyFill="1" applyAlignment="1">
      <alignment horizontal="right" vertical="center"/>
    </xf>
    <xf numFmtId="0" fontId="33" fillId="4" borderId="2" xfId="0" applyFont="1" applyFill="1" applyBorder="1" applyAlignment="1">
      <alignment horizontal="justify" vertical="center"/>
    </xf>
    <xf numFmtId="3" fontId="33" fillId="4" borderId="2" xfId="0" applyNumberFormat="1" applyFont="1" applyFill="1" applyBorder="1" applyAlignment="1">
      <alignment horizontal="right" vertical="center"/>
    </xf>
    <xf numFmtId="0" fontId="22" fillId="4" borderId="4" xfId="0" applyFont="1" applyFill="1" applyBorder="1" applyAlignment="1">
      <alignment horizontal="justify" vertical="center"/>
    </xf>
    <xf numFmtId="3" fontId="22" fillId="4" borderId="4" xfId="0" applyNumberFormat="1" applyFont="1" applyFill="1" applyBorder="1" applyAlignment="1">
      <alignment horizontal="right" vertical="center"/>
    </xf>
    <xf numFmtId="0" fontId="37" fillId="2" borderId="0" xfId="0" applyFont="1" applyFill="1" applyAlignment="1">
      <alignment horizontal="center" vertical="top"/>
    </xf>
    <xf numFmtId="0" fontId="37" fillId="0" borderId="0" xfId="0" applyFont="1"/>
    <xf numFmtId="0" fontId="36" fillId="0" borderId="0" xfId="0" applyFont="1"/>
    <xf numFmtId="0" fontId="36" fillId="2" borderId="0" xfId="0" applyFont="1" applyFill="1" applyBorder="1" applyAlignment="1">
      <alignment horizontal="center" wrapText="1"/>
    </xf>
    <xf numFmtId="0" fontId="36" fillId="2" borderId="0" xfId="0" applyFont="1" applyFill="1" applyAlignment="1">
      <alignment horizontal="center" wrapText="1"/>
    </xf>
    <xf numFmtId="0" fontId="36" fillId="2" borderId="2" xfId="0" applyFont="1" applyFill="1" applyBorder="1" applyAlignment="1">
      <alignment horizontal="center" vertical="top" wrapText="1"/>
    </xf>
    <xf numFmtId="3" fontId="36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vertical="top"/>
    </xf>
    <xf numFmtId="49" fontId="37" fillId="2" borderId="0" xfId="0" applyNumberFormat="1" applyFont="1" applyFill="1" applyAlignment="1">
      <alignment vertical="top" wrapText="1"/>
    </xf>
    <xf numFmtId="3" fontId="36" fillId="2" borderId="0" xfId="0" applyNumberFormat="1" applyFont="1" applyFill="1" applyAlignment="1">
      <alignment horizontal="right" vertical="top"/>
    </xf>
    <xf numFmtId="49" fontId="37" fillId="2" borderId="2" xfId="0" applyNumberFormat="1" applyFont="1" applyFill="1" applyBorder="1" applyAlignment="1">
      <alignment vertical="top" wrapText="1"/>
    </xf>
    <xf numFmtId="3" fontId="36" fillId="2" borderId="2" xfId="0" applyNumberFormat="1" applyFont="1" applyFill="1" applyBorder="1" applyAlignment="1">
      <alignment horizontal="right" vertical="top"/>
    </xf>
    <xf numFmtId="0" fontId="37" fillId="2" borderId="4" xfId="0" applyFont="1" applyFill="1" applyBorder="1" applyAlignment="1">
      <alignment vertical="top" wrapText="1"/>
    </xf>
    <xf numFmtId="3" fontId="37" fillId="2" borderId="4" xfId="0" applyNumberFormat="1" applyFont="1" applyFill="1" applyBorder="1" applyAlignment="1">
      <alignment horizontal="right" vertical="top"/>
    </xf>
    <xf numFmtId="0" fontId="36" fillId="2" borderId="0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2" xfId="0" applyFont="1" applyFill="1" applyBorder="1" applyAlignment="1">
      <alignment horizontal="center"/>
    </xf>
    <xf numFmtId="0" fontId="39" fillId="2" borderId="0" xfId="0" applyFont="1" applyFill="1" applyAlignment="1">
      <alignment vertical="top" wrapText="1"/>
    </xf>
    <xf numFmtId="0" fontId="38" fillId="2" borderId="0" xfId="0" applyFont="1" applyFill="1" applyAlignment="1">
      <alignment vertical="top" wrapText="1"/>
    </xf>
    <xf numFmtId="0" fontId="40" fillId="2" borderId="0" xfId="0" applyFont="1" applyFill="1" applyAlignment="1">
      <alignment vertical="top" wrapText="1"/>
    </xf>
    <xf numFmtId="3" fontId="41" fillId="2" borderId="0" xfId="0" applyNumberFormat="1" applyFont="1" applyFill="1" applyAlignment="1">
      <alignment horizontal="right" vertical="center"/>
    </xf>
    <xf numFmtId="0" fontId="40" fillId="2" borderId="2" xfId="0" applyFont="1" applyFill="1" applyBorder="1" applyAlignment="1">
      <alignment vertical="top" wrapText="1"/>
    </xf>
    <xf numFmtId="3" fontId="41" fillId="2" borderId="2" xfId="3" applyNumberFormat="1" applyFont="1" applyFill="1" applyBorder="1" applyAlignment="1">
      <alignment horizontal="right" vertical="center"/>
    </xf>
    <xf numFmtId="0" fontId="39" fillId="2" borderId="4" xfId="0" applyFont="1" applyFill="1" applyBorder="1" applyAlignment="1">
      <alignment vertical="top" wrapText="1"/>
    </xf>
    <xf numFmtId="0" fontId="29" fillId="2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center" wrapText="1"/>
    </xf>
    <xf numFmtId="0" fontId="29" fillId="2" borderId="2" xfId="0" applyFont="1" applyFill="1" applyBorder="1" applyAlignment="1">
      <alignment horizontal="center" wrapText="1"/>
    </xf>
    <xf numFmtId="0" fontId="34" fillId="2" borderId="2" xfId="0" applyFont="1" applyFill="1" applyBorder="1" applyAlignment="1">
      <alignment horizontal="center" wrapText="1"/>
    </xf>
    <xf numFmtId="0" fontId="29" fillId="2" borderId="0" xfId="0" applyFont="1" applyFill="1" applyAlignment="1">
      <alignment wrapText="1"/>
    </xf>
    <xf numFmtId="3" fontId="34" fillId="2" borderId="0" xfId="0" applyNumberFormat="1" applyFont="1" applyFill="1" applyAlignment="1">
      <alignment horizontal="right" wrapText="1"/>
    </xf>
    <xf numFmtId="0" fontId="29" fillId="2" borderId="2" xfId="0" applyFont="1" applyFill="1" applyBorder="1" applyAlignment="1">
      <alignment wrapText="1"/>
    </xf>
    <xf numFmtId="3" fontId="29" fillId="2" borderId="2" xfId="0" applyNumberFormat="1" applyFont="1" applyFill="1" applyBorder="1" applyAlignment="1">
      <alignment horizontal="right" wrapText="1"/>
    </xf>
    <xf numFmtId="0" fontId="34" fillId="2" borderId="4" xfId="0" applyFont="1" applyFill="1" applyBorder="1" applyAlignment="1">
      <alignment wrapText="1"/>
    </xf>
    <xf numFmtId="3" fontId="34" fillId="2" borderId="4" xfId="0" applyNumberFormat="1" applyFont="1" applyFill="1" applyBorder="1" applyAlignment="1">
      <alignment horizontal="right" wrapText="1"/>
    </xf>
    <xf numFmtId="0" fontId="28" fillId="2" borderId="0" xfId="0" applyFont="1" applyFill="1"/>
    <xf numFmtId="3" fontId="30" fillId="0" borderId="0" xfId="0" applyNumberFormat="1" applyFont="1"/>
    <xf numFmtId="3" fontId="31" fillId="0" borderId="0" xfId="0" applyNumberFormat="1" applyFont="1"/>
    <xf numFmtId="0" fontId="29" fillId="2" borderId="2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top" wrapText="1"/>
    </xf>
    <xf numFmtId="165" fontId="29" fillId="2" borderId="0" xfId="0" applyNumberFormat="1" applyFont="1" applyFill="1" applyAlignment="1">
      <alignment horizontal="center" vertical="top" wrapText="1"/>
    </xf>
    <xf numFmtId="0" fontId="29" fillId="2" borderId="2" xfId="0" applyFont="1" applyFill="1" applyBorder="1" applyAlignment="1">
      <alignment horizontal="center" vertical="top" wrapText="1"/>
    </xf>
    <xf numFmtId="3" fontId="28" fillId="2" borderId="2" xfId="0" applyNumberFormat="1" applyFont="1" applyFill="1" applyBorder="1" applyAlignment="1">
      <alignment horizontal="right"/>
    </xf>
    <xf numFmtId="0" fontId="34" fillId="2" borderId="0" xfId="0" applyFont="1" applyFill="1" applyAlignment="1">
      <alignment wrapText="1"/>
    </xf>
    <xf numFmtId="0" fontId="35" fillId="2" borderId="0" xfId="0" applyFont="1" applyFill="1" applyAlignment="1"/>
    <xf numFmtId="3" fontId="28" fillId="2" borderId="4" xfId="0" applyNumberFormat="1" applyFont="1" applyFill="1" applyBorder="1" applyAlignment="1">
      <alignment horizontal="right"/>
    </xf>
    <xf numFmtId="3" fontId="35" fillId="2" borderId="4" xfId="0" applyNumberFormat="1" applyFont="1" applyFill="1" applyBorder="1" applyAlignment="1">
      <alignment horizontal="right"/>
    </xf>
    <xf numFmtId="0" fontId="22" fillId="2" borderId="2" xfId="0" applyFont="1" applyFill="1" applyBorder="1" applyAlignment="1">
      <alignment horizontal="left"/>
    </xf>
    <xf numFmtId="0" fontId="22" fillId="2" borderId="2" xfId="0" applyFont="1" applyFill="1" applyBorder="1" applyAlignment="1">
      <alignment horizontal="center" wrapText="1"/>
    </xf>
    <xf numFmtId="0" fontId="33" fillId="2" borderId="0" xfId="0" applyFont="1" applyFill="1"/>
    <xf numFmtId="0" fontId="22" fillId="2" borderId="4" xfId="0" applyFont="1" applyFill="1" applyBorder="1"/>
    <xf numFmtId="0" fontId="22" fillId="2" borderId="4" xfId="0" applyFont="1" applyFill="1" applyBorder="1" applyAlignment="1">
      <alignment horizontal="right"/>
    </xf>
    <xf numFmtId="3" fontId="22" fillId="2" borderId="4" xfId="0" applyNumberFormat="1" applyFont="1" applyFill="1" applyBorder="1" applyAlignment="1">
      <alignment horizontal="right"/>
    </xf>
    <xf numFmtId="0" fontId="33" fillId="2" borderId="0" xfId="0" applyFont="1" applyFill="1" applyAlignment="1">
      <alignment horizontal="left" indent="1"/>
    </xf>
    <xf numFmtId="3" fontId="33" fillId="2" borderId="0" xfId="0" applyNumberFormat="1" applyFont="1" applyFill="1" applyAlignment="1">
      <alignment horizontal="right" wrapText="1"/>
    </xf>
    <xf numFmtId="0" fontId="33" fillId="2" borderId="0" xfId="0" applyFont="1" applyFill="1" applyAlignment="1">
      <alignment horizontal="right" wrapText="1"/>
    </xf>
    <xf numFmtId="0" fontId="22" fillId="2" borderId="2" xfId="0" applyFont="1" applyFill="1" applyBorder="1"/>
    <xf numFmtId="3" fontId="22" fillId="2" borderId="2" xfId="0" applyNumberFormat="1" applyFont="1" applyFill="1" applyBorder="1" applyAlignment="1">
      <alignment horizontal="right"/>
    </xf>
    <xf numFmtId="0" fontId="36" fillId="2" borderId="0" xfId="0" applyFont="1" applyFill="1" applyBorder="1" applyAlignment="1" applyProtection="1">
      <alignment wrapText="1"/>
    </xf>
    <xf numFmtId="3" fontId="33" fillId="2" borderId="0" xfId="0" applyNumberFormat="1" applyFont="1" applyFill="1" applyBorder="1" applyAlignment="1">
      <alignment horizontal="right"/>
    </xf>
    <xf numFmtId="3" fontId="22" fillId="2" borderId="0" xfId="0" applyNumberFormat="1" applyFont="1" applyFill="1" applyBorder="1" applyAlignment="1">
      <alignment horizontal="right"/>
    </xf>
    <xf numFmtId="0" fontId="33" fillId="2" borderId="0" xfId="0" applyFont="1" applyFill="1" applyBorder="1"/>
    <xf numFmtId="0" fontId="42" fillId="2" borderId="0" xfId="0" applyFont="1" applyFill="1" applyAlignment="1">
      <alignment horizontal="left" indent="1"/>
    </xf>
    <xf numFmtId="3" fontId="42" fillId="2" borderId="0" xfId="0" applyNumberFormat="1" applyFont="1" applyFill="1" applyAlignment="1">
      <alignment horizontal="right"/>
    </xf>
    <xf numFmtId="0" fontId="36" fillId="2" borderId="2" xfId="0" applyFont="1" applyFill="1" applyBorder="1" applyAlignment="1" applyProtection="1">
      <alignment wrapText="1"/>
    </xf>
    <xf numFmtId="0" fontId="37" fillId="2" borderId="2" xfId="0" applyFont="1" applyFill="1" applyBorder="1" applyAlignment="1" applyProtection="1">
      <alignment horizontal="center"/>
    </xf>
    <xf numFmtId="3" fontId="36" fillId="2" borderId="0" xfId="0" applyNumberFormat="1" applyFont="1" applyFill="1" applyBorder="1" applyAlignment="1" applyProtection="1">
      <alignment vertical="center"/>
      <protection locked="0"/>
    </xf>
    <xf numFmtId="0" fontId="37" fillId="2" borderId="4" xfId="0" applyFont="1" applyFill="1" applyBorder="1" applyAlignment="1" applyProtection="1">
      <alignment wrapText="1"/>
    </xf>
    <xf numFmtId="3" fontId="37" fillId="2" borderId="4" xfId="0" applyNumberFormat="1" applyFont="1" applyFill="1" applyBorder="1" applyProtection="1"/>
    <xf numFmtId="0" fontId="43" fillId="2" borderId="0" xfId="0" applyFont="1" applyFill="1" applyBorder="1" applyAlignment="1">
      <alignment horizontal="justify" wrapText="1"/>
    </xf>
    <xf numFmtId="0" fontId="30" fillId="2" borderId="0" xfId="0" applyFont="1" applyFill="1" applyBorder="1" applyAlignment="1">
      <alignment horizontal="center" vertical="center" wrapText="1"/>
    </xf>
    <xf numFmtId="0" fontId="31" fillId="2" borderId="0" xfId="0" applyFont="1" applyFill="1"/>
    <xf numFmtId="0" fontId="43" fillId="2" borderId="2" xfId="0" applyFont="1" applyFill="1" applyBorder="1" applyAlignment="1">
      <alignment horizontal="justify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justify" wrapText="1"/>
    </xf>
    <xf numFmtId="3" fontId="30" fillId="2" borderId="4" xfId="0" applyNumberFormat="1" applyFont="1" applyFill="1" applyBorder="1" applyAlignment="1">
      <alignment horizontal="right" wrapText="1"/>
    </xf>
    <xf numFmtId="3" fontId="30" fillId="2" borderId="4" xfId="0" applyNumberFormat="1" applyFont="1" applyFill="1" applyBorder="1" applyAlignment="1">
      <alignment wrapText="1"/>
    </xf>
    <xf numFmtId="0" fontId="31" fillId="2" borderId="0" xfId="0" applyFont="1" applyFill="1" applyAlignment="1">
      <alignment horizontal="left" wrapText="1" indent="1"/>
    </xf>
    <xf numFmtId="3" fontId="31" fillId="2" borderId="0" xfId="0" applyNumberFormat="1" applyFont="1" applyFill="1" applyAlignment="1">
      <alignment wrapText="1"/>
    </xf>
    <xf numFmtId="0" fontId="30" fillId="2" borderId="0" xfId="0" applyFont="1" applyFill="1" applyAlignment="1">
      <alignment horizontal="left" wrapText="1" indent="1"/>
    </xf>
    <xf numFmtId="3" fontId="30" fillId="2" borderId="0" xfId="0" applyNumberFormat="1" applyFont="1" applyFill="1" applyAlignment="1">
      <alignment wrapText="1"/>
    </xf>
    <xf numFmtId="0" fontId="31" fillId="2" borderId="2" xfId="0" applyFont="1" applyFill="1" applyBorder="1" applyAlignment="1">
      <alignment horizontal="left" wrapText="1" indent="1"/>
    </xf>
    <xf numFmtId="3" fontId="31" fillId="2" borderId="2" xfId="0" applyNumberFormat="1" applyFont="1" applyFill="1" applyBorder="1" applyAlignment="1">
      <alignment horizontal="right" wrapText="1"/>
    </xf>
    <xf numFmtId="3" fontId="31" fillId="2" borderId="2" xfId="0" applyNumberFormat="1" applyFont="1" applyFill="1" applyBorder="1" applyAlignment="1">
      <alignment wrapText="1"/>
    </xf>
    <xf numFmtId="3" fontId="31" fillId="2" borderId="0" xfId="0" applyNumberFormat="1" applyFont="1" applyFill="1"/>
    <xf numFmtId="3" fontId="31" fillId="2" borderId="0" xfId="0" applyNumberFormat="1" applyFont="1" applyFill="1" applyBorder="1" applyAlignment="1">
      <alignment horizontal="right" wrapText="1"/>
    </xf>
    <xf numFmtId="3" fontId="30" fillId="2" borderId="0" xfId="0" applyNumberFormat="1" applyFont="1" applyFill="1" applyBorder="1" applyAlignment="1">
      <alignment horizontal="right" wrapText="1"/>
    </xf>
    <xf numFmtId="0" fontId="31" fillId="2" borderId="0" xfId="0" applyFont="1" applyFill="1" applyBorder="1" applyAlignment="1">
      <alignment horizontal="left" wrapText="1" indent="1"/>
    </xf>
    <xf numFmtId="3" fontId="31" fillId="2" borderId="0" xfId="0" applyNumberFormat="1" applyFont="1" applyFill="1" applyBorder="1" applyAlignment="1">
      <alignment wrapText="1"/>
    </xf>
    <xf numFmtId="0" fontId="31" fillId="2" borderId="0" xfId="0" applyFont="1" applyFill="1" applyAlignment="1">
      <alignment horizontal="left" indent="1"/>
    </xf>
    <xf numFmtId="0" fontId="36" fillId="2" borderId="2" xfId="0" applyFont="1" applyFill="1" applyBorder="1" applyAlignment="1">
      <alignment horizontal="center" wrapText="1"/>
    </xf>
    <xf numFmtId="0" fontId="36" fillId="2" borderId="0" xfId="0" applyFont="1" applyFill="1" applyAlignment="1">
      <alignment wrapText="1"/>
    </xf>
    <xf numFmtId="0" fontId="36" fillId="2" borderId="0" xfId="0" applyFont="1" applyFill="1" applyAlignment="1">
      <alignment horizontal="right"/>
    </xf>
    <xf numFmtId="0" fontId="36" fillId="2" borderId="0" xfId="0" applyFont="1" applyFill="1" applyAlignment="1">
      <alignment horizontal="left"/>
    </xf>
    <xf numFmtId="0" fontId="36" fillId="2" borderId="0" xfId="0" applyFont="1" applyFill="1" applyAlignment="1">
      <alignment horizontal="center"/>
    </xf>
    <xf numFmtId="3" fontId="36" fillId="2" borderId="0" xfId="0" applyNumberFormat="1" applyFont="1" applyFill="1" applyAlignment="1">
      <alignment vertical="center"/>
    </xf>
    <xf numFmtId="3" fontId="37" fillId="2" borderId="4" xfId="0" applyNumberFormat="1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30" fillId="2" borderId="4" xfId="0" applyFont="1" applyFill="1" applyBorder="1" applyAlignment="1">
      <alignment wrapText="1"/>
    </xf>
    <xf numFmtId="0" fontId="33" fillId="2" borderId="2" xfId="0" applyFont="1" applyFill="1" applyBorder="1"/>
    <xf numFmtId="0" fontId="22" fillId="2" borderId="2" xfId="0" applyFont="1" applyFill="1" applyBorder="1" applyAlignment="1">
      <alignment vertical="center"/>
    </xf>
    <xf numFmtId="168" fontId="37" fillId="2" borderId="2" xfId="5" applyNumberFormat="1" applyFont="1" applyFill="1" applyBorder="1" applyAlignment="1" applyProtection="1">
      <alignment vertical="center"/>
    </xf>
    <xf numFmtId="0" fontId="33" fillId="2" borderId="0" xfId="0" applyFont="1" applyFill="1" applyAlignment="1">
      <alignment horizontal="left" vertical="center"/>
    </xf>
    <xf numFmtId="168" fontId="36" fillId="2" borderId="0" xfId="5" applyNumberFormat="1" applyFont="1" applyFill="1" applyBorder="1" applyAlignment="1" applyProtection="1">
      <alignment vertical="center"/>
    </xf>
    <xf numFmtId="0" fontId="22" fillId="2" borderId="4" xfId="0" applyFont="1" applyFill="1" applyBorder="1" applyAlignment="1">
      <alignment vertical="center"/>
    </xf>
    <xf numFmtId="168" fontId="37" fillId="2" borderId="4" xfId="5" applyNumberFormat="1" applyFont="1" applyFill="1" applyBorder="1" applyAlignment="1" applyProtection="1">
      <alignment vertical="center"/>
    </xf>
    <xf numFmtId="168" fontId="36" fillId="2" borderId="4" xfId="5" applyNumberFormat="1" applyFont="1" applyFill="1" applyBorder="1" applyAlignment="1" applyProtection="1">
      <alignment vertical="center"/>
    </xf>
    <xf numFmtId="0" fontId="33" fillId="2" borderId="0" xfId="0" applyFont="1" applyFill="1" applyAlignment="1">
      <alignment vertical="center"/>
    </xf>
    <xf numFmtId="0" fontId="33" fillId="2" borderId="2" xfId="0" applyFont="1" applyFill="1" applyBorder="1" applyAlignment="1">
      <alignment vertical="center"/>
    </xf>
    <xf numFmtId="168" fontId="36" fillId="2" borderId="2" xfId="5" applyNumberFormat="1" applyFont="1" applyFill="1" applyBorder="1" applyAlignment="1" applyProtection="1">
      <alignment vertical="center"/>
    </xf>
    <xf numFmtId="0" fontId="42" fillId="2" borderId="0" xfId="0" applyFont="1" applyFill="1" applyAlignment="1">
      <alignment vertical="center" wrapText="1"/>
    </xf>
    <xf numFmtId="0" fontId="33" fillId="2" borderId="4" xfId="0" applyFont="1" applyFill="1" applyBorder="1" applyAlignment="1">
      <alignment vertical="center" wrapText="1"/>
    </xf>
    <xf numFmtId="0" fontId="18" fillId="2" borderId="0" xfId="0" applyFont="1" applyFill="1" applyAlignment="1">
      <alignment horizontal="left" vertical="top"/>
    </xf>
    <xf numFmtId="3" fontId="18" fillId="2" borderId="0" xfId="0" applyNumberFormat="1" applyFont="1" applyFill="1" applyAlignment="1">
      <alignment horizontal="right" vertical="top"/>
    </xf>
    <xf numFmtId="0" fontId="44" fillId="2" borderId="0" xfId="0" applyFont="1" applyFill="1" applyAlignment="1">
      <alignment vertical="top" wrapText="1"/>
    </xf>
    <xf numFmtId="3" fontId="15" fillId="3" borderId="0" xfId="0" applyNumberFormat="1" applyFont="1" applyFill="1" applyAlignment="1">
      <alignment vertical="top"/>
    </xf>
    <xf numFmtId="0" fontId="15" fillId="2" borderId="0" xfId="0" applyFont="1" applyFill="1" applyAlignment="1">
      <alignment horizontal="left" vertical="top"/>
    </xf>
    <xf numFmtId="0" fontId="2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14" fillId="2" borderId="3" xfId="0" applyFont="1" applyFill="1" applyBorder="1" applyAlignment="1">
      <alignment horizontal="left" wrapText="1"/>
    </xf>
    <xf numFmtId="165" fontId="35" fillId="2" borderId="0" xfId="0" applyNumberFormat="1" applyFont="1" applyFill="1" applyBorder="1" applyAlignment="1">
      <alignment horizontal="center" vertical="top"/>
    </xf>
    <xf numFmtId="0" fontId="35" fillId="3" borderId="0" xfId="0" applyFont="1" applyFill="1" applyBorder="1" applyAlignment="1">
      <alignment horizontal="center" vertical="top"/>
    </xf>
    <xf numFmtId="0" fontId="37" fillId="2" borderId="0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top"/>
    </xf>
    <xf numFmtId="0" fontId="36" fillId="2" borderId="3" xfId="0" applyFont="1" applyFill="1" applyBorder="1" applyAlignment="1">
      <alignment horizontal="center" vertical="top"/>
    </xf>
    <xf numFmtId="0" fontId="29" fillId="2" borderId="0" xfId="0" applyFont="1" applyFill="1" applyBorder="1" applyAlignment="1">
      <alignment horizontal="center" wrapText="1"/>
    </xf>
    <xf numFmtId="0" fontId="29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top" wrapText="1"/>
    </xf>
    <xf numFmtId="0" fontId="29" fillId="2" borderId="2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left" vertical="center"/>
    </xf>
    <xf numFmtId="0" fontId="14" fillId="2" borderId="2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wrapText="1"/>
    </xf>
  </cellXfs>
  <cellStyles count="6">
    <cellStyle name="Čiarka" xfId="2" builtinId="3"/>
    <cellStyle name="Normálna" xfId="0" builtinId="0"/>
    <cellStyle name="Normálna 2" xfId="4" xr:uid="{8174578E-EF57-4FD7-B825-A4AE54912CE7}"/>
    <cellStyle name="normální 2" xfId="5" xr:uid="{839D0A39-5E53-4645-8E1D-264047EC04F7}"/>
    <cellStyle name="Normalny_sprawozdanie finansowe MSR wzór" xfId="1" xr:uid="{00000000-0005-0000-0000-000002000000}"/>
    <cellStyle name="Percentá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workbookViewId="0">
      <selection activeCell="A7" sqref="A7:B9"/>
    </sheetView>
  </sheetViews>
  <sheetFormatPr defaultRowHeight="15" x14ac:dyDescent="0.25"/>
  <cols>
    <col min="1" max="1" width="53.5703125" bestFit="1" customWidth="1"/>
    <col min="2" max="2" width="8" customWidth="1"/>
    <col min="3" max="3" width="8.5703125" customWidth="1"/>
  </cols>
  <sheetData>
    <row r="1" spans="1:4" x14ac:dyDescent="0.25">
      <c r="A1" s="144" t="s">
        <v>240</v>
      </c>
      <c r="B1" s="165">
        <v>2017</v>
      </c>
      <c r="C1" s="166">
        <v>2016</v>
      </c>
      <c r="D1" s="3"/>
    </row>
    <row r="2" spans="1:4" x14ac:dyDescent="0.25">
      <c r="A2" s="158" t="s">
        <v>47</v>
      </c>
      <c r="B2" s="87"/>
      <c r="C2" s="87"/>
      <c r="D2" s="3"/>
    </row>
    <row r="3" spans="1:4" ht="15" customHeight="1" x14ac:dyDescent="0.25">
      <c r="A3" s="159" t="s">
        <v>48</v>
      </c>
      <c r="B3" s="160"/>
      <c r="C3" s="160"/>
      <c r="D3" s="3"/>
    </row>
    <row r="4" spans="1:4" s="12" customFormat="1" x14ac:dyDescent="0.25">
      <c r="A4" s="161" t="s">
        <v>49</v>
      </c>
      <c r="B4" s="162"/>
      <c r="C4" s="162"/>
      <c r="D4" s="163"/>
    </row>
    <row r="5" spans="1:4" x14ac:dyDescent="0.25">
      <c r="A5" s="3"/>
      <c r="B5" s="164"/>
      <c r="C5" s="164"/>
      <c r="D5" s="3"/>
    </row>
    <row r="6" spans="1:4" x14ac:dyDescent="0.25">
      <c r="A6" s="3"/>
      <c r="B6" s="3"/>
      <c r="C6" s="3"/>
      <c r="D6" s="3"/>
    </row>
    <row r="7" spans="1:4" x14ac:dyDescent="0.25">
      <c r="A7" s="212"/>
      <c r="B7" s="212"/>
      <c r="C7" s="3"/>
      <c r="D7" s="3"/>
    </row>
    <row r="8" spans="1:4" x14ac:dyDescent="0.25">
      <c r="A8" s="213" t="s">
        <v>245</v>
      </c>
      <c r="B8" s="214">
        <v>0</v>
      </c>
    </row>
    <row r="9" spans="1:4" ht="25.5" x14ac:dyDescent="0.25">
      <c r="A9" s="213" t="s">
        <v>246</v>
      </c>
      <c r="B9" s="214">
        <v>823601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8"/>
  <sheetViews>
    <sheetView workbookViewId="0">
      <selection activeCell="A15" sqref="A15:D27"/>
    </sheetView>
  </sheetViews>
  <sheetFormatPr defaultColWidth="9.140625" defaultRowHeight="15" x14ac:dyDescent="0.25"/>
  <cols>
    <col min="1" max="1" width="38" style="1" customWidth="1"/>
    <col min="2" max="2" width="16.140625" style="1" bestFit="1" customWidth="1"/>
    <col min="3" max="3" width="11.42578125" style="1" customWidth="1"/>
    <col min="4" max="4" width="12.85546875" style="1" customWidth="1"/>
    <col min="5" max="16384" width="9.140625" style="1"/>
  </cols>
  <sheetData>
    <row r="1" spans="1:5" ht="22.5" x14ac:dyDescent="0.25">
      <c r="A1" s="57" t="s">
        <v>274</v>
      </c>
      <c r="B1" s="35" t="s">
        <v>94</v>
      </c>
      <c r="C1" s="34" t="s">
        <v>95</v>
      </c>
      <c r="D1" s="34" t="s">
        <v>91</v>
      </c>
    </row>
    <row r="2" spans="1:5" ht="12" customHeight="1" x14ac:dyDescent="0.25">
      <c r="A2" s="38" t="s">
        <v>270</v>
      </c>
      <c r="B2" s="39">
        <v>0</v>
      </c>
      <c r="C2" s="40">
        <v>0</v>
      </c>
      <c r="D2" s="39">
        <f>B2+C2</f>
        <v>0</v>
      </c>
    </row>
    <row r="3" spans="1:5" ht="12" customHeight="1" x14ac:dyDescent="0.25">
      <c r="A3" s="41" t="s">
        <v>1</v>
      </c>
      <c r="B3" s="42">
        <v>0</v>
      </c>
      <c r="C3" s="43">
        <v>0</v>
      </c>
      <c r="D3" s="42">
        <f>B3+C3</f>
        <v>0</v>
      </c>
    </row>
    <row r="4" spans="1:5" ht="12" customHeight="1" x14ac:dyDescent="0.25">
      <c r="A4" s="44" t="s">
        <v>96</v>
      </c>
      <c r="B4" s="45">
        <f>SUM(B2:B3)</f>
        <v>0</v>
      </c>
      <c r="C4" s="45">
        <f>SUM(C3:C3)</f>
        <v>0</v>
      </c>
      <c r="D4" s="45">
        <f>SUM(D2:D3)</f>
        <v>0</v>
      </c>
    </row>
    <row r="5" spans="1:5" ht="12" customHeight="1" x14ac:dyDescent="0.25">
      <c r="A5" s="46"/>
      <c r="B5" s="47"/>
      <c r="C5" s="47"/>
      <c r="D5" s="47"/>
    </row>
    <row r="6" spans="1:5" ht="12" customHeight="1" x14ac:dyDescent="0.25">
      <c r="A6" s="46" t="s">
        <v>97</v>
      </c>
      <c r="B6" s="47"/>
      <c r="C6" s="47"/>
      <c r="D6" s="47"/>
    </row>
    <row r="7" spans="1:5" ht="12.75" customHeight="1" x14ac:dyDescent="0.25">
      <c r="A7" s="48" t="s">
        <v>275</v>
      </c>
      <c r="B7" s="49">
        <v>0</v>
      </c>
      <c r="C7" s="50">
        <v>0</v>
      </c>
      <c r="D7" s="39">
        <f t="shared" ref="D7:D11" si="0">C7+B7</f>
        <v>0</v>
      </c>
    </row>
    <row r="8" spans="1:5" ht="12" customHeight="1" x14ac:dyDescent="0.25">
      <c r="A8" s="48" t="s">
        <v>88</v>
      </c>
      <c r="B8" s="51">
        <v>878718</v>
      </c>
      <c r="C8" s="39">
        <v>386021</v>
      </c>
      <c r="D8" s="39">
        <f t="shared" si="0"/>
        <v>1264739</v>
      </c>
    </row>
    <row r="9" spans="1:5" ht="12" customHeight="1" x14ac:dyDescent="0.25">
      <c r="A9" s="48" t="s">
        <v>276</v>
      </c>
      <c r="B9" s="51">
        <v>0</v>
      </c>
      <c r="C9" s="39">
        <v>0</v>
      </c>
      <c r="D9" s="39">
        <f t="shared" si="0"/>
        <v>0</v>
      </c>
    </row>
    <row r="10" spans="1:5" ht="12" customHeight="1" x14ac:dyDescent="0.25">
      <c r="A10" s="48" t="s">
        <v>100</v>
      </c>
      <c r="B10" s="51">
        <v>148764</v>
      </c>
      <c r="C10" s="39">
        <v>0</v>
      </c>
      <c r="D10" s="39">
        <f t="shared" si="0"/>
        <v>148764</v>
      </c>
    </row>
    <row r="11" spans="1:5" ht="12" customHeight="1" x14ac:dyDescent="0.25">
      <c r="A11" s="52" t="s">
        <v>90</v>
      </c>
      <c r="B11" s="53">
        <f>51219</f>
        <v>51219</v>
      </c>
      <c r="C11" s="42">
        <v>419172</v>
      </c>
      <c r="D11" s="42">
        <f t="shared" si="0"/>
        <v>470391</v>
      </c>
    </row>
    <row r="12" spans="1:5" ht="12" customHeight="1" x14ac:dyDescent="0.25">
      <c r="A12" s="54" t="s">
        <v>101</v>
      </c>
      <c r="B12" s="55">
        <f>SUM(B7:B11)</f>
        <v>1078701</v>
      </c>
      <c r="C12" s="55">
        <f>SUM(C7:C11)</f>
        <v>805193</v>
      </c>
      <c r="D12" s="55">
        <f>SUM(D7:D11)</f>
        <v>1883894</v>
      </c>
    </row>
    <row r="13" spans="1:5" x14ac:dyDescent="0.25">
      <c r="A13" s="33"/>
      <c r="B13" s="37"/>
      <c r="C13" s="37"/>
      <c r="D13" s="37"/>
    </row>
    <row r="15" spans="1:5" ht="22.5" x14ac:dyDescent="0.25">
      <c r="A15" s="57" t="s">
        <v>277</v>
      </c>
      <c r="B15" s="35" t="s">
        <v>94</v>
      </c>
      <c r="C15" s="34" t="s">
        <v>95</v>
      </c>
      <c r="D15" s="34" t="s">
        <v>91</v>
      </c>
      <c r="E15" s="3"/>
    </row>
    <row r="16" spans="1:5" x14ac:dyDescent="0.25">
      <c r="A16" s="58"/>
      <c r="B16" s="58"/>
      <c r="C16" s="58"/>
      <c r="D16" s="58"/>
      <c r="E16" s="3"/>
    </row>
    <row r="17" spans="1:6" ht="12" customHeight="1" x14ac:dyDescent="0.25">
      <c r="A17" s="56" t="s">
        <v>278</v>
      </c>
      <c r="B17" s="39">
        <v>0</v>
      </c>
      <c r="C17" s="40">
        <v>0</v>
      </c>
      <c r="D17" s="39">
        <f>B17+C17</f>
        <v>0</v>
      </c>
      <c r="E17" s="3"/>
    </row>
    <row r="18" spans="1:6" ht="12" customHeight="1" x14ac:dyDescent="0.25">
      <c r="A18" s="59" t="s">
        <v>1</v>
      </c>
      <c r="B18" s="39">
        <v>0</v>
      </c>
      <c r="C18" s="40">
        <v>0</v>
      </c>
      <c r="D18" s="39">
        <f>B18+C18</f>
        <v>0</v>
      </c>
      <c r="E18" s="3"/>
    </row>
    <row r="19" spans="1:6" ht="12" customHeight="1" x14ac:dyDescent="0.25">
      <c r="A19" s="44" t="s">
        <v>96</v>
      </c>
      <c r="B19" s="45">
        <f>SUM(B17:B18)</f>
        <v>0</v>
      </c>
      <c r="C19" s="45">
        <f>SUM(C18:C18)</f>
        <v>0</v>
      </c>
      <c r="D19" s="45">
        <f>SUM(D17:D18)</f>
        <v>0</v>
      </c>
      <c r="E19" s="3"/>
    </row>
    <row r="20" spans="1:6" ht="12" customHeight="1" x14ac:dyDescent="0.25">
      <c r="A20" s="46"/>
      <c r="B20" s="47"/>
      <c r="C20" s="47"/>
      <c r="D20" s="47"/>
      <c r="E20" s="3"/>
    </row>
    <row r="21" spans="1:6" ht="12" customHeight="1" x14ac:dyDescent="0.25">
      <c r="A21" s="46" t="s">
        <v>97</v>
      </c>
      <c r="B21" s="47"/>
      <c r="C21" s="47"/>
      <c r="D21" s="47"/>
      <c r="E21" s="3"/>
    </row>
    <row r="22" spans="1:6" ht="12" customHeight="1" x14ac:dyDescent="0.25">
      <c r="A22" s="48" t="s">
        <v>98</v>
      </c>
      <c r="B22" s="49">
        <v>0</v>
      </c>
      <c r="C22" s="50">
        <v>0</v>
      </c>
      <c r="D22" s="39">
        <f t="shared" ref="D22:D26" si="1">B22+C22</f>
        <v>0</v>
      </c>
      <c r="E22" s="3"/>
    </row>
    <row r="23" spans="1:6" ht="12" customHeight="1" x14ac:dyDescent="0.25">
      <c r="A23" s="48" t="s">
        <v>88</v>
      </c>
      <c r="B23" s="51">
        <v>601413</v>
      </c>
      <c r="C23" s="39">
        <v>670240</v>
      </c>
      <c r="D23" s="39">
        <f t="shared" si="1"/>
        <v>1271653</v>
      </c>
      <c r="E23" s="111"/>
      <c r="F23" s="266"/>
    </row>
    <row r="24" spans="1:6" ht="12" customHeight="1" x14ac:dyDescent="0.25">
      <c r="A24" s="48" t="s">
        <v>99</v>
      </c>
      <c r="B24" s="51">
        <v>0</v>
      </c>
      <c r="C24" s="39">
        <v>0</v>
      </c>
      <c r="D24" s="39">
        <f t="shared" si="1"/>
        <v>0</v>
      </c>
      <c r="E24" s="3"/>
    </row>
    <row r="25" spans="1:6" ht="12" customHeight="1" x14ac:dyDescent="0.25">
      <c r="A25" s="48" t="s">
        <v>100</v>
      </c>
      <c r="B25" s="51">
        <v>420</v>
      </c>
      <c r="C25" s="39">
        <v>0</v>
      </c>
      <c r="D25" s="39">
        <f t="shared" si="1"/>
        <v>420</v>
      </c>
      <c r="E25" s="3"/>
    </row>
    <row r="26" spans="1:6" ht="12" customHeight="1" x14ac:dyDescent="0.25">
      <c r="A26" s="52" t="s">
        <v>90</v>
      </c>
      <c r="B26" s="53">
        <f>437634-419172</f>
        <v>18462</v>
      </c>
      <c r="C26" s="39">
        <v>419172</v>
      </c>
      <c r="D26" s="39">
        <f t="shared" si="1"/>
        <v>437634</v>
      </c>
      <c r="E26" s="3"/>
    </row>
    <row r="27" spans="1:6" ht="12" customHeight="1" x14ac:dyDescent="0.25">
      <c r="A27" s="60" t="s">
        <v>101</v>
      </c>
      <c r="B27" s="45">
        <f>SUM(B22:B26)</f>
        <v>620295</v>
      </c>
      <c r="C27" s="45">
        <f>SUM(C22:C26)</f>
        <v>1089412</v>
      </c>
      <c r="D27" s="45">
        <f>SUM(D22:D26)</f>
        <v>1709707</v>
      </c>
      <c r="E27" s="3"/>
    </row>
    <row r="28" spans="1:6" x14ac:dyDescent="0.25">
      <c r="A28" s="3"/>
      <c r="B28" s="3"/>
      <c r="C28" s="3"/>
      <c r="D28" s="3"/>
      <c r="E28" s="3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5"/>
  <sheetViews>
    <sheetView topLeftCell="A35" workbookViewId="0">
      <selection activeCell="A52" sqref="A52:C65"/>
    </sheetView>
  </sheetViews>
  <sheetFormatPr defaultColWidth="9.140625" defaultRowHeight="11.25" x14ac:dyDescent="0.2"/>
  <cols>
    <col min="1" max="1" width="49.5703125" style="3" customWidth="1"/>
    <col min="2" max="2" width="9.5703125" style="3" bestFit="1" customWidth="1"/>
    <col min="3" max="3" width="9.7109375" style="3" bestFit="1" customWidth="1"/>
    <col min="4" max="4" width="9.5703125" style="3" bestFit="1" customWidth="1"/>
    <col min="5" max="16384" width="9.140625" style="3"/>
  </cols>
  <sheetData>
    <row r="1" spans="1:3" x14ac:dyDescent="0.2">
      <c r="A1" s="69" t="s">
        <v>102</v>
      </c>
      <c r="B1" s="62">
        <v>43100</v>
      </c>
      <c r="C1" s="61" t="s">
        <v>103</v>
      </c>
    </row>
    <row r="2" spans="1:3" x14ac:dyDescent="0.2">
      <c r="A2" s="63"/>
      <c r="B2" s="63"/>
      <c r="C2" s="63"/>
    </row>
    <row r="3" spans="1:3" ht="12" customHeight="1" x14ac:dyDescent="0.2">
      <c r="A3" s="64" t="s">
        <v>104</v>
      </c>
      <c r="B3" s="66">
        <f>656805+30494</f>
        <v>687299</v>
      </c>
      <c r="C3" s="66">
        <f>219543+30494</f>
        <v>250037</v>
      </c>
    </row>
    <row r="4" spans="1:3" ht="12" customHeight="1" x14ac:dyDescent="0.2">
      <c r="A4" s="70" t="s">
        <v>105</v>
      </c>
      <c r="B4" s="71">
        <f>3597380-687299</f>
        <v>2910081</v>
      </c>
      <c r="C4" s="71">
        <f>3174935+64664-250037</f>
        <v>2989562</v>
      </c>
    </row>
    <row r="5" spans="1:3" ht="12" customHeight="1" x14ac:dyDescent="0.2">
      <c r="A5" s="72" t="s">
        <v>101</v>
      </c>
      <c r="B5" s="73">
        <f>SUM(B3:B4)</f>
        <v>3597380</v>
      </c>
      <c r="C5" s="73">
        <f>SUM(C3:C4)</f>
        <v>3239599</v>
      </c>
    </row>
    <row r="6" spans="1:3" ht="12" customHeight="1" x14ac:dyDescent="0.2">
      <c r="A6" s="67"/>
      <c r="B6" s="68"/>
      <c r="C6" s="68"/>
    </row>
    <row r="7" spans="1:3" ht="12" customHeight="1" x14ac:dyDescent="0.2">
      <c r="A7" s="64" t="s">
        <v>106</v>
      </c>
      <c r="B7" s="66">
        <v>498434</v>
      </c>
      <c r="C7" s="66">
        <v>202765</v>
      </c>
    </row>
    <row r="8" spans="1:3" ht="12" customHeight="1" x14ac:dyDescent="0.2">
      <c r="A8" s="70" t="s">
        <v>107</v>
      </c>
      <c r="B8" s="74">
        <v>0</v>
      </c>
      <c r="C8" s="74">
        <v>0</v>
      </c>
    </row>
    <row r="9" spans="1:3" ht="12" customHeight="1" x14ac:dyDescent="0.2">
      <c r="A9" s="72" t="s">
        <v>96</v>
      </c>
      <c r="B9" s="73">
        <f>SUM(B7:B8)</f>
        <v>498434</v>
      </c>
      <c r="C9" s="73">
        <f>SUM(C7:C8)</f>
        <v>202765</v>
      </c>
    </row>
    <row r="12" spans="1:3" ht="22.5" x14ac:dyDescent="0.2">
      <c r="A12" s="77" t="s">
        <v>113</v>
      </c>
      <c r="B12" s="36" t="s">
        <v>108</v>
      </c>
      <c r="C12" s="36" t="s">
        <v>109</v>
      </c>
    </row>
    <row r="13" spans="1:3" ht="12" customHeight="1" x14ac:dyDescent="0.2">
      <c r="A13" s="64" t="s">
        <v>110</v>
      </c>
      <c r="B13" s="66">
        <v>0</v>
      </c>
      <c r="C13" s="66">
        <v>0</v>
      </c>
    </row>
    <row r="14" spans="1:3" ht="12" customHeight="1" x14ac:dyDescent="0.2">
      <c r="A14" s="64" t="s">
        <v>111</v>
      </c>
      <c r="B14" s="66" t="s">
        <v>45</v>
      </c>
      <c r="C14" s="66">
        <v>1642153</v>
      </c>
    </row>
    <row r="15" spans="1:3" ht="12" customHeight="1" x14ac:dyDescent="0.2">
      <c r="A15" s="65" t="s">
        <v>112</v>
      </c>
      <c r="B15" s="75" t="s">
        <v>45</v>
      </c>
      <c r="C15" s="66">
        <v>0</v>
      </c>
    </row>
    <row r="18" spans="1:3" ht="13.5" x14ac:dyDescent="0.25">
      <c r="A18" s="280" t="s">
        <v>240</v>
      </c>
      <c r="B18" s="281">
        <v>44561</v>
      </c>
      <c r="C18" s="281">
        <v>44196</v>
      </c>
    </row>
    <row r="19" spans="1:3" ht="12" customHeight="1" x14ac:dyDescent="0.25">
      <c r="A19" s="282" t="s">
        <v>289</v>
      </c>
      <c r="B19" s="269">
        <v>25666</v>
      </c>
      <c r="C19" s="269">
        <v>30001</v>
      </c>
    </row>
    <row r="20" spans="1:3" ht="12" customHeight="1" x14ac:dyDescent="0.25">
      <c r="A20" s="282" t="s">
        <v>290</v>
      </c>
      <c r="B20" s="269">
        <v>940</v>
      </c>
      <c r="C20" s="269"/>
    </row>
    <row r="21" spans="1:3" ht="12" customHeight="1" x14ac:dyDescent="0.2">
      <c r="A21" s="283" t="s">
        <v>114</v>
      </c>
      <c r="B21" s="284">
        <v>1726515</v>
      </c>
      <c r="C21" s="284">
        <v>683145</v>
      </c>
    </row>
    <row r="22" spans="1:3" ht="12" customHeight="1" x14ac:dyDescent="0.25">
      <c r="A22" s="283" t="s">
        <v>115</v>
      </c>
      <c r="B22" s="268">
        <v>0</v>
      </c>
      <c r="C22" s="268">
        <v>0</v>
      </c>
    </row>
    <row r="23" spans="1:3" ht="12" customHeight="1" x14ac:dyDescent="0.25">
      <c r="A23" s="285" t="s">
        <v>116</v>
      </c>
      <c r="B23" s="286">
        <v>0</v>
      </c>
      <c r="C23" s="286">
        <v>0</v>
      </c>
    </row>
    <row r="24" spans="1:3" ht="12" customHeight="1" x14ac:dyDescent="0.2">
      <c r="A24" s="287" t="s">
        <v>29</v>
      </c>
      <c r="B24" s="288">
        <f>SUM(B19:B23)</f>
        <v>1753121</v>
      </c>
      <c r="C24" s="288">
        <f>SUM(C19:C23)</f>
        <v>713146</v>
      </c>
    </row>
    <row r="28" spans="1:3" ht="13.5" x14ac:dyDescent="0.25">
      <c r="A28" s="280" t="s">
        <v>240</v>
      </c>
      <c r="B28" s="281">
        <v>44561</v>
      </c>
      <c r="C28" s="281">
        <v>44196</v>
      </c>
    </row>
    <row r="29" spans="1:3" ht="12" customHeight="1" x14ac:dyDescent="0.25">
      <c r="A29" s="290" t="s">
        <v>117</v>
      </c>
      <c r="B29" s="291">
        <f>B30</f>
        <v>0</v>
      </c>
      <c r="C29" s="291">
        <v>0</v>
      </c>
    </row>
    <row r="30" spans="1:3" ht="12" customHeight="1" x14ac:dyDescent="0.25">
      <c r="A30" s="292" t="s">
        <v>118</v>
      </c>
      <c r="B30" s="270">
        <v>0</v>
      </c>
      <c r="C30" s="270">
        <v>0</v>
      </c>
    </row>
    <row r="31" spans="1:3" ht="12" customHeight="1" x14ac:dyDescent="0.25">
      <c r="A31" s="290" t="s">
        <v>119</v>
      </c>
      <c r="B31" s="291">
        <f>SUM(B32:B33)</f>
        <v>24056</v>
      </c>
      <c r="C31" s="291">
        <f>SUM(C32:C33)</f>
        <v>40460</v>
      </c>
    </row>
    <row r="32" spans="1:3" ht="12" customHeight="1" x14ac:dyDescent="0.2">
      <c r="A32" s="293" t="s">
        <v>120</v>
      </c>
      <c r="B32" s="284">
        <v>13254</v>
      </c>
      <c r="C32" s="284">
        <v>18050</v>
      </c>
    </row>
    <row r="33" spans="1:4" ht="12" customHeight="1" x14ac:dyDescent="0.2">
      <c r="A33" s="293" t="s">
        <v>121</v>
      </c>
      <c r="B33" s="284">
        <v>10802</v>
      </c>
      <c r="C33" s="284">
        <v>22410</v>
      </c>
    </row>
    <row r="34" spans="1:4" ht="12" customHeight="1" x14ac:dyDescent="0.25">
      <c r="A34" s="294" t="s">
        <v>122</v>
      </c>
      <c r="B34" s="295">
        <v>0</v>
      </c>
      <c r="C34" s="295">
        <v>0</v>
      </c>
    </row>
    <row r="35" spans="1:4" ht="12" customHeight="1" x14ac:dyDescent="0.25">
      <c r="A35" s="294" t="s">
        <v>291</v>
      </c>
      <c r="B35" s="291">
        <f>SUM(B36:B37)</f>
        <v>7451</v>
      </c>
      <c r="C35" s="291">
        <f>SUM(C36:C37)</f>
        <v>3205</v>
      </c>
    </row>
    <row r="36" spans="1:4" ht="12" customHeight="1" x14ac:dyDescent="0.2">
      <c r="A36" s="293" t="s">
        <v>292</v>
      </c>
      <c r="B36" s="284">
        <v>0</v>
      </c>
      <c r="C36" s="284">
        <v>2864</v>
      </c>
    </row>
    <row r="37" spans="1:4" ht="12" customHeight="1" x14ac:dyDescent="0.2">
      <c r="A37" s="293" t="s">
        <v>121</v>
      </c>
      <c r="B37" s="284">
        <v>7451</v>
      </c>
      <c r="C37" s="284">
        <v>341</v>
      </c>
    </row>
    <row r="38" spans="1:4" ht="12" customHeight="1" x14ac:dyDescent="0.2">
      <c r="A38" s="287" t="s">
        <v>29</v>
      </c>
      <c r="B38" s="288">
        <f>B35+B34+B31+B29</f>
        <v>31507</v>
      </c>
      <c r="C38" s="288">
        <f>C35+C34+C31+C29</f>
        <v>43665</v>
      </c>
    </row>
    <row r="41" spans="1:4" ht="13.5" x14ac:dyDescent="0.25">
      <c r="A41" s="280" t="s">
        <v>240</v>
      </c>
      <c r="B41" s="281">
        <v>44561</v>
      </c>
      <c r="C41" s="281">
        <v>44196</v>
      </c>
      <c r="D41" s="86"/>
    </row>
    <row r="42" spans="1:4" ht="13.5" x14ac:dyDescent="0.25">
      <c r="A42" s="290" t="s">
        <v>167</v>
      </c>
      <c r="B42" s="291">
        <v>0</v>
      </c>
      <c r="C42" s="291">
        <v>0</v>
      </c>
    </row>
    <row r="43" spans="1:4" ht="13.5" x14ac:dyDescent="0.25">
      <c r="A43" s="290" t="s">
        <v>168</v>
      </c>
      <c r="B43" s="291">
        <f>SUM(B44:B44)</f>
        <v>370</v>
      </c>
      <c r="C43" s="291">
        <f>SUM(C44:C44)</f>
        <v>430</v>
      </c>
    </row>
    <row r="44" spans="1:4" ht="13.5" x14ac:dyDescent="0.2">
      <c r="A44" s="283" t="s">
        <v>121</v>
      </c>
      <c r="B44" s="284">
        <v>370</v>
      </c>
      <c r="C44" s="284">
        <v>430</v>
      </c>
    </row>
    <row r="45" spans="1:4" ht="13.5" x14ac:dyDescent="0.25">
      <c r="A45" s="294" t="s">
        <v>169</v>
      </c>
      <c r="B45" s="295">
        <f>SUM(B46)</f>
        <v>138087</v>
      </c>
      <c r="C45" s="295">
        <f>SUM(C46)</f>
        <v>1229</v>
      </c>
    </row>
    <row r="46" spans="1:4" ht="13.5" x14ac:dyDescent="0.2">
      <c r="A46" s="283" t="s">
        <v>303</v>
      </c>
      <c r="B46" s="284">
        <v>138087</v>
      </c>
      <c r="C46" s="295">
        <v>1229</v>
      </c>
    </row>
    <row r="47" spans="1:4" ht="13.5" x14ac:dyDescent="0.25">
      <c r="A47" s="294" t="s">
        <v>170</v>
      </c>
      <c r="B47" s="295">
        <f>SUM(B48)</f>
        <v>10243</v>
      </c>
      <c r="C47" s="295">
        <f>SUM(C48)</f>
        <v>931</v>
      </c>
    </row>
    <row r="48" spans="1:4" ht="13.5" x14ac:dyDescent="0.2">
      <c r="A48" s="283" t="s">
        <v>303</v>
      </c>
      <c r="B48" s="284">
        <v>10243</v>
      </c>
      <c r="C48" s="295">
        <v>931</v>
      </c>
    </row>
    <row r="49" spans="1:3" ht="13.5" x14ac:dyDescent="0.2">
      <c r="A49" s="287" t="s">
        <v>29</v>
      </c>
      <c r="B49" s="288">
        <f>B47+B45+B43+B42</f>
        <v>148700</v>
      </c>
      <c r="C49" s="288">
        <f>C47+C45+C43+C42</f>
        <v>2590</v>
      </c>
    </row>
    <row r="52" spans="1:3" ht="13.5" x14ac:dyDescent="0.25">
      <c r="A52" s="377"/>
      <c r="B52" s="377"/>
      <c r="C52" s="377"/>
    </row>
    <row r="53" spans="1:3" ht="13.5" x14ac:dyDescent="0.25">
      <c r="A53" s="345"/>
      <c r="B53" s="345"/>
      <c r="C53" s="418">
        <v>2020</v>
      </c>
    </row>
    <row r="54" spans="1:3" ht="13.5" x14ac:dyDescent="0.25">
      <c r="A54" s="419" t="s">
        <v>335</v>
      </c>
      <c r="B54" s="377"/>
      <c r="C54" s="269">
        <v>1962781</v>
      </c>
    </row>
    <row r="55" spans="1:3" ht="13.5" x14ac:dyDescent="0.25">
      <c r="A55" s="377"/>
      <c r="B55" s="377"/>
      <c r="C55" s="420"/>
    </row>
    <row r="56" spans="1:3" ht="13.5" x14ac:dyDescent="0.25">
      <c r="A56" s="280" t="s">
        <v>336</v>
      </c>
      <c r="B56" s="345"/>
      <c r="C56" s="345">
        <v>2021</v>
      </c>
    </row>
    <row r="57" spans="1:3" ht="13.5" x14ac:dyDescent="0.25">
      <c r="A57" s="421" t="s">
        <v>337</v>
      </c>
      <c r="B57" s="422"/>
      <c r="C57" s="420">
        <v>0</v>
      </c>
    </row>
    <row r="58" spans="1:3" ht="13.5" x14ac:dyDescent="0.2">
      <c r="A58" s="347" t="s">
        <v>338</v>
      </c>
      <c r="B58" s="423"/>
      <c r="C58" s="284">
        <v>0</v>
      </c>
    </row>
    <row r="59" spans="1:3" ht="13.5" x14ac:dyDescent="0.2">
      <c r="A59" s="347" t="s">
        <v>339</v>
      </c>
      <c r="B59" s="423"/>
      <c r="C59" s="284">
        <v>0</v>
      </c>
    </row>
    <row r="60" spans="1:3" ht="13.5" x14ac:dyDescent="0.2">
      <c r="A60" s="347" t="s">
        <v>340</v>
      </c>
      <c r="B60" s="423"/>
      <c r="C60" s="284">
        <v>0</v>
      </c>
    </row>
    <row r="61" spans="1:3" ht="13.5" x14ac:dyDescent="0.2">
      <c r="A61" s="347" t="s">
        <v>341</v>
      </c>
      <c r="B61" s="423"/>
      <c r="C61" s="284">
        <v>0</v>
      </c>
    </row>
    <row r="62" spans="1:3" ht="13.5" x14ac:dyDescent="0.2">
      <c r="A62" s="347" t="s">
        <v>342</v>
      </c>
      <c r="B62" s="423"/>
      <c r="C62" s="284">
        <v>1962781</v>
      </c>
    </row>
    <row r="63" spans="1:3" ht="13.5" x14ac:dyDescent="0.2">
      <c r="A63" s="347" t="s">
        <v>343</v>
      </c>
      <c r="B63" s="423"/>
      <c r="C63" s="284">
        <v>0</v>
      </c>
    </row>
    <row r="64" spans="1:3" ht="13.5" x14ac:dyDescent="0.2">
      <c r="A64" s="347" t="s">
        <v>315</v>
      </c>
      <c r="B64" s="423"/>
      <c r="C64" s="284">
        <v>0</v>
      </c>
    </row>
    <row r="65" spans="1:3" ht="13.5" x14ac:dyDescent="0.2">
      <c r="A65" s="352" t="s">
        <v>29</v>
      </c>
      <c r="B65" s="424"/>
      <c r="C65" s="288">
        <f>SUM(C57:C64)</f>
        <v>1962781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workbookViewId="0">
      <selection activeCell="A16" sqref="A16:F28"/>
    </sheetView>
  </sheetViews>
  <sheetFormatPr defaultColWidth="9.140625" defaultRowHeight="13.5" x14ac:dyDescent="0.25"/>
  <cols>
    <col min="1" max="1" width="36.7109375" style="238" customWidth="1"/>
    <col min="2" max="16384" width="9.140625" style="238"/>
  </cols>
  <sheetData>
    <row r="1" spans="1:8" x14ac:dyDescent="0.25">
      <c r="A1" s="296"/>
      <c r="B1" s="454" t="s">
        <v>269</v>
      </c>
      <c r="C1" s="454"/>
      <c r="D1" s="454"/>
      <c r="E1" s="454"/>
      <c r="F1" s="454"/>
      <c r="G1" s="296"/>
      <c r="H1" s="296"/>
    </row>
    <row r="2" spans="1:8" x14ac:dyDescent="0.25">
      <c r="A2" s="267"/>
      <c r="B2" s="297" t="s">
        <v>123</v>
      </c>
      <c r="C2" s="297"/>
      <c r="D2" s="297"/>
      <c r="E2" s="297"/>
      <c r="F2" s="297" t="s">
        <v>123</v>
      </c>
      <c r="G2" s="296"/>
      <c r="H2" s="296"/>
    </row>
    <row r="3" spans="1:8" x14ac:dyDescent="0.25">
      <c r="A3" s="280" t="s">
        <v>240</v>
      </c>
      <c r="B3" s="310" t="s">
        <v>293</v>
      </c>
      <c r="C3" s="310" t="s">
        <v>124</v>
      </c>
      <c r="D3" s="310" t="s">
        <v>125</v>
      </c>
      <c r="E3" s="310" t="s">
        <v>126</v>
      </c>
      <c r="F3" s="310" t="s">
        <v>294</v>
      </c>
      <c r="G3" s="296"/>
      <c r="H3" s="296"/>
    </row>
    <row r="4" spans="1:8" x14ac:dyDescent="0.25">
      <c r="A4" s="298" t="s">
        <v>295</v>
      </c>
      <c r="B4" s="302">
        <f>B5</f>
        <v>7990</v>
      </c>
      <c r="C4" s="302">
        <f t="shared" ref="C4:F4" si="0">C5</f>
        <v>5339</v>
      </c>
      <c r="D4" s="302">
        <f t="shared" si="0"/>
        <v>0</v>
      </c>
      <c r="E4" s="302">
        <f t="shared" si="0"/>
        <v>0</v>
      </c>
      <c r="F4" s="302">
        <f t="shared" si="0"/>
        <v>13329</v>
      </c>
      <c r="G4" s="296"/>
      <c r="H4" s="296"/>
    </row>
    <row r="5" spans="1:8" ht="18" customHeight="1" x14ac:dyDescent="0.25">
      <c r="A5" s="300" t="s">
        <v>297</v>
      </c>
      <c r="B5" s="303">
        <v>7990</v>
      </c>
      <c r="C5" s="303">
        <v>5339</v>
      </c>
      <c r="D5" s="303"/>
      <c r="E5" s="303"/>
      <c r="F5" s="303">
        <f>B5+C5-D5-E5</f>
        <v>13329</v>
      </c>
      <c r="G5" s="296"/>
      <c r="H5" s="296"/>
    </row>
    <row r="6" spans="1:8" ht="6" customHeight="1" x14ac:dyDescent="0.25">
      <c r="B6" s="301"/>
      <c r="C6" s="301"/>
      <c r="D6" s="301"/>
      <c r="E6" s="301"/>
      <c r="F6" s="301"/>
      <c r="G6" s="296"/>
      <c r="H6" s="296"/>
    </row>
    <row r="7" spans="1:8" ht="11.25" customHeight="1" x14ac:dyDescent="0.25">
      <c r="A7" s="298" t="s">
        <v>127</v>
      </c>
      <c r="B7" s="302">
        <f>B10+B13</f>
        <v>33528</v>
      </c>
      <c r="C7" s="302">
        <f>C10+C13</f>
        <v>47864</v>
      </c>
      <c r="D7" s="302">
        <f>D10+D13</f>
        <v>32714</v>
      </c>
      <c r="E7" s="302">
        <f>E10+E13</f>
        <v>814</v>
      </c>
      <c r="F7" s="302">
        <f>F10+F13</f>
        <v>47864</v>
      </c>
      <c r="G7" s="296"/>
      <c r="H7" s="296"/>
    </row>
    <row r="8" spans="1:8" ht="9.75" customHeight="1" x14ac:dyDescent="0.25">
      <c r="A8" s="299"/>
      <c r="B8" s="302"/>
      <c r="C8" s="302"/>
      <c r="D8" s="302"/>
      <c r="E8" s="302"/>
      <c r="F8" s="302"/>
      <c r="G8" s="296"/>
      <c r="H8" s="296"/>
    </row>
    <row r="9" spans="1:8" ht="12" customHeight="1" x14ac:dyDescent="0.25">
      <c r="A9" s="300" t="s">
        <v>128</v>
      </c>
      <c r="B9" s="303">
        <v>33528</v>
      </c>
      <c r="C9" s="303">
        <f>47864-3000</f>
        <v>44864</v>
      </c>
      <c r="D9" s="303">
        <v>32714</v>
      </c>
      <c r="E9" s="303">
        <v>814</v>
      </c>
      <c r="F9" s="303">
        <f>B9+C9-D9-E9</f>
        <v>44864</v>
      </c>
      <c r="G9" s="296"/>
      <c r="H9" s="296"/>
    </row>
    <row r="10" spans="1:8" ht="12" customHeight="1" x14ac:dyDescent="0.25">
      <c r="A10" s="299" t="s">
        <v>129</v>
      </c>
      <c r="B10" s="304">
        <f>SUM(B9:B9)</f>
        <v>33528</v>
      </c>
      <c r="C10" s="304">
        <f>SUM(C9:C9)</f>
        <v>44864</v>
      </c>
      <c r="D10" s="304">
        <f>SUM(D9:D9)</f>
        <v>32714</v>
      </c>
      <c r="E10" s="304">
        <f>SUM(E9:E9)</f>
        <v>814</v>
      </c>
      <c r="F10" s="304">
        <f>SUM(F9:F9)</f>
        <v>44864</v>
      </c>
      <c r="G10" s="296"/>
      <c r="H10" s="296"/>
    </row>
    <row r="11" spans="1:8" ht="6.75" customHeight="1" x14ac:dyDescent="0.25">
      <c r="A11" s="300"/>
      <c r="B11" s="303"/>
      <c r="C11" s="303"/>
      <c r="D11" s="303"/>
      <c r="E11" s="303"/>
      <c r="F11" s="303"/>
      <c r="G11" s="296"/>
      <c r="H11" s="296"/>
    </row>
    <row r="12" spans="1:8" ht="12" customHeight="1" x14ac:dyDescent="0.25">
      <c r="A12" s="305" t="s">
        <v>296</v>
      </c>
      <c r="B12" s="306">
        <v>0</v>
      </c>
      <c r="C12" s="306">
        <v>3000</v>
      </c>
      <c r="D12" s="306">
        <v>0</v>
      </c>
      <c r="E12" s="306">
        <v>0</v>
      </c>
      <c r="F12" s="303">
        <f>B12+C12-D12-E12</f>
        <v>3000</v>
      </c>
      <c r="G12" s="296"/>
      <c r="H12" s="296"/>
    </row>
    <row r="13" spans="1:8" ht="12" customHeight="1" x14ac:dyDescent="0.25">
      <c r="A13" s="299" t="s">
        <v>130</v>
      </c>
      <c r="B13" s="304">
        <f>SUM(B12:B12)</f>
        <v>0</v>
      </c>
      <c r="C13" s="304">
        <f>SUM(C12:C12)</f>
        <v>3000</v>
      </c>
      <c r="D13" s="304">
        <f>SUM(D12:D12)</f>
        <v>0</v>
      </c>
      <c r="E13" s="304">
        <f>SUM(E12:E12)</f>
        <v>0</v>
      </c>
      <c r="F13" s="304">
        <f>SUM(F12:F12)</f>
        <v>3000</v>
      </c>
      <c r="G13" s="296"/>
      <c r="H13" s="296"/>
    </row>
    <row r="14" spans="1:8" ht="12" customHeight="1" x14ac:dyDescent="0.25">
      <c r="A14" s="299"/>
      <c r="B14" s="307"/>
      <c r="C14" s="307"/>
      <c r="D14" s="307"/>
      <c r="E14" s="307"/>
      <c r="F14" s="307"/>
      <c r="G14" s="296"/>
      <c r="H14" s="296"/>
    </row>
    <row r="15" spans="1:8" ht="12" customHeight="1" x14ac:dyDescent="0.25">
      <c r="A15" s="296"/>
      <c r="B15" s="296"/>
      <c r="C15" s="296"/>
      <c r="D15" s="308"/>
      <c r="E15" s="308"/>
      <c r="F15" s="296"/>
      <c r="G15" s="296"/>
      <c r="H15" s="296"/>
    </row>
    <row r="16" spans="1:8" ht="12" customHeight="1" x14ac:dyDescent="0.25">
      <c r="A16" s="296"/>
      <c r="B16" s="454" t="s">
        <v>299</v>
      </c>
      <c r="C16" s="454"/>
      <c r="D16" s="454"/>
      <c r="E16" s="454"/>
      <c r="F16" s="454"/>
      <c r="G16" s="296"/>
      <c r="H16" s="296"/>
    </row>
    <row r="17" spans="1:8" ht="12" customHeight="1" x14ac:dyDescent="0.25">
      <c r="A17" s="267"/>
      <c r="B17" s="297" t="s">
        <v>123</v>
      </c>
      <c r="C17" s="297"/>
      <c r="D17" s="297"/>
      <c r="E17" s="297"/>
      <c r="F17" s="297" t="s">
        <v>123</v>
      </c>
      <c r="G17" s="296"/>
      <c r="H17" s="296"/>
    </row>
    <row r="18" spans="1:8" ht="12" customHeight="1" x14ac:dyDescent="0.25">
      <c r="A18" s="280" t="s">
        <v>240</v>
      </c>
      <c r="B18" s="310" t="s">
        <v>298</v>
      </c>
      <c r="C18" s="310" t="s">
        <v>124</v>
      </c>
      <c r="D18" s="310" t="s">
        <v>125</v>
      </c>
      <c r="E18" s="310" t="s">
        <v>126</v>
      </c>
      <c r="F18" s="310" t="s">
        <v>293</v>
      </c>
      <c r="G18" s="296"/>
      <c r="H18" s="296"/>
    </row>
    <row r="19" spans="1:8" ht="12" customHeight="1" x14ac:dyDescent="0.25">
      <c r="A19" s="298" t="s">
        <v>295</v>
      </c>
      <c r="B19" s="302">
        <f>B20</f>
        <v>5148</v>
      </c>
      <c r="C19" s="302">
        <f t="shared" ref="C19" si="1">C20</f>
        <v>3829</v>
      </c>
      <c r="D19" s="302">
        <f t="shared" ref="D19" si="2">D20</f>
        <v>987</v>
      </c>
      <c r="E19" s="302">
        <f t="shared" ref="E19" si="3">E20</f>
        <v>0</v>
      </c>
      <c r="F19" s="302">
        <f t="shared" ref="F19" si="4">F20</f>
        <v>7990</v>
      </c>
      <c r="G19" s="296"/>
      <c r="H19" s="296"/>
    </row>
    <row r="20" spans="1:8" ht="12" customHeight="1" x14ac:dyDescent="0.25">
      <c r="A20" s="300" t="s">
        <v>297</v>
      </c>
      <c r="B20" s="303">
        <v>5148</v>
      </c>
      <c r="C20" s="303">
        <v>3829</v>
      </c>
      <c r="D20" s="303">
        <v>987</v>
      </c>
      <c r="E20" s="303"/>
      <c r="F20" s="303">
        <f>B20+C20-D20-E20</f>
        <v>7990</v>
      </c>
      <c r="G20" s="296"/>
      <c r="H20" s="296"/>
    </row>
    <row r="21" spans="1:8" ht="12" customHeight="1" x14ac:dyDescent="0.25">
      <c r="B21" s="301"/>
      <c r="C21" s="301"/>
      <c r="D21" s="301"/>
      <c r="E21" s="301"/>
      <c r="F21" s="301"/>
      <c r="G21" s="296"/>
      <c r="H21" s="296"/>
    </row>
    <row r="22" spans="1:8" ht="12" customHeight="1" x14ac:dyDescent="0.25">
      <c r="A22" s="298" t="s">
        <v>127</v>
      </c>
      <c r="B22" s="302">
        <f>B25+B28</f>
        <v>57770</v>
      </c>
      <c r="C22" s="302">
        <f>C25+C28</f>
        <v>33528</v>
      </c>
      <c r="D22" s="302">
        <f>D25+D28</f>
        <v>3862</v>
      </c>
      <c r="E22" s="302">
        <f>E25+E28</f>
        <v>53908</v>
      </c>
      <c r="F22" s="302">
        <f>F25+F28</f>
        <v>33528</v>
      </c>
      <c r="G22" s="296"/>
      <c r="H22" s="296"/>
    </row>
    <row r="23" spans="1:8" ht="12" customHeight="1" x14ac:dyDescent="0.25">
      <c r="A23" s="299"/>
      <c r="B23" s="302"/>
      <c r="C23" s="302"/>
      <c r="D23" s="302"/>
      <c r="E23" s="302"/>
      <c r="F23" s="302"/>
      <c r="G23" s="296"/>
      <c r="H23" s="296"/>
    </row>
    <row r="24" spans="1:8" ht="12" customHeight="1" x14ac:dyDescent="0.25">
      <c r="A24" s="300" t="s">
        <v>128</v>
      </c>
      <c r="B24" s="303">
        <v>3862</v>
      </c>
      <c r="C24" s="303">
        <v>33528</v>
      </c>
      <c r="D24" s="303">
        <v>3862</v>
      </c>
      <c r="E24" s="303">
        <v>0</v>
      </c>
      <c r="F24" s="303">
        <f>B24+C24-D24-E24</f>
        <v>33528</v>
      </c>
      <c r="G24" s="296"/>
      <c r="H24" s="296"/>
    </row>
    <row r="25" spans="1:8" ht="12" customHeight="1" x14ac:dyDescent="0.25">
      <c r="A25" s="299" t="s">
        <v>129</v>
      </c>
      <c r="B25" s="304">
        <f>SUM(B24:B24)</f>
        <v>3862</v>
      </c>
      <c r="C25" s="304">
        <f>SUM(C24:C24)</f>
        <v>33528</v>
      </c>
      <c r="D25" s="304">
        <f>SUM(D24:D24)</f>
        <v>3862</v>
      </c>
      <c r="E25" s="304">
        <f>SUM(E24:E24)</f>
        <v>0</v>
      </c>
      <c r="F25" s="304">
        <f>SUM(F24:F24)</f>
        <v>33528</v>
      </c>
      <c r="G25" s="296"/>
      <c r="H25" s="296"/>
    </row>
    <row r="26" spans="1:8" ht="12" customHeight="1" x14ac:dyDescent="0.25">
      <c r="A26" s="300"/>
      <c r="B26" s="303"/>
      <c r="C26" s="303"/>
      <c r="D26" s="303"/>
      <c r="E26" s="303"/>
      <c r="F26" s="303"/>
      <c r="G26" s="296"/>
      <c r="H26" s="296"/>
    </row>
    <row r="27" spans="1:8" x14ac:dyDescent="0.25">
      <c r="A27" s="305" t="s">
        <v>300</v>
      </c>
      <c r="B27" s="306">
        <v>53908</v>
      </c>
      <c r="C27" s="306">
        <v>0</v>
      </c>
      <c r="D27" s="306">
        <v>0</v>
      </c>
      <c r="E27" s="306">
        <v>53908</v>
      </c>
      <c r="F27" s="303">
        <f>B27+C27-D27-E27</f>
        <v>0</v>
      </c>
    </row>
    <row r="28" spans="1:8" x14ac:dyDescent="0.25">
      <c r="A28" s="299" t="s">
        <v>130</v>
      </c>
      <c r="B28" s="304">
        <f>SUM(B27:B27)</f>
        <v>53908</v>
      </c>
      <c r="C28" s="304">
        <f>SUM(C27:C27)</f>
        <v>0</v>
      </c>
      <c r="D28" s="304">
        <f>SUM(D27:D27)</f>
        <v>0</v>
      </c>
      <c r="E28" s="304">
        <f>SUM(E27:E27)</f>
        <v>53908</v>
      </c>
      <c r="F28" s="304">
        <f>SUM(F27:F27)</f>
        <v>0</v>
      </c>
    </row>
    <row r="29" spans="1:8" x14ac:dyDescent="0.25">
      <c r="A29" s="299"/>
      <c r="B29" s="307"/>
      <c r="C29" s="307"/>
      <c r="D29" s="307"/>
      <c r="E29" s="307"/>
      <c r="F29" s="307"/>
    </row>
  </sheetData>
  <mergeCells count="2">
    <mergeCell ref="B1:F1"/>
    <mergeCell ref="B16:F1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7"/>
  <sheetViews>
    <sheetView workbookViewId="0">
      <selection sqref="A1:C8"/>
    </sheetView>
  </sheetViews>
  <sheetFormatPr defaultColWidth="9.140625" defaultRowHeight="13.5" x14ac:dyDescent="0.25"/>
  <cols>
    <col min="1" max="1" width="45.28515625" style="238" customWidth="1"/>
    <col min="2" max="3" width="9.5703125" style="238" bestFit="1" customWidth="1"/>
    <col min="4" max="16384" width="9.140625" style="238"/>
  </cols>
  <sheetData>
    <row r="1" spans="1:3" x14ac:dyDescent="0.25">
      <c r="A1" s="280" t="s">
        <v>240</v>
      </c>
      <c r="B1" s="313">
        <v>44561</v>
      </c>
      <c r="C1" s="313">
        <v>44196</v>
      </c>
    </row>
    <row r="2" spans="1:3" ht="12" customHeight="1" x14ac:dyDescent="0.25">
      <c r="A2" s="314" t="s">
        <v>131</v>
      </c>
      <c r="B2" s="284">
        <v>186449</v>
      </c>
      <c r="C2" s="284">
        <v>1152</v>
      </c>
    </row>
    <row r="3" spans="1:3" ht="12" customHeight="1" x14ac:dyDescent="0.25">
      <c r="A3" s="315" t="s">
        <v>132</v>
      </c>
      <c r="B3" s="316">
        <f>1883048-B2</f>
        <v>1696599</v>
      </c>
      <c r="C3" s="316">
        <v>840295</v>
      </c>
    </row>
    <row r="4" spans="1:3" ht="12" customHeight="1" x14ac:dyDescent="0.25">
      <c r="A4" s="317" t="s">
        <v>133</v>
      </c>
      <c r="B4" s="288">
        <f>SUM(B2:B3)</f>
        <v>1883048</v>
      </c>
      <c r="C4" s="288">
        <f>SUM(C2:C3)</f>
        <v>841447</v>
      </c>
    </row>
    <row r="5" spans="1:3" ht="12" customHeight="1" x14ac:dyDescent="0.25">
      <c r="A5" s="314"/>
      <c r="B5" s="318"/>
      <c r="C5" s="318"/>
    </row>
    <row r="6" spans="1:3" ht="12" customHeight="1" x14ac:dyDescent="0.25">
      <c r="A6" s="319" t="s">
        <v>134</v>
      </c>
      <c r="B6" s="284">
        <v>138127</v>
      </c>
      <c r="C6" s="284">
        <v>395501</v>
      </c>
    </row>
    <row r="7" spans="1:3" ht="12" customHeight="1" x14ac:dyDescent="0.25">
      <c r="A7" s="320" t="s">
        <v>135</v>
      </c>
      <c r="B7" s="316">
        <v>0</v>
      </c>
      <c r="C7" s="316">
        <v>0</v>
      </c>
    </row>
    <row r="8" spans="1:3" ht="12" customHeight="1" x14ac:dyDescent="0.25">
      <c r="A8" s="317" t="s">
        <v>33</v>
      </c>
      <c r="B8" s="288">
        <f>SUM(B6:B7)</f>
        <v>138127</v>
      </c>
      <c r="C8" s="288">
        <f>SUM(C6:C7)</f>
        <v>395501</v>
      </c>
    </row>
    <row r="10" spans="1:3" x14ac:dyDescent="0.25">
      <c r="B10" s="321"/>
      <c r="C10" s="321"/>
    </row>
    <row r="11" spans="1:3" x14ac:dyDescent="0.25">
      <c r="A11" s="280" t="s">
        <v>240</v>
      </c>
      <c r="B11" s="322">
        <v>43100</v>
      </c>
      <c r="C11" s="322">
        <v>42735</v>
      </c>
    </row>
    <row r="12" spans="1:3" ht="12" customHeight="1" x14ac:dyDescent="0.25">
      <c r="A12" s="323" t="s">
        <v>136</v>
      </c>
      <c r="B12" s="324">
        <v>1818</v>
      </c>
      <c r="C12" s="324">
        <v>8067</v>
      </c>
    </row>
    <row r="13" spans="1:3" ht="12" customHeight="1" x14ac:dyDescent="0.25">
      <c r="A13" s="323" t="s">
        <v>137</v>
      </c>
      <c r="B13" s="324">
        <v>238979</v>
      </c>
      <c r="C13" s="324">
        <v>253151</v>
      </c>
    </row>
    <row r="14" spans="1:3" ht="12" customHeight="1" x14ac:dyDescent="0.25">
      <c r="A14" s="323" t="s">
        <v>138</v>
      </c>
      <c r="B14" s="324">
        <v>6328</v>
      </c>
      <c r="C14" s="324">
        <v>7504</v>
      </c>
    </row>
    <row r="15" spans="1:3" ht="12" customHeight="1" x14ac:dyDescent="0.25">
      <c r="A15" s="325" t="s">
        <v>139</v>
      </c>
      <c r="B15" s="326">
        <v>289928</v>
      </c>
      <c r="C15" s="326">
        <v>108712</v>
      </c>
    </row>
    <row r="16" spans="1:3" ht="12" customHeight="1" x14ac:dyDescent="0.25">
      <c r="A16" s="327" t="s">
        <v>34</v>
      </c>
      <c r="B16" s="328">
        <v>537053</v>
      </c>
      <c r="C16" s="328">
        <v>377434</v>
      </c>
    </row>
    <row r="17" ht="12" customHeight="1" x14ac:dyDescent="0.25"/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workbookViewId="0">
      <selection sqref="A1:H7"/>
    </sheetView>
  </sheetViews>
  <sheetFormatPr defaultColWidth="9.140625" defaultRowHeight="13.5" x14ac:dyDescent="0.25"/>
  <cols>
    <col min="1" max="1" width="16.42578125" style="331" bestFit="1" customWidth="1"/>
    <col min="2" max="2" width="9.5703125" style="331" bestFit="1" customWidth="1"/>
    <col min="3" max="3" width="11" style="331" bestFit="1" customWidth="1"/>
    <col min="4" max="4" width="9" style="331" bestFit="1" customWidth="1"/>
    <col min="5" max="5" width="6" style="331" customWidth="1"/>
    <col min="6" max="6" width="11.85546875" style="331" bestFit="1" customWidth="1"/>
    <col min="7" max="7" width="11.85546875" style="331" customWidth="1"/>
    <col min="8" max="8" width="9" style="331" bestFit="1" customWidth="1"/>
    <col min="9" max="16384" width="9.140625" style="331"/>
  </cols>
  <sheetData>
    <row r="1" spans="1:8" s="330" customFormat="1" x14ac:dyDescent="0.25">
      <c r="A1" s="329"/>
      <c r="B1" s="456" t="s">
        <v>301</v>
      </c>
      <c r="C1" s="456"/>
      <c r="D1" s="456"/>
      <c r="E1" s="329"/>
      <c r="F1" s="456" t="s">
        <v>302</v>
      </c>
      <c r="G1" s="456"/>
      <c r="H1" s="456"/>
    </row>
    <row r="2" spans="1:8" x14ac:dyDescent="0.25">
      <c r="A2" s="309"/>
      <c r="B2" s="457" t="s">
        <v>142</v>
      </c>
      <c r="C2" s="457"/>
      <c r="D2" s="457"/>
      <c r="E2" s="267"/>
      <c r="F2" s="457" t="s">
        <v>142</v>
      </c>
      <c r="G2" s="457"/>
      <c r="H2" s="457"/>
    </row>
    <row r="3" spans="1:8" ht="40.5" x14ac:dyDescent="0.25">
      <c r="A3" s="290" t="s">
        <v>240</v>
      </c>
      <c r="B3" s="332" t="s">
        <v>143</v>
      </c>
      <c r="C3" s="332" t="s">
        <v>144</v>
      </c>
      <c r="D3" s="332" t="s">
        <v>145</v>
      </c>
      <c r="E3" s="333"/>
      <c r="F3" s="332" t="s">
        <v>143</v>
      </c>
      <c r="G3" s="332" t="s">
        <v>144</v>
      </c>
      <c r="H3" s="332" t="s">
        <v>145</v>
      </c>
    </row>
    <row r="4" spans="1:8" x14ac:dyDescent="0.25">
      <c r="A4" s="334"/>
      <c r="B4" s="335"/>
      <c r="C4" s="335"/>
      <c r="D4" s="335"/>
      <c r="E4" s="336"/>
      <c r="F4" s="335"/>
      <c r="G4" s="335"/>
      <c r="H4" s="335"/>
    </row>
    <row r="5" spans="1:8" x14ac:dyDescent="0.25">
      <c r="A5" s="337" t="s">
        <v>146</v>
      </c>
      <c r="B5" s="338">
        <v>256250</v>
      </c>
      <c r="C5" s="338">
        <v>138127</v>
      </c>
      <c r="D5" s="338">
        <v>0</v>
      </c>
      <c r="E5" s="308"/>
      <c r="F5" s="338">
        <v>190630</v>
      </c>
      <c r="G5" s="338">
        <v>395501</v>
      </c>
      <c r="H5" s="338">
        <v>0</v>
      </c>
    </row>
    <row r="6" spans="1:8" x14ac:dyDescent="0.25">
      <c r="A6" s="339" t="s">
        <v>147</v>
      </c>
      <c r="B6" s="340">
        <v>6276</v>
      </c>
      <c r="C6" s="340">
        <v>2497</v>
      </c>
      <c r="D6" s="340">
        <v>0</v>
      </c>
      <c r="E6" s="308"/>
      <c r="F6" s="338">
        <v>9381</v>
      </c>
      <c r="G6" s="338">
        <v>5985</v>
      </c>
      <c r="H6" s="338">
        <v>0</v>
      </c>
    </row>
    <row r="7" spans="1:8" x14ac:dyDescent="0.25">
      <c r="A7" s="341" t="s">
        <v>29</v>
      </c>
      <c r="B7" s="342">
        <f>SUM(B5:B6)</f>
        <v>262526</v>
      </c>
      <c r="C7" s="342">
        <f>SUM(C5:C6)</f>
        <v>140624</v>
      </c>
      <c r="D7" s="342">
        <f>SUM(D5:D6)</f>
        <v>0</v>
      </c>
      <c r="E7" s="298"/>
      <c r="F7" s="342">
        <f>SUM(F5:F6)</f>
        <v>200011</v>
      </c>
      <c r="G7" s="342">
        <f>SUM(G5:G6)</f>
        <v>401486</v>
      </c>
      <c r="H7" s="342">
        <f>SUM(H5:H6)</f>
        <v>0</v>
      </c>
    </row>
    <row r="8" spans="1:8" x14ac:dyDescent="0.25">
      <c r="A8" s="308"/>
      <c r="B8" s="308"/>
      <c r="C8" s="308"/>
      <c r="D8" s="308"/>
      <c r="E8" s="308"/>
      <c r="F8" s="308"/>
      <c r="G8" s="308"/>
      <c r="H8" s="308"/>
    </row>
    <row r="9" spans="1:8" x14ac:dyDescent="0.25">
      <c r="A9" s="267"/>
      <c r="B9" s="456" t="s">
        <v>140</v>
      </c>
      <c r="C9" s="456"/>
      <c r="D9" s="456"/>
      <c r="E9" s="329"/>
      <c r="F9" s="456" t="s">
        <v>141</v>
      </c>
      <c r="G9" s="456"/>
      <c r="H9" s="456"/>
    </row>
    <row r="10" spans="1:8" x14ac:dyDescent="0.25">
      <c r="A10" s="309"/>
      <c r="B10" s="455" t="s">
        <v>142</v>
      </c>
      <c r="C10" s="455"/>
      <c r="D10" s="455"/>
      <c r="E10" s="297"/>
      <c r="F10" s="455" t="s">
        <v>142</v>
      </c>
      <c r="G10" s="455"/>
      <c r="H10" s="455"/>
    </row>
    <row r="11" spans="1:8" ht="40.5" x14ac:dyDescent="0.25">
      <c r="A11" s="290" t="s">
        <v>240</v>
      </c>
      <c r="B11" s="343" t="s">
        <v>143</v>
      </c>
      <c r="C11" s="343" t="s">
        <v>144</v>
      </c>
      <c r="D11" s="343" t="s">
        <v>145</v>
      </c>
      <c r="E11" s="344"/>
      <c r="F11" s="343" t="s">
        <v>143</v>
      </c>
      <c r="G11" s="343" t="s">
        <v>144</v>
      </c>
      <c r="H11" s="343" t="s">
        <v>145</v>
      </c>
    </row>
    <row r="12" spans="1:8" x14ac:dyDescent="0.25">
      <c r="A12" s="334"/>
      <c r="B12" s="335"/>
      <c r="C12" s="335"/>
      <c r="D12" s="335"/>
      <c r="E12" s="336"/>
      <c r="F12" s="335"/>
      <c r="G12" s="335"/>
      <c r="H12" s="335"/>
    </row>
    <row r="13" spans="1:8" x14ac:dyDescent="0.25">
      <c r="A13" s="337" t="s">
        <v>148</v>
      </c>
      <c r="B13" s="338">
        <v>154253</v>
      </c>
      <c r="C13" s="338">
        <f>395197-1965-154253</f>
        <v>238979</v>
      </c>
      <c r="D13" s="338">
        <v>0</v>
      </c>
      <c r="E13" s="308"/>
      <c r="F13" s="338">
        <v>106772</v>
      </c>
      <c r="G13" s="338">
        <f>365320-106772-5397</f>
        <v>253151</v>
      </c>
      <c r="H13" s="338">
        <v>0</v>
      </c>
    </row>
    <row r="14" spans="1:8" x14ac:dyDescent="0.25">
      <c r="A14" s="339" t="s">
        <v>147</v>
      </c>
      <c r="B14" s="340" t="s">
        <v>45</v>
      </c>
      <c r="C14" s="340" t="s">
        <v>45</v>
      </c>
      <c r="D14" s="340">
        <v>0</v>
      </c>
      <c r="E14" s="308"/>
      <c r="F14" s="338" t="s">
        <v>45</v>
      </c>
      <c r="G14" s="338" t="s">
        <v>45</v>
      </c>
      <c r="H14" s="338">
        <v>0</v>
      </c>
    </row>
    <row r="15" spans="1:8" x14ac:dyDescent="0.25">
      <c r="A15" s="341" t="s">
        <v>29</v>
      </c>
      <c r="B15" s="342">
        <f>SUM(B13:B14)</f>
        <v>154253</v>
      </c>
      <c r="C15" s="342">
        <f>SUM(C13:C14)</f>
        <v>238979</v>
      </c>
      <c r="D15" s="342">
        <f>SUM(D13:D14)</f>
        <v>0</v>
      </c>
      <c r="E15" s="298"/>
      <c r="F15" s="342">
        <f>SUM(F13:F14)</f>
        <v>106772</v>
      </c>
      <c r="G15" s="342">
        <f>SUM(G13:G14)</f>
        <v>253151</v>
      </c>
      <c r="H15" s="342">
        <f>SUM(H13:H14)</f>
        <v>0</v>
      </c>
    </row>
  </sheetData>
  <mergeCells count="8">
    <mergeCell ref="B10:D10"/>
    <mergeCell ref="F10:H10"/>
    <mergeCell ref="B1:D1"/>
    <mergeCell ref="F1:H1"/>
    <mergeCell ref="B2:D2"/>
    <mergeCell ref="F2:H2"/>
    <mergeCell ref="B9:D9"/>
    <mergeCell ref="F9:H9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1"/>
  <sheetViews>
    <sheetView workbookViewId="0">
      <selection sqref="A1:C11"/>
    </sheetView>
  </sheetViews>
  <sheetFormatPr defaultColWidth="9.140625" defaultRowHeight="13.5" x14ac:dyDescent="0.25"/>
  <cols>
    <col min="1" max="1" width="33.42578125" style="238" customWidth="1"/>
    <col min="2" max="2" width="11.42578125" style="238" customWidth="1"/>
    <col min="3" max="3" width="11.85546875" style="238" customWidth="1"/>
    <col min="4" max="16384" width="9.140625" style="238"/>
  </cols>
  <sheetData>
    <row r="1" spans="1:3" x14ac:dyDescent="0.25">
      <c r="A1" s="290" t="s">
        <v>240</v>
      </c>
      <c r="B1" s="311" t="s">
        <v>301</v>
      </c>
      <c r="C1" s="311" t="s">
        <v>302</v>
      </c>
    </row>
    <row r="2" spans="1:3" x14ac:dyDescent="0.25">
      <c r="A2" s="345"/>
      <c r="B2" s="345"/>
      <c r="C2" s="345"/>
    </row>
    <row r="3" spans="1:3" x14ac:dyDescent="0.25">
      <c r="A3" s="346" t="s">
        <v>149</v>
      </c>
      <c r="B3" s="295">
        <v>25731</v>
      </c>
      <c r="C3" s="295">
        <v>28222</v>
      </c>
    </row>
    <row r="4" spans="1:3" ht="9.75" customHeight="1" x14ac:dyDescent="0.25">
      <c r="A4" s="347"/>
      <c r="B4" s="284"/>
      <c r="C4" s="284"/>
    </row>
    <row r="5" spans="1:3" x14ac:dyDescent="0.25">
      <c r="A5" s="347" t="s">
        <v>150</v>
      </c>
      <c r="B5" s="284">
        <v>11686</v>
      </c>
      <c r="C5" s="284">
        <v>22477</v>
      </c>
    </row>
    <row r="6" spans="1:3" x14ac:dyDescent="0.25">
      <c r="A6" s="347" t="s">
        <v>151</v>
      </c>
      <c r="B6" s="284">
        <v>0</v>
      </c>
      <c r="C6" s="284">
        <v>0</v>
      </c>
    </row>
    <row r="7" spans="1:3" x14ac:dyDescent="0.25">
      <c r="A7" s="347" t="s">
        <v>152</v>
      </c>
      <c r="B7" s="284">
        <v>10165</v>
      </c>
      <c r="C7" s="284">
        <v>0</v>
      </c>
    </row>
    <row r="8" spans="1:3" x14ac:dyDescent="0.25">
      <c r="A8" s="348" t="s">
        <v>153</v>
      </c>
      <c r="B8" s="349">
        <f>B7+B6+B5</f>
        <v>21851</v>
      </c>
      <c r="C8" s="349">
        <f>SUM(C5:C7)</f>
        <v>22477</v>
      </c>
    </row>
    <row r="9" spans="1:3" ht="9" customHeight="1" x14ac:dyDescent="0.25">
      <c r="A9" s="348"/>
      <c r="B9" s="349"/>
      <c r="C9" s="349"/>
    </row>
    <row r="10" spans="1:3" x14ac:dyDescent="0.25">
      <c r="A10" s="350" t="s">
        <v>154</v>
      </c>
      <c r="B10" s="351">
        <v>37700</v>
      </c>
      <c r="C10" s="351">
        <v>24967</v>
      </c>
    </row>
    <row r="11" spans="1:3" x14ac:dyDescent="0.25">
      <c r="A11" s="352" t="s">
        <v>155</v>
      </c>
      <c r="B11" s="288">
        <f>B3+B8-B10</f>
        <v>9882</v>
      </c>
      <c r="C11" s="288">
        <f>C3+C8-C10</f>
        <v>25732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"/>
  <sheetViews>
    <sheetView workbookViewId="0"/>
  </sheetViews>
  <sheetFormatPr defaultColWidth="9.140625" defaultRowHeight="11.25" x14ac:dyDescent="0.2"/>
  <cols>
    <col min="1" max="1" width="18.85546875" style="3" bestFit="1" customWidth="1"/>
    <col min="2" max="2" width="4.85546875" style="3" bestFit="1" customWidth="1"/>
    <col min="3" max="3" width="7.5703125" style="3" bestFit="1" customWidth="1"/>
    <col min="4" max="4" width="8.7109375" style="3" bestFit="1" customWidth="1"/>
    <col min="5" max="5" width="12.140625" style="3" customWidth="1"/>
    <col min="6" max="6" width="13" style="3" customWidth="1"/>
    <col min="7" max="16384" width="9.140625" style="3"/>
  </cols>
  <sheetData>
    <row r="1" spans="1:6" ht="33.75" x14ac:dyDescent="0.2">
      <c r="A1" s="78" t="s">
        <v>240</v>
      </c>
      <c r="B1" s="94" t="s">
        <v>156</v>
      </c>
      <c r="C1" s="94" t="s">
        <v>157</v>
      </c>
      <c r="D1" s="94" t="s">
        <v>158</v>
      </c>
      <c r="E1" s="95" t="s">
        <v>159</v>
      </c>
      <c r="F1" s="95" t="s">
        <v>160</v>
      </c>
    </row>
    <row r="2" spans="1:6" x14ac:dyDescent="0.2">
      <c r="A2" s="80"/>
      <c r="B2" s="88"/>
      <c r="C2" s="88"/>
      <c r="D2" s="88"/>
      <c r="E2" s="88"/>
      <c r="F2" s="88"/>
    </row>
    <row r="3" spans="1:6" ht="12" customHeight="1" x14ac:dyDescent="0.2">
      <c r="A3" s="100" t="s">
        <v>161</v>
      </c>
      <c r="B3" s="101"/>
      <c r="C3" s="102"/>
      <c r="D3" s="103"/>
      <c r="E3" s="104">
        <v>0</v>
      </c>
      <c r="F3" s="104">
        <v>0</v>
      </c>
    </row>
    <row r="4" spans="1:6" ht="12" customHeight="1" x14ac:dyDescent="0.2">
      <c r="A4" s="93" t="s">
        <v>162</v>
      </c>
      <c r="B4" s="105"/>
      <c r="C4" s="102"/>
      <c r="D4" s="102"/>
      <c r="E4" s="91">
        <f>SUM(E3:E3)</f>
        <v>0</v>
      </c>
      <c r="F4" s="91">
        <f>SUM(F3:F3)</f>
        <v>0</v>
      </c>
    </row>
    <row r="5" spans="1:6" ht="12" customHeight="1" x14ac:dyDescent="0.2">
      <c r="A5" s="92"/>
      <c r="B5" s="96"/>
      <c r="C5" s="79"/>
      <c r="D5" s="79"/>
      <c r="E5" s="97"/>
      <c r="F5" s="97"/>
    </row>
    <row r="6" spans="1:6" ht="12" customHeight="1" x14ac:dyDescent="0.2">
      <c r="A6" s="98" t="s">
        <v>163</v>
      </c>
      <c r="B6" s="79"/>
      <c r="C6" s="79"/>
      <c r="D6" s="79"/>
      <c r="E6" s="89"/>
      <c r="F6" s="89"/>
    </row>
    <row r="7" spans="1:6" ht="12" customHeight="1" x14ac:dyDescent="0.2">
      <c r="A7" s="92" t="s">
        <v>164</v>
      </c>
      <c r="B7" s="96" t="s">
        <v>0</v>
      </c>
      <c r="C7" s="99">
        <v>2.7E-2</v>
      </c>
      <c r="D7" s="62">
        <v>43313</v>
      </c>
      <c r="E7" s="89">
        <v>994794</v>
      </c>
      <c r="F7" s="89">
        <v>998249</v>
      </c>
    </row>
    <row r="8" spans="1:6" ht="12" customHeight="1" x14ac:dyDescent="0.2">
      <c r="A8" s="106" t="s">
        <v>165</v>
      </c>
      <c r="B8" s="88" t="s">
        <v>0</v>
      </c>
      <c r="C8" s="107">
        <v>2.9000000000000001E-2</v>
      </c>
      <c r="D8" s="76">
        <v>43190</v>
      </c>
      <c r="E8" s="53">
        <v>398997</v>
      </c>
      <c r="F8" s="53">
        <v>0</v>
      </c>
    </row>
    <row r="9" spans="1:6" ht="12" customHeight="1" x14ac:dyDescent="0.2">
      <c r="A9" s="93" t="s">
        <v>166</v>
      </c>
      <c r="B9" s="105"/>
      <c r="C9" s="102"/>
      <c r="D9" s="102"/>
      <c r="E9" s="91">
        <f>SUM(E7:E8)</f>
        <v>1393791</v>
      </c>
      <c r="F9" s="91">
        <f>SUM(F7:F8)</f>
        <v>998249</v>
      </c>
    </row>
    <row r="10" spans="1:6" ht="12" customHeight="1" x14ac:dyDescent="0.2">
      <c r="A10" s="92"/>
      <c r="B10" s="96"/>
      <c r="C10" s="79"/>
      <c r="D10" s="79"/>
      <c r="E10" s="89"/>
      <c r="F10" s="89"/>
    </row>
    <row r="11" spans="1:6" ht="12" customHeight="1" x14ac:dyDescent="0.2">
      <c r="A11" s="108" t="s">
        <v>29</v>
      </c>
      <c r="B11" s="109"/>
      <c r="C11" s="80"/>
      <c r="D11" s="80"/>
      <c r="E11" s="110">
        <f>E4+E9</f>
        <v>1393791</v>
      </c>
      <c r="F11" s="110">
        <f>F4+F9</f>
        <v>998249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zoomScaleNormal="100" workbookViewId="0">
      <selection activeCell="B4" sqref="B4:F5"/>
    </sheetView>
  </sheetViews>
  <sheetFormatPr defaultColWidth="9.140625" defaultRowHeight="12.75" x14ac:dyDescent="0.25"/>
  <cols>
    <col min="1" max="1" width="16.5703125" style="241" customWidth="1"/>
    <col min="2" max="2" width="9.140625" style="241" customWidth="1"/>
    <col min="3" max="3" width="8.5703125" style="241" customWidth="1"/>
    <col min="4" max="4" width="8.7109375" style="241" customWidth="1"/>
    <col min="5" max="5" width="7.7109375" style="241" customWidth="1"/>
    <col min="6" max="6" width="6.7109375" style="241" customWidth="1"/>
    <col min="7" max="7" width="8.28515625" style="241" customWidth="1"/>
    <col min="8" max="8" width="7.28515625" style="241" bestFit="1" customWidth="1"/>
    <col min="9" max="9" width="6.85546875" style="241" bestFit="1" customWidth="1"/>
    <col min="10" max="16384" width="9.140625" style="241"/>
  </cols>
  <sheetData>
    <row r="1" spans="1:10" ht="26.25" customHeight="1" x14ac:dyDescent="0.25">
      <c r="A1" s="353" t="s">
        <v>171</v>
      </c>
      <c r="B1" s="458" t="s">
        <v>304</v>
      </c>
      <c r="C1" s="458"/>
      <c r="D1" s="459" t="s">
        <v>305</v>
      </c>
      <c r="E1" s="459"/>
      <c r="F1" s="459" t="s">
        <v>172</v>
      </c>
      <c r="G1" s="459"/>
      <c r="H1" s="460" t="s">
        <v>29</v>
      </c>
      <c r="I1" s="460"/>
      <c r="J1" s="289"/>
    </row>
    <row r="2" spans="1:10" x14ac:dyDescent="0.25">
      <c r="A2" s="353" t="s">
        <v>173</v>
      </c>
      <c r="B2" s="353">
        <v>2021</v>
      </c>
      <c r="C2" s="353">
        <v>2020</v>
      </c>
      <c r="D2" s="353">
        <v>2021</v>
      </c>
      <c r="E2" s="353">
        <v>2020</v>
      </c>
      <c r="F2" s="353">
        <v>2021</v>
      </c>
      <c r="G2" s="353">
        <v>2020</v>
      </c>
      <c r="H2" s="354">
        <v>2021</v>
      </c>
      <c r="I2" s="354">
        <v>2020</v>
      </c>
      <c r="J2" s="289"/>
    </row>
    <row r="3" spans="1:10" x14ac:dyDescent="0.25">
      <c r="A3" s="355"/>
      <c r="B3" s="355"/>
      <c r="C3" s="355"/>
      <c r="D3" s="355"/>
      <c r="E3" s="355"/>
      <c r="F3" s="355"/>
      <c r="G3" s="355"/>
      <c r="H3" s="356"/>
      <c r="I3" s="356"/>
      <c r="J3" s="289"/>
    </row>
    <row r="4" spans="1:10" x14ac:dyDescent="0.25">
      <c r="A4" s="357" t="s">
        <v>174</v>
      </c>
      <c r="B4" s="248">
        <v>770753</v>
      </c>
      <c r="C4" s="248">
        <v>387113</v>
      </c>
      <c r="D4" s="248">
        <v>1156531</v>
      </c>
      <c r="E4" s="248">
        <v>459091</v>
      </c>
      <c r="F4" s="248">
        <v>25112</v>
      </c>
      <c r="G4" s="248"/>
      <c r="H4" s="358">
        <f>B4+D4+F4</f>
        <v>1952396</v>
      </c>
      <c r="I4" s="358">
        <f>C4+E4+G4</f>
        <v>846204</v>
      </c>
      <c r="J4" s="289"/>
    </row>
    <row r="5" spans="1:10" ht="11.25" customHeight="1" x14ac:dyDescent="0.25">
      <c r="A5" s="359" t="s">
        <v>175</v>
      </c>
      <c r="B5" s="360">
        <v>1605618</v>
      </c>
      <c r="C5" s="360">
        <v>1509756</v>
      </c>
      <c r="D5" s="360">
        <v>1309530</v>
      </c>
      <c r="E5" s="360">
        <v>1206657</v>
      </c>
      <c r="F5" s="360">
        <v>0</v>
      </c>
      <c r="G5" s="360">
        <v>0</v>
      </c>
      <c r="H5" s="358">
        <f>B5+D5+F5</f>
        <v>2915148</v>
      </c>
      <c r="I5" s="358">
        <f>C5+E5+G5</f>
        <v>2716413</v>
      </c>
      <c r="J5" s="289"/>
    </row>
    <row r="6" spans="1:10" ht="13.5" customHeight="1" x14ac:dyDescent="0.25">
      <c r="A6" s="361" t="s">
        <v>29</v>
      </c>
      <c r="B6" s="362">
        <f t="shared" ref="B6:G6" si="0">SUM(B4:B5)</f>
        <v>2376371</v>
      </c>
      <c r="C6" s="362">
        <f t="shared" si="0"/>
        <v>1896869</v>
      </c>
      <c r="D6" s="362">
        <f t="shared" si="0"/>
        <v>2466061</v>
      </c>
      <c r="E6" s="362">
        <f t="shared" si="0"/>
        <v>1665748</v>
      </c>
      <c r="F6" s="362">
        <f t="shared" si="0"/>
        <v>25112</v>
      </c>
      <c r="G6" s="362">
        <f t="shared" si="0"/>
        <v>0</v>
      </c>
      <c r="H6" s="362">
        <f>SUM(H4:H5)</f>
        <v>4867544</v>
      </c>
      <c r="I6" s="362">
        <f>SUM(I4:I5)</f>
        <v>3562617</v>
      </c>
      <c r="J6" s="289"/>
    </row>
    <row r="7" spans="1:10" x14ac:dyDescent="0.25">
      <c r="A7" s="363"/>
      <c r="B7" s="363"/>
      <c r="C7" s="363"/>
      <c r="D7" s="363"/>
      <c r="E7" s="363"/>
      <c r="F7" s="363"/>
      <c r="G7" s="363"/>
      <c r="H7" s="289"/>
      <c r="I7" s="312"/>
      <c r="J7" s="312"/>
    </row>
    <row r="8" spans="1:10" x14ac:dyDescent="0.25">
      <c r="H8" s="364"/>
      <c r="I8" s="312"/>
      <c r="J8" s="312"/>
    </row>
    <row r="9" spans="1:10" x14ac:dyDescent="0.25">
      <c r="H9" s="312"/>
      <c r="I9" s="312"/>
      <c r="J9" s="312"/>
    </row>
    <row r="10" spans="1:10" x14ac:dyDescent="0.25">
      <c r="D10" s="365"/>
    </row>
  </sheetData>
  <mergeCells count="4">
    <mergeCell ref="B1:C1"/>
    <mergeCell ref="D1:E1"/>
    <mergeCell ref="H1:I1"/>
    <mergeCell ref="F1:G1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7"/>
  <sheetViews>
    <sheetView topLeftCell="A16" workbookViewId="0">
      <selection activeCell="A23" sqref="A23:C27"/>
    </sheetView>
  </sheetViews>
  <sheetFormatPr defaultColWidth="8.7109375" defaultRowHeight="13.5" x14ac:dyDescent="0.25"/>
  <cols>
    <col min="1" max="1" width="56" style="377" customWidth="1"/>
    <col min="2" max="2" width="8.42578125" style="377" bestFit="1" customWidth="1"/>
    <col min="3" max="3" width="8.140625" style="377" bestFit="1" customWidth="1"/>
    <col min="4" max="16384" width="8.7109375" style="377"/>
  </cols>
  <sheetData>
    <row r="1" spans="1:3" ht="14.45" customHeight="1" x14ac:dyDescent="0.25">
      <c r="A1" s="375" t="s">
        <v>20</v>
      </c>
      <c r="B1" s="376">
        <v>2021</v>
      </c>
      <c r="C1" s="376">
        <v>2020</v>
      </c>
    </row>
    <row r="2" spans="1:3" x14ac:dyDescent="0.25">
      <c r="A2" s="378" t="s">
        <v>176</v>
      </c>
      <c r="B2" s="379">
        <v>0</v>
      </c>
      <c r="C2" s="379">
        <v>0</v>
      </c>
    </row>
    <row r="3" spans="1:3" ht="17.100000000000001" customHeight="1" x14ac:dyDescent="0.25">
      <c r="A3" s="378" t="s">
        <v>21</v>
      </c>
      <c r="B3" s="380">
        <f>SUM(B4:B6)</f>
        <v>63098</v>
      </c>
      <c r="C3" s="380">
        <f>SUM(C4:C7)</f>
        <v>11041</v>
      </c>
    </row>
    <row r="4" spans="1:3" ht="14.1" customHeight="1" x14ac:dyDescent="0.25">
      <c r="A4" s="381" t="s">
        <v>317</v>
      </c>
      <c r="B4" s="382">
        <v>17167</v>
      </c>
      <c r="C4" s="382">
        <v>10110</v>
      </c>
    </row>
    <row r="5" spans="1:3" x14ac:dyDescent="0.25">
      <c r="A5" s="381" t="s">
        <v>318</v>
      </c>
      <c r="B5" s="382">
        <v>2594</v>
      </c>
      <c r="C5" s="382">
        <v>931</v>
      </c>
    </row>
    <row r="6" spans="1:3" x14ac:dyDescent="0.25">
      <c r="A6" s="381" t="s">
        <v>319</v>
      </c>
      <c r="B6" s="382">
        <v>43337</v>
      </c>
      <c r="C6" s="382"/>
    </row>
    <row r="7" spans="1:3" x14ac:dyDescent="0.25">
      <c r="A7" s="381" t="s">
        <v>192</v>
      </c>
      <c r="B7" s="382">
        <f>69521-63098</f>
        <v>6423</v>
      </c>
      <c r="C7" s="382"/>
    </row>
    <row r="8" spans="1:3" x14ac:dyDescent="0.25">
      <c r="A8" s="381"/>
      <c r="B8" s="382"/>
      <c r="C8" s="383"/>
    </row>
    <row r="9" spans="1:3" x14ac:dyDescent="0.25">
      <c r="A9" s="381"/>
      <c r="B9" s="382"/>
      <c r="C9" s="382"/>
    </row>
    <row r="10" spans="1:3" ht="16.5" customHeight="1" x14ac:dyDescent="0.25">
      <c r="A10" s="375" t="s">
        <v>20</v>
      </c>
      <c r="B10" s="376">
        <v>2021</v>
      </c>
      <c r="C10" s="376">
        <v>2020</v>
      </c>
    </row>
    <row r="11" spans="1:3" x14ac:dyDescent="0.25">
      <c r="A11" s="384" t="s">
        <v>22</v>
      </c>
      <c r="B11" s="385">
        <f>B16+B18+B12+B13+B14+B15</f>
        <v>1196926</v>
      </c>
      <c r="C11" s="385">
        <f>C16+C18+C12+C13+C14+C15</f>
        <v>436987</v>
      </c>
    </row>
    <row r="12" spans="1:3" x14ac:dyDescent="0.25">
      <c r="A12" s="386" t="s">
        <v>321</v>
      </c>
      <c r="B12" s="387">
        <v>613224</v>
      </c>
      <c r="C12" s="387">
        <v>200382</v>
      </c>
    </row>
    <row r="13" spans="1:3" x14ac:dyDescent="0.25">
      <c r="A13" s="386" t="s">
        <v>322</v>
      </c>
      <c r="B13" s="387">
        <v>406012</v>
      </c>
      <c r="C13" s="388"/>
    </row>
    <row r="14" spans="1:3" x14ac:dyDescent="0.25">
      <c r="A14" s="389" t="s">
        <v>323</v>
      </c>
      <c r="B14" s="387">
        <v>177383</v>
      </c>
      <c r="C14" s="387">
        <v>215361</v>
      </c>
    </row>
    <row r="15" spans="1:3" x14ac:dyDescent="0.25">
      <c r="A15" s="389" t="s">
        <v>320</v>
      </c>
      <c r="B15" s="387">
        <v>273</v>
      </c>
      <c r="C15" s="387">
        <v>20254</v>
      </c>
    </row>
    <row r="16" spans="1:3" x14ac:dyDescent="0.25">
      <c r="A16" s="390" t="s">
        <v>23</v>
      </c>
      <c r="B16" s="237">
        <v>2</v>
      </c>
      <c r="C16" s="237">
        <v>989</v>
      </c>
    </row>
    <row r="17" spans="1:3" x14ac:dyDescent="0.25">
      <c r="A17" s="381" t="s">
        <v>24</v>
      </c>
      <c r="B17" s="383">
        <v>0</v>
      </c>
      <c r="C17" s="383">
        <v>0</v>
      </c>
    </row>
    <row r="18" spans="1:3" x14ac:dyDescent="0.25">
      <c r="A18" s="390" t="s">
        <v>25</v>
      </c>
      <c r="B18" s="391">
        <f>SUM(B19:B19)</f>
        <v>32</v>
      </c>
      <c r="C18" s="391">
        <f>SUM(C19:C19)</f>
        <v>1</v>
      </c>
    </row>
    <row r="19" spans="1:3" x14ac:dyDescent="0.25">
      <c r="A19" s="381" t="s">
        <v>26</v>
      </c>
      <c r="B19" s="382">
        <v>32</v>
      </c>
      <c r="C19" s="382">
        <v>1</v>
      </c>
    </row>
    <row r="22" spans="1:3" x14ac:dyDescent="0.25">
      <c r="A22" s="386"/>
    </row>
    <row r="23" spans="1:3" x14ac:dyDescent="0.25">
      <c r="A23" s="392"/>
      <c r="B23" s="393">
        <v>2021</v>
      </c>
      <c r="C23" s="393">
        <v>2020</v>
      </c>
    </row>
    <row r="24" spans="1:3" x14ac:dyDescent="0.25">
      <c r="A24" s="386" t="s">
        <v>179</v>
      </c>
      <c r="B24" s="394">
        <v>4842432</v>
      </c>
      <c r="C24" s="394">
        <v>3562617</v>
      </c>
    </row>
    <row r="25" spans="1:3" x14ac:dyDescent="0.25">
      <c r="A25" s="386" t="s">
        <v>177</v>
      </c>
      <c r="B25" s="394">
        <v>5969698</v>
      </c>
      <c r="C25" s="394">
        <v>4265977</v>
      </c>
    </row>
    <row r="26" spans="1:3" x14ac:dyDescent="0.25">
      <c r="A26" s="386" t="s">
        <v>324</v>
      </c>
      <c r="B26" s="394">
        <v>25112</v>
      </c>
      <c r="C26" s="394">
        <v>0</v>
      </c>
    </row>
    <row r="27" spans="1:3" x14ac:dyDescent="0.25">
      <c r="A27" s="395" t="s">
        <v>178</v>
      </c>
      <c r="B27" s="396">
        <f>SUM(B24:B26)</f>
        <v>10837242</v>
      </c>
      <c r="C27" s="396">
        <f>SUM(C24:C26)</f>
        <v>7828594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1AC2-D6AF-4D69-B9F7-FB97F90C9FD2}">
  <dimension ref="A1:F13"/>
  <sheetViews>
    <sheetView workbookViewId="0">
      <selection activeCell="Y41" sqref="Y41"/>
    </sheetView>
  </sheetViews>
  <sheetFormatPr defaultRowHeight="12.75" x14ac:dyDescent="0.25"/>
  <cols>
    <col min="1" max="1" width="23.7109375" style="241" customWidth="1"/>
    <col min="2" max="16384" width="9.140625" style="241"/>
  </cols>
  <sheetData>
    <row r="1" spans="1:6" x14ac:dyDescent="0.25">
      <c r="A1" s="463" t="s">
        <v>240</v>
      </c>
      <c r="B1" s="366">
        <v>2021</v>
      </c>
      <c r="C1" s="462">
        <v>2020</v>
      </c>
      <c r="D1" s="462"/>
      <c r="E1" s="461" t="s">
        <v>306</v>
      </c>
      <c r="F1" s="461"/>
    </row>
    <row r="2" spans="1:6" ht="32.25" customHeight="1" x14ac:dyDescent="0.25">
      <c r="A2" s="463"/>
      <c r="B2" s="368" t="s">
        <v>307</v>
      </c>
      <c r="C2" s="368" t="s">
        <v>307</v>
      </c>
      <c r="D2" s="368" t="s">
        <v>308</v>
      </c>
      <c r="E2" s="367">
        <v>2021</v>
      </c>
      <c r="F2" s="367">
        <v>2020</v>
      </c>
    </row>
    <row r="3" spans="1:6" x14ac:dyDescent="0.25">
      <c r="A3" s="246" t="s">
        <v>252</v>
      </c>
      <c r="B3" s="369" t="s">
        <v>253</v>
      </c>
      <c r="C3" s="369" t="s">
        <v>254</v>
      </c>
      <c r="D3" s="369" t="s">
        <v>255</v>
      </c>
      <c r="E3" s="369" t="s">
        <v>259</v>
      </c>
      <c r="F3" s="369" t="s">
        <v>260</v>
      </c>
    </row>
    <row r="4" spans="1:6" ht="25.5" x14ac:dyDescent="0.25">
      <c r="A4" s="357" t="s">
        <v>309</v>
      </c>
      <c r="B4" s="249">
        <v>0</v>
      </c>
      <c r="C4" s="249">
        <v>0</v>
      </c>
      <c r="D4" s="249">
        <v>0</v>
      </c>
      <c r="E4" s="249">
        <v>0</v>
      </c>
      <c r="F4" s="249">
        <v>0</v>
      </c>
    </row>
    <row r="5" spans="1:6" x14ac:dyDescent="0.25">
      <c r="A5" s="357" t="s">
        <v>310</v>
      </c>
      <c r="B5" s="249">
        <v>28300</v>
      </c>
      <c r="C5" s="249">
        <v>45795</v>
      </c>
      <c r="D5" s="249">
        <v>60247</v>
      </c>
      <c r="E5" s="272">
        <f>B5-C5</f>
        <v>-17495</v>
      </c>
      <c r="F5" s="272">
        <f>C5-D5</f>
        <v>-14452</v>
      </c>
    </row>
    <row r="6" spans="1:6" x14ac:dyDescent="0.25">
      <c r="A6" s="357" t="s">
        <v>311</v>
      </c>
      <c r="B6" s="249">
        <v>0</v>
      </c>
      <c r="C6" s="249">
        <v>0</v>
      </c>
      <c r="D6" s="249">
        <v>0</v>
      </c>
      <c r="E6" s="370">
        <v>0</v>
      </c>
      <c r="F6" s="370">
        <v>0</v>
      </c>
    </row>
    <row r="7" spans="1:6" x14ac:dyDescent="0.25">
      <c r="A7" s="371" t="s">
        <v>29</v>
      </c>
      <c r="B7" s="373">
        <f>SUM(B4:B6)</f>
        <v>28300</v>
      </c>
      <c r="C7" s="373">
        <f t="shared" ref="C7:D7" si="0">SUM(C4:C6)</f>
        <v>45795</v>
      </c>
      <c r="D7" s="373">
        <f t="shared" si="0"/>
        <v>60247</v>
      </c>
      <c r="E7" s="373">
        <f t="shared" ref="E7" si="1">SUM(E4:E6)</f>
        <v>-17495</v>
      </c>
      <c r="F7" s="373">
        <f t="shared" ref="F7" si="2">SUM(F4:F6)</f>
        <v>-14452</v>
      </c>
    </row>
    <row r="8" spans="1:6" x14ac:dyDescent="0.25">
      <c r="A8" s="357"/>
      <c r="B8" s="249"/>
      <c r="C8" s="249"/>
      <c r="D8" s="249"/>
      <c r="E8" s="249"/>
      <c r="F8" s="249"/>
    </row>
    <row r="9" spans="1:6" x14ac:dyDescent="0.25">
      <c r="A9" s="357" t="s">
        <v>312</v>
      </c>
      <c r="B9" s="249" t="s">
        <v>45</v>
      </c>
      <c r="C9" s="249" t="s">
        <v>45</v>
      </c>
      <c r="D9" s="249" t="s">
        <v>45</v>
      </c>
      <c r="E9" s="249">
        <v>0</v>
      </c>
      <c r="F9" s="249">
        <v>0</v>
      </c>
    </row>
    <row r="10" spans="1:6" x14ac:dyDescent="0.25">
      <c r="A10" s="357" t="s">
        <v>313</v>
      </c>
      <c r="B10" s="249" t="s">
        <v>45</v>
      </c>
      <c r="C10" s="249" t="s">
        <v>45</v>
      </c>
      <c r="D10" s="249" t="s">
        <v>45</v>
      </c>
      <c r="E10" s="249">
        <v>0</v>
      </c>
      <c r="F10" s="249">
        <v>0</v>
      </c>
    </row>
    <row r="11" spans="1:6" x14ac:dyDescent="0.25">
      <c r="A11" s="357" t="s">
        <v>314</v>
      </c>
      <c r="B11" s="249" t="s">
        <v>45</v>
      </c>
      <c r="C11" s="249" t="s">
        <v>45</v>
      </c>
      <c r="D11" s="249" t="s">
        <v>45</v>
      </c>
      <c r="E11" s="249">
        <v>0</v>
      </c>
      <c r="F11" s="249">
        <v>0</v>
      </c>
    </row>
    <row r="12" spans="1:6" x14ac:dyDescent="0.25">
      <c r="A12" s="357" t="s">
        <v>315</v>
      </c>
      <c r="B12" s="249" t="s">
        <v>45</v>
      </c>
      <c r="C12" s="249" t="s">
        <v>45</v>
      </c>
      <c r="D12" s="249" t="s">
        <v>45</v>
      </c>
      <c r="E12" s="249">
        <v>0</v>
      </c>
      <c r="F12" s="249">
        <v>0</v>
      </c>
    </row>
    <row r="13" spans="1:6" x14ac:dyDescent="0.25">
      <c r="A13" s="372" t="s">
        <v>316</v>
      </c>
      <c r="B13" s="249"/>
      <c r="C13" s="249"/>
      <c r="D13" s="249"/>
      <c r="E13" s="374">
        <v>-17496</v>
      </c>
      <c r="F13" s="374">
        <v>-14452</v>
      </c>
    </row>
  </sheetData>
  <mergeCells count="3">
    <mergeCell ref="E1:F1"/>
    <mergeCell ref="C1:D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120" zoomScaleNormal="120" workbookViewId="0">
      <selection activeCell="C13" sqref="C13"/>
    </sheetView>
  </sheetViews>
  <sheetFormatPr defaultColWidth="9.140625" defaultRowHeight="15" x14ac:dyDescent="0.25"/>
  <cols>
    <col min="1" max="1" width="24.7109375" style="1" bestFit="1" customWidth="1"/>
    <col min="2" max="2" width="7.5703125" style="1" bestFit="1" customWidth="1"/>
    <col min="3" max="3" width="5.85546875" style="1" bestFit="1" customWidth="1"/>
    <col min="4" max="4" width="8.42578125" style="1" bestFit="1" customWidth="1"/>
    <col min="5" max="5" width="6.5703125" style="1" bestFit="1" customWidth="1"/>
    <col min="6" max="6" width="7.85546875" style="1" bestFit="1" customWidth="1"/>
    <col min="7" max="7" width="8.85546875" style="1" bestFit="1" customWidth="1"/>
    <col min="8" max="8" width="9.28515625" style="1" bestFit="1" customWidth="1"/>
    <col min="9" max="9" width="5.85546875" style="1" bestFit="1" customWidth="1"/>
    <col min="10" max="16384" width="9.140625" style="1"/>
  </cols>
  <sheetData>
    <row r="1" spans="1:9" x14ac:dyDescent="0.25">
      <c r="A1" s="445" t="s">
        <v>241</v>
      </c>
      <c r="B1" s="445"/>
      <c r="C1" s="445"/>
      <c r="D1" s="445"/>
      <c r="E1" s="445"/>
      <c r="F1" s="445"/>
      <c r="G1" s="445"/>
      <c r="H1" s="445"/>
      <c r="I1" s="445"/>
    </row>
    <row r="2" spans="1:9" ht="60" x14ac:dyDescent="0.25">
      <c r="A2" s="168"/>
      <c r="B2" s="169" t="s">
        <v>50</v>
      </c>
      <c r="C2" s="169" t="s">
        <v>51</v>
      </c>
      <c r="D2" s="169" t="s">
        <v>52</v>
      </c>
      <c r="E2" s="169" t="s">
        <v>53</v>
      </c>
      <c r="F2" s="169" t="s">
        <v>54</v>
      </c>
      <c r="G2" s="169" t="s">
        <v>55</v>
      </c>
      <c r="H2" s="169" t="s">
        <v>56</v>
      </c>
      <c r="I2" s="170" t="s">
        <v>29</v>
      </c>
    </row>
    <row r="3" spans="1:9" ht="12" customHeight="1" x14ac:dyDescent="0.25">
      <c r="A3" s="171" t="s">
        <v>57</v>
      </c>
      <c r="B3" s="172"/>
      <c r="C3" s="172"/>
      <c r="D3" s="172"/>
      <c r="E3" s="172"/>
      <c r="F3" s="172"/>
      <c r="G3" s="172"/>
      <c r="H3" s="172"/>
      <c r="I3" s="172"/>
    </row>
    <row r="4" spans="1:9" s="13" customFormat="1" ht="12" customHeight="1" x14ac:dyDescent="0.25">
      <c r="A4" s="173" t="s">
        <v>58</v>
      </c>
      <c r="B4" s="174">
        <v>0</v>
      </c>
      <c r="C4" s="174">
        <v>79467</v>
      </c>
      <c r="D4" s="174">
        <v>116</v>
      </c>
      <c r="E4" s="174">
        <v>0</v>
      </c>
      <c r="F4" s="174">
        <v>1062</v>
      </c>
      <c r="G4" s="174">
        <v>0</v>
      </c>
      <c r="H4" s="174">
        <v>0</v>
      </c>
      <c r="I4" s="175">
        <f>SUM(B4:H4)</f>
        <v>80645</v>
      </c>
    </row>
    <row r="5" spans="1:9" ht="12" customHeight="1" x14ac:dyDescent="0.25">
      <c r="A5" s="176" t="s">
        <v>59</v>
      </c>
      <c r="B5" s="177">
        <v>0</v>
      </c>
      <c r="C5" s="177">
        <v>16312</v>
      </c>
      <c r="D5" s="177">
        <v>0</v>
      </c>
      <c r="E5" s="177">
        <v>0</v>
      </c>
      <c r="F5" s="177">
        <v>0</v>
      </c>
      <c r="G5" s="177">
        <v>0</v>
      </c>
      <c r="H5" s="177">
        <v>0</v>
      </c>
      <c r="I5" s="175">
        <f t="shared" ref="I5:I13" si="0">SUM(B5:H5)</f>
        <v>16312</v>
      </c>
    </row>
    <row r="6" spans="1:9" ht="12" customHeight="1" x14ac:dyDescent="0.25">
      <c r="A6" s="176" t="s">
        <v>60</v>
      </c>
      <c r="B6" s="177">
        <v>0</v>
      </c>
      <c r="C6" s="177">
        <v>0</v>
      </c>
      <c r="D6" s="177">
        <v>0</v>
      </c>
      <c r="E6" s="177">
        <v>0</v>
      </c>
      <c r="F6" s="177">
        <v>0</v>
      </c>
      <c r="G6" s="177">
        <v>0</v>
      </c>
      <c r="H6" s="177">
        <v>0</v>
      </c>
      <c r="I6" s="175">
        <f t="shared" si="0"/>
        <v>0</v>
      </c>
    </row>
    <row r="7" spans="1:9" ht="12" customHeight="1" x14ac:dyDescent="0.25">
      <c r="A7" s="176" t="s">
        <v>61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  <c r="H7" s="177">
        <v>0</v>
      </c>
      <c r="I7" s="175">
        <f t="shared" si="0"/>
        <v>0</v>
      </c>
    </row>
    <row r="8" spans="1:9" s="13" customFormat="1" ht="12" customHeight="1" x14ac:dyDescent="0.25">
      <c r="A8" s="178" t="s">
        <v>62</v>
      </c>
      <c r="B8" s="179">
        <f>SUM(B4,B5,-B6,B7)</f>
        <v>0</v>
      </c>
      <c r="C8" s="179">
        <f>SUM(C4,C5,-C6,C7)</f>
        <v>95779</v>
      </c>
      <c r="D8" s="179">
        <f t="shared" ref="D8:H8" si="1">SUM(D4,D5,-D6,D7)</f>
        <v>116</v>
      </c>
      <c r="E8" s="179">
        <f t="shared" si="1"/>
        <v>0</v>
      </c>
      <c r="F8" s="179">
        <f t="shared" si="1"/>
        <v>1062</v>
      </c>
      <c r="G8" s="179">
        <f t="shared" si="1"/>
        <v>0</v>
      </c>
      <c r="H8" s="179">
        <f t="shared" si="1"/>
        <v>0</v>
      </c>
      <c r="I8" s="180">
        <f t="shared" si="0"/>
        <v>96957</v>
      </c>
    </row>
    <row r="9" spans="1:9" ht="12" customHeight="1" x14ac:dyDescent="0.25">
      <c r="A9" s="171" t="s">
        <v>63</v>
      </c>
      <c r="B9" s="172"/>
      <c r="C9" s="172"/>
      <c r="D9" s="172"/>
      <c r="E9" s="172"/>
      <c r="F9" s="172"/>
      <c r="G9" s="172"/>
      <c r="H9" s="172"/>
      <c r="I9" s="172"/>
    </row>
    <row r="10" spans="1:9" s="13" customFormat="1" ht="12" customHeight="1" x14ac:dyDescent="0.25">
      <c r="A10" s="173" t="s">
        <v>58</v>
      </c>
      <c r="B10" s="174">
        <v>0</v>
      </c>
      <c r="C10" s="174">
        <v>61656</v>
      </c>
      <c r="D10" s="174">
        <v>116</v>
      </c>
      <c r="E10" s="174">
        <v>0</v>
      </c>
      <c r="F10" s="174">
        <v>1062</v>
      </c>
      <c r="G10" s="174">
        <v>0</v>
      </c>
      <c r="H10" s="174">
        <v>0</v>
      </c>
      <c r="I10" s="175">
        <f t="shared" si="0"/>
        <v>62834</v>
      </c>
    </row>
    <row r="11" spans="1:9" ht="12" customHeight="1" x14ac:dyDescent="0.25">
      <c r="A11" s="176" t="s">
        <v>59</v>
      </c>
      <c r="B11" s="177">
        <v>0</v>
      </c>
      <c r="C11" s="177">
        <v>7860</v>
      </c>
      <c r="D11" s="177">
        <v>0</v>
      </c>
      <c r="E11" s="177">
        <v>0</v>
      </c>
      <c r="F11" s="177">
        <v>0</v>
      </c>
      <c r="G11" s="177">
        <v>0</v>
      </c>
      <c r="H11" s="177">
        <v>0</v>
      </c>
      <c r="I11" s="175">
        <f t="shared" si="0"/>
        <v>7860</v>
      </c>
    </row>
    <row r="12" spans="1:9" ht="12" customHeight="1" x14ac:dyDescent="0.25">
      <c r="A12" s="176" t="s">
        <v>60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H12" s="177">
        <v>0</v>
      </c>
      <c r="I12" s="175">
        <f t="shared" si="0"/>
        <v>0</v>
      </c>
    </row>
    <row r="13" spans="1:9" ht="12" customHeight="1" x14ac:dyDescent="0.25">
      <c r="A13" s="178" t="s">
        <v>62</v>
      </c>
      <c r="B13" s="181">
        <f>SUM(B10,B11,-B12)</f>
        <v>0</v>
      </c>
      <c r="C13" s="179">
        <f>SUM(C10,C11,-C12)</f>
        <v>69516</v>
      </c>
      <c r="D13" s="181">
        <f t="shared" ref="D13:H13" si="2">SUM(D10,D11,-D12)</f>
        <v>116</v>
      </c>
      <c r="E13" s="181">
        <f t="shared" si="2"/>
        <v>0</v>
      </c>
      <c r="F13" s="181">
        <f t="shared" si="2"/>
        <v>1062</v>
      </c>
      <c r="G13" s="181">
        <f t="shared" si="2"/>
        <v>0</v>
      </c>
      <c r="H13" s="181">
        <f t="shared" si="2"/>
        <v>0</v>
      </c>
      <c r="I13" s="180">
        <f t="shared" si="0"/>
        <v>70694</v>
      </c>
    </row>
    <row r="14" spans="1:9" ht="12" customHeight="1" x14ac:dyDescent="0.25">
      <c r="A14" s="171" t="s">
        <v>64</v>
      </c>
      <c r="B14" s="172"/>
      <c r="C14" s="172"/>
      <c r="D14" s="172"/>
      <c r="E14" s="172"/>
      <c r="F14" s="172"/>
      <c r="G14" s="172"/>
      <c r="H14" s="172"/>
      <c r="I14" s="172"/>
    </row>
    <row r="15" spans="1:9" s="13" customFormat="1" ht="12" customHeight="1" x14ac:dyDescent="0.25">
      <c r="A15" s="173" t="s">
        <v>58</v>
      </c>
      <c r="B15" s="174">
        <v>0</v>
      </c>
      <c r="C15" s="174">
        <v>0</v>
      </c>
      <c r="D15" s="174">
        <v>0</v>
      </c>
      <c r="E15" s="174">
        <v>0</v>
      </c>
      <c r="F15" s="174">
        <v>0</v>
      </c>
      <c r="G15" s="174">
        <v>0</v>
      </c>
      <c r="H15" s="174">
        <v>0</v>
      </c>
      <c r="I15" s="175">
        <f t="shared" ref="I15:I18" si="3">SUM(B15:H15)</f>
        <v>0</v>
      </c>
    </row>
    <row r="16" spans="1:9" ht="12" customHeight="1" x14ac:dyDescent="0.25">
      <c r="A16" s="176" t="s">
        <v>59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  <c r="H16" s="177">
        <v>0</v>
      </c>
      <c r="I16" s="175">
        <f t="shared" si="3"/>
        <v>0</v>
      </c>
    </row>
    <row r="17" spans="1:9" ht="12" customHeight="1" x14ac:dyDescent="0.25">
      <c r="A17" s="176" t="s">
        <v>60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  <c r="H17" s="177">
        <v>0</v>
      </c>
      <c r="I17" s="175">
        <f t="shared" si="3"/>
        <v>0</v>
      </c>
    </row>
    <row r="18" spans="1:9" s="13" customFormat="1" ht="12" customHeight="1" x14ac:dyDescent="0.25">
      <c r="A18" s="178" t="s">
        <v>62</v>
      </c>
      <c r="B18" s="179">
        <f>SUM(B15,B16,-B17)</f>
        <v>0</v>
      </c>
      <c r="C18" s="179">
        <f t="shared" ref="C18:H18" si="4">SUM(C15,C16,-C17)</f>
        <v>0</v>
      </c>
      <c r="D18" s="179">
        <f t="shared" si="4"/>
        <v>0</v>
      </c>
      <c r="E18" s="179">
        <f t="shared" si="4"/>
        <v>0</v>
      </c>
      <c r="F18" s="179">
        <f t="shared" si="4"/>
        <v>0</v>
      </c>
      <c r="G18" s="179">
        <f t="shared" si="4"/>
        <v>0</v>
      </c>
      <c r="H18" s="179">
        <f t="shared" si="4"/>
        <v>0</v>
      </c>
      <c r="I18" s="180">
        <f t="shared" si="3"/>
        <v>0</v>
      </c>
    </row>
    <row r="19" spans="1:9" ht="12" customHeight="1" x14ac:dyDescent="0.25">
      <c r="A19" s="171" t="s">
        <v>65</v>
      </c>
      <c r="B19" s="172"/>
      <c r="C19" s="172"/>
      <c r="D19" s="172"/>
      <c r="E19" s="172"/>
      <c r="F19" s="172"/>
      <c r="G19" s="172"/>
      <c r="H19" s="172"/>
      <c r="I19" s="172"/>
    </row>
    <row r="20" spans="1:9" s="13" customFormat="1" ht="12" customHeight="1" x14ac:dyDescent="0.25">
      <c r="A20" s="173" t="s">
        <v>58</v>
      </c>
      <c r="B20" s="182">
        <f t="shared" ref="B20:H20" si="5">SUM(B4,-B10,-B15)</f>
        <v>0</v>
      </c>
      <c r="C20" s="182">
        <f t="shared" si="5"/>
        <v>17811</v>
      </c>
      <c r="D20" s="182">
        <f t="shared" si="5"/>
        <v>0</v>
      </c>
      <c r="E20" s="182">
        <f t="shared" si="5"/>
        <v>0</v>
      </c>
      <c r="F20" s="182">
        <f t="shared" si="5"/>
        <v>0</v>
      </c>
      <c r="G20" s="182">
        <f t="shared" si="5"/>
        <v>0</v>
      </c>
      <c r="H20" s="182">
        <f t="shared" si="5"/>
        <v>0</v>
      </c>
      <c r="I20" s="175">
        <f>SUM(B20:H20)</f>
        <v>17811</v>
      </c>
    </row>
    <row r="21" spans="1:9" s="13" customFormat="1" ht="12" customHeight="1" x14ac:dyDescent="0.25">
      <c r="A21" s="178" t="s">
        <v>62</v>
      </c>
      <c r="B21" s="179">
        <f t="shared" ref="B21:G21" si="6">SUM(B8,-B13,-B18)</f>
        <v>0</v>
      </c>
      <c r="C21" s="179">
        <f t="shared" si="6"/>
        <v>26263</v>
      </c>
      <c r="D21" s="179">
        <f t="shared" si="6"/>
        <v>0</v>
      </c>
      <c r="E21" s="179">
        <f t="shared" si="6"/>
        <v>0</v>
      </c>
      <c r="F21" s="179">
        <f t="shared" si="6"/>
        <v>0</v>
      </c>
      <c r="G21" s="179">
        <f t="shared" si="6"/>
        <v>0</v>
      </c>
      <c r="H21" s="179">
        <f>SUM(H8,-H13,-H18)</f>
        <v>0</v>
      </c>
      <c r="I21" s="180">
        <f>SUM(B21:H21)</f>
        <v>26263</v>
      </c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14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445" t="s">
        <v>242</v>
      </c>
      <c r="B25" s="445"/>
      <c r="C25" s="445"/>
      <c r="D25" s="445"/>
      <c r="E25" s="445"/>
      <c r="F25" s="445"/>
      <c r="G25" s="445"/>
      <c r="H25" s="445"/>
      <c r="I25" s="445"/>
    </row>
    <row r="26" spans="1:9" ht="60" x14ac:dyDescent="0.25">
      <c r="A26" s="168"/>
      <c r="B26" s="169" t="s">
        <v>50</v>
      </c>
      <c r="C26" s="169" t="s">
        <v>51</v>
      </c>
      <c r="D26" s="169" t="s">
        <v>52</v>
      </c>
      <c r="E26" s="169" t="s">
        <v>53</v>
      </c>
      <c r="F26" s="169" t="s">
        <v>54</v>
      </c>
      <c r="G26" s="169" t="s">
        <v>55</v>
      </c>
      <c r="H26" s="169" t="s">
        <v>56</v>
      </c>
      <c r="I26" s="170" t="s">
        <v>29</v>
      </c>
    </row>
    <row r="27" spans="1:9" ht="12" customHeight="1" x14ac:dyDescent="0.25">
      <c r="A27" s="171" t="s">
        <v>57</v>
      </c>
      <c r="B27" s="172"/>
      <c r="C27" s="172"/>
      <c r="D27" s="172"/>
      <c r="E27" s="172"/>
      <c r="F27" s="172"/>
      <c r="G27" s="172"/>
      <c r="H27" s="172"/>
      <c r="I27" s="172"/>
    </row>
    <row r="28" spans="1:9" ht="12" customHeight="1" x14ac:dyDescent="0.25">
      <c r="A28" s="173" t="s">
        <v>58</v>
      </c>
      <c r="B28" s="177">
        <v>21772</v>
      </c>
      <c r="C28" s="174">
        <v>58606</v>
      </c>
      <c r="D28" s="177">
        <v>116</v>
      </c>
      <c r="E28" s="177">
        <v>0</v>
      </c>
      <c r="F28" s="177">
        <v>1062</v>
      </c>
      <c r="G28" s="177">
        <v>0</v>
      </c>
      <c r="H28" s="177">
        <v>0</v>
      </c>
      <c r="I28" s="175">
        <f>SUM(B28:H28)</f>
        <v>81556</v>
      </c>
    </row>
    <row r="29" spans="1:9" ht="12" customHeight="1" x14ac:dyDescent="0.25">
      <c r="A29" s="176" t="s">
        <v>59</v>
      </c>
      <c r="B29" s="177">
        <v>0</v>
      </c>
      <c r="C29" s="177">
        <v>20861</v>
      </c>
      <c r="D29" s="177">
        <v>0</v>
      </c>
      <c r="E29" s="177">
        <v>0</v>
      </c>
      <c r="F29" s="177">
        <v>0</v>
      </c>
      <c r="G29" s="177">
        <v>0</v>
      </c>
      <c r="H29" s="177">
        <v>0</v>
      </c>
      <c r="I29" s="175">
        <f t="shared" ref="I29:I37" si="7">SUM(B29:H29)</f>
        <v>20861</v>
      </c>
    </row>
    <row r="30" spans="1:9" ht="12" customHeight="1" x14ac:dyDescent="0.25">
      <c r="A30" s="176" t="s">
        <v>60</v>
      </c>
      <c r="B30" s="177">
        <v>21772</v>
      </c>
      <c r="C30" s="177">
        <v>0</v>
      </c>
      <c r="D30" s="177">
        <v>0</v>
      </c>
      <c r="E30" s="177">
        <v>0</v>
      </c>
      <c r="F30" s="177">
        <v>0</v>
      </c>
      <c r="G30" s="177">
        <v>0</v>
      </c>
      <c r="H30" s="177">
        <v>0</v>
      </c>
      <c r="I30" s="175">
        <f t="shared" si="7"/>
        <v>21772</v>
      </c>
    </row>
    <row r="31" spans="1:9" ht="12" customHeight="1" x14ac:dyDescent="0.25">
      <c r="A31" s="176" t="s">
        <v>61</v>
      </c>
      <c r="B31" s="177">
        <v>0</v>
      </c>
      <c r="C31" s="177">
        <v>0</v>
      </c>
      <c r="D31" s="177">
        <v>0</v>
      </c>
      <c r="E31" s="177">
        <v>0</v>
      </c>
      <c r="F31" s="177">
        <v>0</v>
      </c>
      <c r="G31" s="177">
        <v>0</v>
      </c>
      <c r="H31" s="177">
        <v>0</v>
      </c>
      <c r="I31" s="175">
        <f t="shared" si="7"/>
        <v>0</v>
      </c>
    </row>
    <row r="32" spans="1:9" ht="12" customHeight="1" x14ac:dyDescent="0.25">
      <c r="A32" s="178" t="s">
        <v>62</v>
      </c>
      <c r="B32" s="181">
        <f>SUM(B28,B29,-B30,B31)</f>
        <v>0</v>
      </c>
      <c r="C32" s="179">
        <f t="shared" ref="C32:H32" si="8">SUM(C28,C29,-C30,C31)</f>
        <v>79467</v>
      </c>
      <c r="D32" s="181">
        <f t="shared" si="8"/>
        <v>116</v>
      </c>
      <c r="E32" s="181">
        <f t="shared" si="8"/>
        <v>0</v>
      </c>
      <c r="F32" s="181">
        <f t="shared" si="8"/>
        <v>1062</v>
      </c>
      <c r="G32" s="181">
        <f t="shared" si="8"/>
        <v>0</v>
      </c>
      <c r="H32" s="181">
        <f t="shared" si="8"/>
        <v>0</v>
      </c>
      <c r="I32" s="180">
        <f t="shared" si="7"/>
        <v>80645</v>
      </c>
    </row>
    <row r="33" spans="1:9" ht="12" customHeight="1" x14ac:dyDescent="0.25">
      <c r="A33" s="171" t="s">
        <v>63</v>
      </c>
      <c r="B33" s="172"/>
      <c r="C33" s="172"/>
      <c r="D33" s="172"/>
      <c r="E33" s="172"/>
      <c r="F33" s="172"/>
      <c r="G33" s="172"/>
      <c r="H33" s="172"/>
      <c r="I33" s="172"/>
    </row>
    <row r="34" spans="1:9" ht="12" customHeight="1" x14ac:dyDescent="0.25">
      <c r="A34" s="173" t="s">
        <v>58</v>
      </c>
      <c r="B34" s="177">
        <v>21772</v>
      </c>
      <c r="C34" s="174">
        <v>58606</v>
      </c>
      <c r="D34" s="177">
        <v>116</v>
      </c>
      <c r="E34" s="177">
        <v>0</v>
      </c>
      <c r="F34" s="177">
        <v>1062</v>
      </c>
      <c r="G34" s="177">
        <v>0</v>
      </c>
      <c r="H34" s="177">
        <v>0</v>
      </c>
      <c r="I34" s="175">
        <f t="shared" si="7"/>
        <v>81556</v>
      </c>
    </row>
    <row r="35" spans="1:9" ht="12" customHeight="1" x14ac:dyDescent="0.25">
      <c r="A35" s="176" t="s">
        <v>59</v>
      </c>
      <c r="B35" s="177">
        <v>0</v>
      </c>
      <c r="C35" s="177">
        <v>3050</v>
      </c>
      <c r="D35" s="177">
        <v>0</v>
      </c>
      <c r="E35" s="177">
        <v>0</v>
      </c>
      <c r="F35" s="177">
        <v>0</v>
      </c>
      <c r="G35" s="177">
        <v>0</v>
      </c>
      <c r="H35" s="177">
        <v>0</v>
      </c>
      <c r="I35" s="175">
        <f t="shared" si="7"/>
        <v>3050</v>
      </c>
    </row>
    <row r="36" spans="1:9" ht="12" customHeight="1" x14ac:dyDescent="0.25">
      <c r="A36" s="176" t="s">
        <v>60</v>
      </c>
      <c r="B36" s="177">
        <v>21772</v>
      </c>
      <c r="C36" s="177">
        <v>0</v>
      </c>
      <c r="D36" s="177">
        <v>0</v>
      </c>
      <c r="E36" s="177">
        <v>0</v>
      </c>
      <c r="F36" s="177">
        <v>0</v>
      </c>
      <c r="G36" s="177">
        <v>0</v>
      </c>
      <c r="H36" s="177">
        <v>0</v>
      </c>
      <c r="I36" s="175">
        <f t="shared" si="7"/>
        <v>21772</v>
      </c>
    </row>
    <row r="37" spans="1:9" ht="12" customHeight="1" x14ac:dyDescent="0.25">
      <c r="A37" s="178" t="s">
        <v>62</v>
      </c>
      <c r="B37" s="181">
        <f>SUM(B34,B35,-B36)</f>
        <v>0</v>
      </c>
      <c r="C37" s="179">
        <f>SUM(C34,C35,-C36)</f>
        <v>61656</v>
      </c>
      <c r="D37" s="181">
        <f t="shared" ref="D37:H37" si="9">SUM(D34,D35,-D36)</f>
        <v>116</v>
      </c>
      <c r="E37" s="181">
        <f t="shared" si="9"/>
        <v>0</v>
      </c>
      <c r="F37" s="181">
        <f t="shared" si="9"/>
        <v>1062</v>
      </c>
      <c r="G37" s="181">
        <f t="shared" si="9"/>
        <v>0</v>
      </c>
      <c r="H37" s="181">
        <f t="shared" si="9"/>
        <v>0</v>
      </c>
      <c r="I37" s="180">
        <f t="shared" si="7"/>
        <v>62834</v>
      </c>
    </row>
    <row r="38" spans="1:9" ht="12" customHeight="1" x14ac:dyDescent="0.25">
      <c r="A38" s="171" t="s">
        <v>64</v>
      </c>
      <c r="B38" s="172"/>
      <c r="C38" s="172"/>
      <c r="D38" s="172"/>
      <c r="E38" s="172"/>
      <c r="F38" s="172"/>
      <c r="G38" s="172"/>
      <c r="H38" s="172"/>
      <c r="I38" s="172"/>
    </row>
    <row r="39" spans="1:9" ht="12" customHeight="1" x14ac:dyDescent="0.25">
      <c r="A39" s="173" t="s">
        <v>58</v>
      </c>
      <c r="B39" s="177">
        <v>0</v>
      </c>
      <c r="C39" s="177">
        <v>0</v>
      </c>
      <c r="D39" s="177">
        <v>0</v>
      </c>
      <c r="E39" s="177">
        <v>0</v>
      </c>
      <c r="F39" s="177">
        <v>0</v>
      </c>
      <c r="G39" s="177">
        <v>0</v>
      </c>
      <c r="H39" s="177">
        <v>0</v>
      </c>
      <c r="I39" s="175">
        <f t="shared" ref="I39:I42" si="10">SUM(B39:H39)</f>
        <v>0</v>
      </c>
    </row>
    <row r="40" spans="1:9" ht="12" customHeight="1" x14ac:dyDescent="0.25">
      <c r="A40" s="176" t="s">
        <v>59</v>
      </c>
      <c r="B40" s="177">
        <v>0</v>
      </c>
      <c r="C40" s="177">
        <v>0</v>
      </c>
      <c r="D40" s="177">
        <v>0</v>
      </c>
      <c r="E40" s="177">
        <v>0</v>
      </c>
      <c r="F40" s="177">
        <v>0</v>
      </c>
      <c r="G40" s="177">
        <v>0</v>
      </c>
      <c r="H40" s="177">
        <v>0</v>
      </c>
      <c r="I40" s="175">
        <f t="shared" si="10"/>
        <v>0</v>
      </c>
    </row>
    <row r="41" spans="1:9" ht="12" customHeight="1" x14ac:dyDescent="0.25">
      <c r="A41" s="176" t="s">
        <v>60</v>
      </c>
      <c r="B41" s="177">
        <v>0</v>
      </c>
      <c r="C41" s="177">
        <v>0</v>
      </c>
      <c r="D41" s="177">
        <v>0</v>
      </c>
      <c r="E41" s="177">
        <v>0</v>
      </c>
      <c r="F41" s="177">
        <v>0</v>
      </c>
      <c r="G41" s="177">
        <v>0</v>
      </c>
      <c r="H41" s="177">
        <v>0</v>
      </c>
      <c r="I41" s="175">
        <f t="shared" si="10"/>
        <v>0</v>
      </c>
    </row>
    <row r="42" spans="1:9" ht="12" customHeight="1" x14ac:dyDescent="0.25">
      <c r="A42" s="178" t="s">
        <v>62</v>
      </c>
      <c r="B42" s="181">
        <f>SUM(B39,B40,-B41)</f>
        <v>0</v>
      </c>
      <c r="C42" s="181">
        <f t="shared" ref="C42:H42" si="11">SUM(C39,C40,-C41)</f>
        <v>0</v>
      </c>
      <c r="D42" s="181">
        <f t="shared" si="11"/>
        <v>0</v>
      </c>
      <c r="E42" s="181">
        <f t="shared" si="11"/>
        <v>0</v>
      </c>
      <c r="F42" s="181">
        <f t="shared" si="11"/>
        <v>0</v>
      </c>
      <c r="G42" s="181">
        <f t="shared" si="11"/>
        <v>0</v>
      </c>
      <c r="H42" s="181">
        <f t="shared" si="11"/>
        <v>0</v>
      </c>
      <c r="I42" s="180">
        <f t="shared" si="10"/>
        <v>0</v>
      </c>
    </row>
    <row r="43" spans="1:9" ht="12" customHeight="1" x14ac:dyDescent="0.25">
      <c r="A43" s="171" t="s">
        <v>65</v>
      </c>
      <c r="B43" s="172"/>
      <c r="C43" s="172"/>
      <c r="D43" s="172"/>
      <c r="E43" s="172"/>
      <c r="F43" s="172"/>
      <c r="G43" s="172"/>
      <c r="H43" s="172"/>
      <c r="I43" s="172"/>
    </row>
    <row r="44" spans="1:9" ht="12" customHeight="1" x14ac:dyDescent="0.25">
      <c r="A44" s="173" t="s">
        <v>58</v>
      </c>
      <c r="B44" s="183">
        <f t="shared" ref="B44:H44" si="12">SUM(B28,-B34,-B39)</f>
        <v>0</v>
      </c>
      <c r="C44" s="182">
        <f t="shared" si="12"/>
        <v>0</v>
      </c>
      <c r="D44" s="183">
        <f t="shared" si="12"/>
        <v>0</v>
      </c>
      <c r="E44" s="183">
        <f t="shared" si="12"/>
        <v>0</v>
      </c>
      <c r="F44" s="183">
        <f t="shared" si="12"/>
        <v>0</v>
      </c>
      <c r="G44" s="183">
        <f t="shared" si="12"/>
        <v>0</v>
      </c>
      <c r="H44" s="183">
        <f t="shared" si="12"/>
        <v>0</v>
      </c>
      <c r="I44" s="175">
        <f>SUM(B44:H44)</f>
        <v>0</v>
      </c>
    </row>
    <row r="45" spans="1:9" ht="12" customHeight="1" x14ac:dyDescent="0.25">
      <c r="A45" s="178" t="s">
        <v>62</v>
      </c>
      <c r="B45" s="181">
        <f t="shared" ref="B45:G45" si="13">SUM(B32,-B37,-B42)</f>
        <v>0</v>
      </c>
      <c r="C45" s="179">
        <f t="shared" si="13"/>
        <v>17811</v>
      </c>
      <c r="D45" s="181">
        <f t="shared" si="13"/>
        <v>0</v>
      </c>
      <c r="E45" s="181">
        <f t="shared" si="13"/>
        <v>0</v>
      </c>
      <c r="F45" s="181">
        <f t="shared" si="13"/>
        <v>0</v>
      </c>
      <c r="G45" s="181">
        <f t="shared" si="13"/>
        <v>0</v>
      </c>
      <c r="H45" s="181">
        <f>SUM(H32,-H37,-H42)</f>
        <v>0</v>
      </c>
      <c r="I45" s="180">
        <f>SUM(B45:H45)</f>
        <v>17811</v>
      </c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2">
    <mergeCell ref="A1:I1"/>
    <mergeCell ref="A25:I25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2"/>
  <sheetViews>
    <sheetView workbookViewId="0">
      <selection activeCell="E12" sqref="E12"/>
    </sheetView>
  </sheetViews>
  <sheetFormatPr defaultColWidth="9.140625" defaultRowHeight="11.25" x14ac:dyDescent="0.2"/>
  <cols>
    <col min="1" max="1" width="53.85546875" style="3" bestFit="1" customWidth="1"/>
    <col min="2" max="2" width="8.42578125" style="3" bestFit="1" customWidth="1"/>
    <col min="3" max="3" width="8.85546875" style="3" bestFit="1" customWidth="1"/>
    <col min="4" max="16384" width="9.140625" style="3"/>
  </cols>
  <sheetData>
    <row r="1" spans="1:3" x14ac:dyDescent="0.2">
      <c r="A1" s="79"/>
      <c r="B1" s="86"/>
      <c r="C1" s="86"/>
    </row>
    <row r="2" spans="1:3" x14ac:dyDescent="0.2">
      <c r="A2" s="144" t="s">
        <v>240</v>
      </c>
      <c r="B2" s="167">
        <v>2021</v>
      </c>
      <c r="C2" s="167">
        <v>2020</v>
      </c>
    </row>
    <row r="3" spans="1:3" ht="12" customHeight="1" x14ac:dyDescent="0.2">
      <c r="A3" s="83" t="s">
        <v>180</v>
      </c>
      <c r="B3" s="150">
        <f>B4+B7</f>
        <v>2453661.2599999998</v>
      </c>
      <c r="C3" s="150">
        <f>C4+C7</f>
        <v>1241897</v>
      </c>
    </row>
    <row r="4" spans="1:3" ht="12" customHeight="1" x14ac:dyDescent="0.2">
      <c r="A4" s="440" t="s">
        <v>181</v>
      </c>
      <c r="B4" s="441">
        <f>B5</f>
        <v>6000</v>
      </c>
      <c r="C4" s="441">
        <f>SUM(C5:C5)</f>
        <v>2800</v>
      </c>
    </row>
    <row r="5" spans="1:3" ht="12" customHeight="1" x14ac:dyDescent="0.2">
      <c r="A5" s="92" t="s">
        <v>182</v>
      </c>
      <c r="B5" s="89">
        <v>6000</v>
      </c>
      <c r="C5" s="89">
        <v>2800</v>
      </c>
    </row>
    <row r="6" spans="1:3" ht="12" customHeight="1" x14ac:dyDescent="0.2">
      <c r="A6" s="85"/>
      <c r="B6" s="89"/>
      <c r="C6" s="89"/>
    </row>
    <row r="7" spans="1:3" ht="12" customHeight="1" x14ac:dyDescent="0.2">
      <c r="A7" s="83" t="s">
        <v>183</v>
      </c>
      <c r="B7" s="441">
        <f>SUM(B8:B15)</f>
        <v>2447661.2599999998</v>
      </c>
      <c r="C7" s="441">
        <f>SUM(C8:C15)</f>
        <v>1239097</v>
      </c>
    </row>
    <row r="8" spans="1:3" ht="12" customHeight="1" x14ac:dyDescent="0.2">
      <c r="A8" s="85" t="s">
        <v>184</v>
      </c>
      <c r="B8" s="89">
        <v>1146014.3999999999</v>
      </c>
      <c r="C8" s="89">
        <v>318895</v>
      </c>
    </row>
    <row r="9" spans="1:3" ht="12" customHeight="1" x14ac:dyDescent="0.2">
      <c r="A9" s="85" t="s">
        <v>185</v>
      </c>
      <c r="B9" s="89">
        <v>24149.919999999998</v>
      </c>
      <c r="C9" s="89"/>
    </row>
    <row r="10" spans="1:3" ht="12" customHeight="1" x14ac:dyDescent="0.2">
      <c r="A10" s="85" t="s">
        <v>191</v>
      </c>
      <c r="B10" s="89">
        <v>4479.22</v>
      </c>
      <c r="C10" s="89"/>
    </row>
    <row r="11" spans="1:3" ht="12" customHeight="1" x14ac:dyDescent="0.2">
      <c r="A11" s="92" t="s">
        <v>359</v>
      </c>
      <c r="B11" s="89">
        <v>11688</v>
      </c>
      <c r="C11" s="89"/>
    </row>
    <row r="12" spans="1:3" ht="12" customHeight="1" x14ac:dyDescent="0.2">
      <c r="A12" s="85" t="s">
        <v>360</v>
      </c>
      <c r="B12" s="89">
        <v>733632.77</v>
      </c>
      <c r="C12" s="89">
        <v>678399</v>
      </c>
    </row>
    <row r="13" spans="1:3" ht="12" customHeight="1" x14ac:dyDescent="0.2">
      <c r="A13" s="85" t="s">
        <v>361</v>
      </c>
      <c r="B13" s="89">
        <v>31450.49</v>
      </c>
      <c r="C13" s="89">
        <v>31458</v>
      </c>
    </row>
    <row r="14" spans="1:3" ht="12" customHeight="1" x14ac:dyDescent="0.2">
      <c r="A14" s="85" t="s">
        <v>362</v>
      </c>
      <c r="B14" s="89">
        <v>20876.900000000001</v>
      </c>
      <c r="C14" s="89">
        <v>11895</v>
      </c>
    </row>
    <row r="15" spans="1:3" ht="12" customHeight="1" x14ac:dyDescent="0.2">
      <c r="A15" s="85" t="s">
        <v>192</v>
      </c>
      <c r="B15" s="89">
        <f>490057.56-3000-133338+121650</f>
        <v>475369.56</v>
      </c>
      <c r="C15" s="89">
        <f>201250-2800</f>
        <v>198450</v>
      </c>
    </row>
    <row r="16" spans="1:3" ht="12" customHeight="1" x14ac:dyDescent="0.2">
      <c r="A16" s="85"/>
      <c r="B16" s="85"/>
      <c r="C16" s="85"/>
    </row>
    <row r="17" spans="1:3" ht="12" customHeight="1" x14ac:dyDescent="0.2">
      <c r="A17" s="81" t="s">
        <v>186</v>
      </c>
      <c r="B17" s="82">
        <f>SUM(B18:B21)</f>
        <v>100992.04999999999</v>
      </c>
      <c r="C17" s="82">
        <f>SUM(C19:C21)</f>
        <v>59010</v>
      </c>
    </row>
    <row r="18" spans="1:3" ht="12" customHeight="1" x14ac:dyDescent="0.2">
      <c r="A18" s="85" t="s">
        <v>314</v>
      </c>
      <c r="B18" s="84">
        <v>13000</v>
      </c>
      <c r="C18" s="84"/>
    </row>
    <row r="19" spans="1:3" ht="12" customHeight="1" x14ac:dyDescent="0.2">
      <c r="A19" s="85" t="s">
        <v>193</v>
      </c>
      <c r="B19" s="84">
        <v>3073.95</v>
      </c>
      <c r="C19" s="84"/>
    </row>
    <row r="20" spans="1:3" ht="12" customHeight="1" x14ac:dyDescent="0.2">
      <c r="A20" s="92" t="s">
        <v>197</v>
      </c>
      <c r="B20" s="89">
        <v>1208.8699999999999</v>
      </c>
      <c r="C20" s="89"/>
    </row>
    <row r="21" spans="1:3" ht="12" customHeight="1" x14ac:dyDescent="0.2">
      <c r="A21" s="442" t="s">
        <v>363</v>
      </c>
      <c r="B21" s="441">
        <f>B22+B23</f>
        <v>83709.229999999981</v>
      </c>
      <c r="C21" s="441">
        <f>C22+C23</f>
        <v>59010</v>
      </c>
    </row>
    <row r="22" spans="1:3" ht="12" customHeight="1" x14ac:dyDescent="0.2">
      <c r="A22" s="92" t="s">
        <v>364</v>
      </c>
      <c r="B22" s="89">
        <v>76799</v>
      </c>
      <c r="C22" s="89">
        <v>53824</v>
      </c>
    </row>
    <row r="23" spans="1:3" ht="12" customHeight="1" x14ac:dyDescent="0.2">
      <c r="A23" s="92" t="s">
        <v>194</v>
      </c>
      <c r="B23" s="89">
        <v>6910.2299999999814</v>
      </c>
      <c r="C23" s="89">
        <v>5186</v>
      </c>
    </row>
    <row r="24" spans="1:3" ht="12" customHeight="1" x14ac:dyDescent="0.2">
      <c r="A24" s="85"/>
      <c r="B24" s="85"/>
      <c r="C24" s="85"/>
    </row>
    <row r="25" spans="1:3" ht="12" customHeight="1" x14ac:dyDescent="0.2">
      <c r="A25" s="81" t="s">
        <v>187</v>
      </c>
      <c r="B25" s="82">
        <f>B26+B27+B29+B32</f>
        <v>998511.28</v>
      </c>
      <c r="C25" s="82">
        <f>C26+C27+C29+C32</f>
        <v>210347</v>
      </c>
    </row>
    <row r="26" spans="1:3" ht="12" customHeight="1" x14ac:dyDescent="0.2">
      <c r="A26" s="48" t="s">
        <v>365</v>
      </c>
      <c r="B26" s="118">
        <v>978019.85</v>
      </c>
      <c r="C26" s="118">
        <v>195937</v>
      </c>
    </row>
    <row r="27" spans="1:3" ht="12" customHeight="1" x14ac:dyDescent="0.2">
      <c r="A27" s="48" t="s">
        <v>188</v>
      </c>
      <c r="B27" s="118">
        <f>B28</f>
        <v>14.91</v>
      </c>
      <c r="C27" s="118">
        <v>0</v>
      </c>
    </row>
    <row r="28" spans="1:3" ht="12" customHeight="1" x14ac:dyDescent="0.2">
      <c r="A28" s="48" t="s">
        <v>189</v>
      </c>
      <c r="B28" s="443">
        <v>14.91</v>
      </c>
      <c r="C28" s="443">
        <v>0</v>
      </c>
    </row>
    <row r="29" spans="1:3" x14ac:dyDescent="0.2">
      <c r="A29" s="117" t="s">
        <v>190</v>
      </c>
      <c r="B29" s="119">
        <f>SUM(B30:B31)</f>
        <v>10002.810000000001</v>
      </c>
      <c r="C29" s="119">
        <f>SUM(C30:C31)</f>
        <v>9381</v>
      </c>
    </row>
    <row r="30" spans="1:3" x14ac:dyDescent="0.2">
      <c r="A30" s="92" t="s">
        <v>195</v>
      </c>
      <c r="B30" s="111">
        <v>866.02</v>
      </c>
      <c r="C30" s="111">
        <v>0</v>
      </c>
    </row>
    <row r="31" spans="1:3" x14ac:dyDescent="0.2">
      <c r="A31" s="92" t="s">
        <v>196</v>
      </c>
      <c r="B31" s="89">
        <v>9136.7900000000009</v>
      </c>
      <c r="C31" s="89">
        <v>9381</v>
      </c>
    </row>
    <row r="32" spans="1:3" x14ac:dyDescent="0.2">
      <c r="A32" s="92" t="s">
        <v>366</v>
      </c>
      <c r="B32" s="89">
        <v>10473.710000000001</v>
      </c>
      <c r="C32" s="89">
        <v>5029</v>
      </c>
    </row>
    <row r="33" spans="1:3" x14ac:dyDescent="0.2">
      <c r="A33" s="92"/>
      <c r="B33" s="89"/>
      <c r="C33" s="89"/>
    </row>
    <row r="34" spans="1:3" x14ac:dyDescent="0.2">
      <c r="A34" s="85"/>
      <c r="B34" s="89"/>
      <c r="C34" s="89"/>
    </row>
    <row r="37" spans="1:3" x14ac:dyDescent="0.2">
      <c r="A37" s="80"/>
      <c r="B37" s="167">
        <v>2021</v>
      </c>
      <c r="C37" s="167">
        <v>2020</v>
      </c>
    </row>
    <row r="38" spans="1:3" x14ac:dyDescent="0.2">
      <c r="A38" s="83" t="s">
        <v>198</v>
      </c>
      <c r="B38" s="150">
        <f>B39+B40+B41+B42</f>
        <v>1996719.6799999997</v>
      </c>
      <c r="C38" s="150">
        <f>C39+C40+C41+C42</f>
        <v>1369303.5799999998</v>
      </c>
    </row>
    <row r="39" spans="1:3" x14ac:dyDescent="0.2">
      <c r="A39" s="444" t="s">
        <v>199</v>
      </c>
      <c r="B39" s="89">
        <v>1427697.5699999998</v>
      </c>
      <c r="C39" s="89">
        <v>975024.45</v>
      </c>
    </row>
    <row r="40" spans="1:3" x14ac:dyDescent="0.2">
      <c r="A40" s="444" t="s">
        <v>200</v>
      </c>
      <c r="B40" s="89"/>
      <c r="C40" s="89"/>
    </row>
    <row r="41" spans="1:3" x14ac:dyDescent="0.2">
      <c r="A41" s="444" t="s">
        <v>201</v>
      </c>
      <c r="B41" s="89">
        <v>493835.61</v>
      </c>
      <c r="C41" s="89">
        <v>336299.87</v>
      </c>
    </row>
    <row r="42" spans="1:3" x14ac:dyDescent="0.2">
      <c r="A42" s="444" t="s">
        <v>202</v>
      </c>
      <c r="B42" s="89">
        <v>75186.5</v>
      </c>
      <c r="C42" s="89">
        <v>57979.260000000009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5"/>
  <sheetViews>
    <sheetView workbookViewId="0">
      <selection sqref="A1:E15"/>
    </sheetView>
  </sheetViews>
  <sheetFormatPr defaultColWidth="9.140625" defaultRowHeight="11.25" x14ac:dyDescent="0.2"/>
  <cols>
    <col min="1" max="1" width="34.5703125" style="3" customWidth="1"/>
    <col min="2" max="2" width="10.85546875" style="3" customWidth="1"/>
    <col min="3" max="3" width="9.42578125" style="3" customWidth="1"/>
    <col min="4" max="4" width="10.28515625" style="3" customWidth="1"/>
    <col min="5" max="5" width="9.7109375" style="3" customWidth="1"/>
    <col min="6" max="16384" width="9.140625" style="3"/>
  </cols>
  <sheetData>
    <row r="1" spans="1:7" ht="45" x14ac:dyDescent="0.2">
      <c r="A1" s="154" t="s">
        <v>3</v>
      </c>
      <c r="B1" s="128" t="s">
        <v>325</v>
      </c>
      <c r="C1" s="128" t="s">
        <v>4</v>
      </c>
      <c r="D1" s="128" t="s">
        <v>5</v>
      </c>
      <c r="E1" s="128" t="s">
        <v>267</v>
      </c>
    </row>
    <row r="2" spans="1:7" x14ac:dyDescent="0.2">
      <c r="A2" s="129" t="s">
        <v>205</v>
      </c>
      <c r="B2" s="120">
        <f>-838451+8051</f>
        <v>-830400</v>
      </c>
      <c r="C2" s="120">
        <v>0</v>
      </c>
      <c r="D2" s="120">
        <f>E2-B2</f>
        <v>-39575</v>
      </c>
      <c r="E2" s="120">
        <f>-877660+7685</f>
        <v>-869975</v>
      </c>
    </row>
    <row r="3" spans="1:7" x14ac:dyDescent="0.2">
      <c r="A3" s="129" t="s">
        <v>326</v>
      </c>
      <c r="B3" s="120">
        <v>0</v>
      </c>
      <c r="C3" s="120">
        <v>0</v>
      </c>
      <c r="D3" s="120">
        <f>E3-B3</f>
        <v>13403</v>
      </c>
      <c r="E3" s="120">
        <v>13403</v>
      </c>
    </row>
    <row r="4" spans="1:7" x14ac:dyDescent="0.2">
      <c r="A4" s="129" t="s">
        <v>204</v>
      </c>
      <c r="B4" s="120">
        <v>0</v>
      </c>
      <c r="C4" s="120">
        <v>0</v>
      </c>
      <c r="D4" s="120">
        <f t="shared" ref="D4:D9" si="0">E4-B4</f>
        <v>0</v>
      </c>
      <c r="E4" s="120">
        <v>0</v>
      </c>
    </row>
    <row r="5" spans="1:7" x14ac:dyDescent="0.2">
      <c r="A5" s="129" t="s">
        <v>6</v>
      </c>
      <c r="B5" s="120">
        <f>419172+22465</f>
        <v>441637</v>
      </c>
      <c r="C5" s="120">
        <v>0</v>
      </c>
      <c r="D5" s="120">
        <f t="shared" si="0"/>
        <v>-3401</v>
      </c>
      <c r="E5" s="120">
        <f>419172+19064</f>
        <v>438236</v>
      </c>
    </row>
    <row r="6" spans="1:7" x14ac:dyDescent="0.2">
      <c r="A6" s="129" t="s">
        <v>203</v>
      </c>
      <c r="B6" s="121">
        <v>7990</v>
      </c>
      <c r="C6" s="121">
        <v>0</v>
      </c>
      <c r="D6" s="120">
        <f t="shared" si="0"/>
        <v>8339</v>
      </c>
      <c r="E6" s="121">
        <f>13329+3000</f>
        <v>16329</v>
      </c>
    </row>
    <row r="7" spans="1:7" x14ac:dyDescent="0.2">
      <c r="A7" s="129" t="s">
        <v>208</v>
      </c>
      <c r="B7" s="121">
        <v>230</v>
      </c>
      <c r="C7" s="121">
        <v>0</v>
      </c>
      <c r="D7" s="120">
        <f t="shared" si="0"/>
        <v>346</v>
      </c>
      <c r="E7" s="121">
        <v>576</v>
      </c>
    </row>
    <row r="8" spans="1:7" x14ac:dyDescent="0.2">
      <c r="A8" s="129" t="s">
        <v>207</v>
      </c>
      <c r="B8" s="121">
        <f>825+67+470</f>
        <v>1362</v>
      </c>
      <c r="C8" s="121">
        <v>0</v>
      </c>
      <c r="D8" s="120">
        <f t="shared" si="0"/>
        <v>2138</v>
      </c>
      <c r="E8" s="121">
        <f>2575+925</f>
        <v>3500</v>
      </c>
    </row>
    <row r="9" spans="1:7" x14ac:dyDescent="0.2">
      <c r="A9" s="129" t="s">
        <v>206</v>
      </c>
      <c r="B9" s="122">
        <v>0</v>
      </c>
      <c r="C9" s="122">
        <v>0</v>
      </c>
      <c r="D9" s="120">
        <f t="shared" si="0"/>
        <v>0</v>
      </c>
      <c r="E9" s="122">
        <v>0</v>
      </c>
    </row>
    <row r="10" spans="1:7" x14ac:dyDescent="0.2">
      <c r="A10" s="125" t="s">
        <v>7</v>
      </c>
      <c r="B10" s="126">
        <f>SUM(B2:B9)</f>
        <v>-379181</v>
      </c>
      <c r="C10" s="126">
        <f>SUM(C2:C9)</f>
        <v>0</v>
      </c>
      <c r="D10" s="126">
        <f>SUM(D2:D9)</f>
        <v>-18750</v>
      </c>
      <c r="E10" s="126">
        <f>SUM(E2:E9)</f>
        <v>-397931</v>
      </c>
      <c r="G10" s="3">
        <v>397931</v>
      </c>
    </row>
    <row r="11" spans="1:7" x14ac:dyDescent="0.2">
      <c r="A11" s="3" t="s">
        <v>8</v>
      </c>
      <c r="B11" s="133">
        <v>0.21</v>
      </c>
      <c r="C11" s="134"/>
      <c r="D11" s="134"/>
      <c r="E11" s="133">
        <v>0.21</v>
      </c>
    </row>
    <row r="12" spans="1:7" x14ac:dyDescent="0.2">
      <c r="A12" s="130" t="s">
        <v>9</v>
      </c>
      <c r="B12" s="3">
        <v>0</v>
      </c>
      <c r="C12" s="127">
        <v>0</v>
      </c>
    </row>
    <row r="13" spans="1:7" x14ac:dyDescent="0.2">
      <c r="A13" s="131" t="s">
        <v>10</v>
      </c>
      <c r="B13" s="126">
        <v>0</v>
      </c>
      <c r="C13" s="126" t="s">
        <v>11</v>
      </c>
      <c r="D13" s="126">
        <v>0</v>
      </c>
      <c r="E13" s="126">
        <v>0</v>
      </c>
    </row>
    <row r="14" spans="1:7" x14ac:dyDescent="0.2">
      <c r="A14" s="124"/>
      <c r="B14" s="132"/>
      <c r="C14" s="132"/>
      <c r="D14" s="132"/>
      <c r="E14" s="132"/>
    </row>
    <row r="15" spans="1:7" x14ac:dyDescent="0.2">
      <c r="A15" s="130" t="s">
        <v>2</v>
      </c>
      <c r="B15" s="123">
        <f>B10*0.21</f>
        <v>-79628.009999999995</v>
      </c>
      <c r="C15" s="123">
        <f>B4*0.22-E4*0.21</f>
        <v>0</v>
      </c>
      <c r="D15" s="123">
        <f>(B10-B4)*0.21-(E10-E4)*0.21-1</f>
        <v>3936.5</v>
      </c>
      <c r="E15" s="123">
        <f>E10*E11+1</f>
        <v>-83564.509999999995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2"/>
  <sheetViews>
    <sheetView tabSelected="1" zoomScaleNormal="100" workbookViewId="0">
      <selection sqref="A1:G17"/>
    </sheetView>
  </sheetViews>
  <sheetFormatPr defaultColWidth="9.140625" defaultRowHeight="11.25" x14ac:dyDescent="0.2"/>
  <cols>
    <col min="1" max="1" width="34.28515625" style="3" bestFit="1" customWidth="1"/>
    <col min="2" max="2" width="9.42578125" style="3" bestFit="1" customWidth="1"/>
    <col min="3" max="3" width="6.5703125" style="3" bestFit="1" customWidth="1"/>
    <col min="4" max="4" width="7.5703125" style="3" bestFit="1" customWidth="1"/>
    <col min="5" max="5" width="9.42578125" style="3" bestFit="1" customWidth="1"/>
    <col min="6" max="6" width="7.140625" style="3" customWidth="1"/>
    <col min="7" max="7" width="7.5703125" style="3" bestFit="1" customWidth="1"/>
    <col min="8" max="16384" width="9.140625" style="3"/>
  </cols>
  <sheetData>
    <row r="1" spans="1:7" x14ac:dyDescent="0.2">
      <c r="A1" s="85"/>
      <c r="B1" s="464">
        <v>2021</v>
      </c>
      <c r="C1" s="464"/>
      <c r="D1" s="464"/>
      <c r="E1" s="464">
        <v>2020</v>
      </c>
      <c r="F1" s="464"/>
      <c r="G1" s="464"/>
    </row>
    <row r="2" spans="1:7" x14ac:dyDescent="0.2">
      <c r="A2" s="78" t="s">
        <v>240</v>
      </c>
      <c r="B2" s="145" t="s">
        <v>209</v>
      </c>
      <c r="C2" s="145" t="s">
        <v>210</v>
      </c>
      <c r="D2" s="145" t="s">
        <v>211</v>
      </c>
      <c r="E2" s="145" t="s">
        <v>209</v>
      </c>
      <c r="F2" s="145" t="s">
        <v>210</v>
      </c>
      <c r="G2" s="145" t="s">
        <v>211</v>
      </c>
    </row>
    <row r="3" spans="1:7" x14ac:dyDescent="0.2">
      <c r="A3" s="80"/>
      <c r="B3" s="88"/>
      <c r="C3" s="88"/>
      <c r="D3" s="88"/>
      <c r="E3" s="88"/>
      <c r="F3" s="88"/>
      <c r="G3" s="88"/>
    </row>
    <row r="4" spans="1:7" ht="12" customHeight="1" x14ac:dyDescent="0.2">
      <c r="A4" s="92" t="s">
        <v>212</v>
      </c>
      <c r="B4" s="89">
        <v>2565781</v>
      </c>
      <c r="C4" s="89"/>
      <c r="D4" s="146">
        <v>1</v>
      </c>
      <c r="E4" s="89">
        <v>2145299</v>
      </c>
      <c r="F4" s="89"/>
      <c r="G4" s="146">
        <v>1</v>
      </c>
    </row>
    <row r="5" spans="1:7" ht="12" customHeight="1" x14ac:dyDescent="0.2">
      <c r="A5" s="92" t="s">
        <v>213</v>
      </c>
      <c r="B5" s="89"/>
      <c r="C5" s="89">
        <f>ROUND(B4*D5,0)</f>
        <v>538814</v>
      </c>
      <c r="D5" s="146">
        <v>0.21</v>
      </c>
      <c r="E5" s="89"/>
      <c r="F5" s="89">
        <f>ROUND(E4*G5,0)</f>
        <v>450513</v>
      </c>
      <c r="G5" s="146">
        <v>0.21</v>
      </c>
    </row>
    <row r="6" spans="1:7" ht="12" customHeight="1" x14ac:dyDescent="0.2">
      <c r="A6" s="92"/>
      <c r="B6" s="97"/>
      <c r="C6" s="97"/>
      <c r="D6" s="147"/>
      <c r="E6" s="97"/>
      <c r="F6" s="97"/>
      <c r="G6" s="147"/>
    </row>
    <row r="7" spans="1:7" ht="12" customHeight="1" x14ac:dyDescent="0.2">
      <c r="A7" s="92" t="s">
        <v>214</v>
      </c>
      <c r="B7" s="89">
        <f>16577+17509</f>
        <v>34086</v>
      </c>
      <c r="C7" s="89">
        <f>ROUND(B7*$D$5,0)</f>
        <v>7158</v>
      </c>
      <c r="D7" s="146">
        <f>C7/$B$4</f>
        <v>2.7897938288575681E-3</v>
      </c>
      <c r="E7" s="89">
        <v>10673</v>
      </c>
      <c r="F7" s="89">
        <f>ROUND(E7*$G$5,0)-1</f>
        <v>2240</v>
      </c>
      <c r="G7" s="146">
        <f>F7/$E$4</f>
        <v>1.044143497013703E-3</v>
      </c>
    </row>
    <row r="8" spans="1:7" ht="12" customHeight="1" x14ac:dyDescent="0.2">
      <c r="A8" s="92" t="s">
        <v>215</v>
      </c>
      <c r="B8" s="51">
        <v>0</v>
      </c>
      <c r="C8" s="51">
        <f>ROUND(B8*$D$5,0)</f>
        <v>0</v>
      </c>
      <c r="D8" s="148">
        <f>C8/$B$4</f>
        <v>0</v>
      </c>
      <c r="E8" s="51">
        <v>-700</v>
      </c>
      <c r="F8" s="51">
        <f>ROUND(E8*$G$5,0)</f>
        <v>-147</v>
      </c>
      <c r="G8" s="148">
        <f>F8/$E$4</f>
        <v>-6.8521916991524262E-5</v>
      </c>
    </row>
    <row r="9" spans="1:7" ht="12" customHeight="1" x14ac:dyDescent="0.2">
      <c r="A9" s="92"/>
      <c r="B9" s="51"/>
      <c r="C9" s="51"/>
      <c r="D9" s="148"/>
      <c r="E9" s="51"/>
      <c r="F9" s="51"/>
      <c r="G9" s="148"/>
    </row>
    <row r="10" spans="1:7" ht="12" customHeight="1" x14ac:dyDescent="0.2">
      <c r="A10" s="92" t="s">
        <v>216</v>
      </c>
      <c r="B10" s="53">
        <v>0</v>
      </c>
      <c r="C10" s="53">
        <f>ROUND(B10*$D$5,0)</f>
        <v>0</v>
      </c>
      <c r="D10" s="149">
        <f>C10/$B$4</f>
        <v>0</v>
      </c>
      <c r="E10" s="53">
        <v>0</v>
      </c>
      <c r="F10" s="53">
        <f>ROUND(E10*$G$5,0)</f>
        <v>0</v>
      </c>
      <c r="G10" s="149">
        <f>F10/$E$4</f>
        <v>0</v>
      </c>
    </row>
    <row r="11" spans="1:7" ht="12" customHeight="1" x14ac:dyDescent="0.2">
      <c r="A11" s="92" t="s">
        <v>29</v>
      </c>
      <c r="B11" s="150">
        <f>SUM(B7:B10)+B4</f>
        <v>2599867</v>
      </c>
      <c r="C11" s="150">
        <f>C5+C7+C8+C10</f>
        <v>545972</v>
      </c>
      <c r="D11" s="151">
        <f>C11/B4</f>
        <v>0.21278978993140879</v>
      </c>
      <c r="E11" s="150">
        <f>SUM(E7:E10)+E4</f>
        <v>2155272</v>
      </c>
      <c r="F11" s="150">
        <f>SUM(F7:F10)+F5</f>
        <v>452606</v>
      </c>
      <c r="G11" s="151">
        <f>SUM(G7:G10)+G5</f>
        <v>0.21097562158002217</v>
      </c>
    </row>
    <row r="12" spans="1:7" ht="12" customHeight="1" x14ac:dyDescent="0.2">
      <c r="A12" s="92" t="s">
        <v>327</v>
      </c>
      <c r="B12" s="51">
        <v>-44440</v>
      </c>
      <c r="C12" s="53">
        <f>B12*D12</f>
        <v>-888.80000000000007</v>
      </c>
      <c r="D12" s="149">
        <v>0.02</v>
      </c>
      <c r="E12" s="51">
        <f>-200383+195937</f>
        <v>-4446</v>
      </c>
      <c r="F12" s="89">
        <f>G12*E12</f>
        <v>-88.92</v>
      </c>
      <c r="G12" s="151">
        <v>0.02</v>
      </c>
    </row>
    <row r="13" spans="1:7" ht="12" customHeight="1" thickBot="1" x14ac:dyDescent="0.25">
      <c r="A13" s="90" t="s">
        <v>217</v>
      </c>
      <c r="B13" s="89"/>
      <c r="C13" s="152">
        <f>SUM(C11:C12)</f>
        <v>545083.19999999995</v>
      </c>
      <c r="D13" s="153">
        <f>C13/B4</f>
        <v>0.21244338468481916</v>
      </c>
      <c r="E13" s="150"/>
      <c r="F13" s="152">
        <f>SUM(F11:F12)</f>
        <v>452517.08</v>
      </c>
      <c r="G13" s="153">
        <f>F13/E4</f>
        <v>0.21093427070072751</v>
      </c>
    </row>
    <row r="14" spans="1:7" ht="12" customHeight="1" thickTop="1" x14ac:dyDescent="0.2">
      <c r="A14" s="92"/>
      <c r="B14" s="89"/>
      <c r="C14" s="89"/>
      <c r="D14" s="146"/>
      <c r="E14" s="89"/>
      <c r="F14" s="89"/>
      <c r="G14" s="146"/>
    </row>
    <row r="15" spans="1:7" ht="12" customHeight="1" x14ac:dyDescent="0.2">
      <c r="A15" s="92" t="s">
        <v>218</v>
      </c>
      <c r="B15" s="89"/>
      <c r="C15" s="51">
        <v>541146</v>
      </c>
      <c r="D15" s="148">
        <f>C15/B4</f>
        <v>0.21090888115548442</v>
      </c>
      <c r="E15" s="51"/>
      <c r="F15" s="51">
        <v>447397</v>
      </c>
      <c r="G15" s="148">
        <f>F15/E4</f>
        <v>0.20854761970242844</v>
      </c>
    </row>
    <row r="16" spans="1:7" ht="12" customHeight="1" x14ac:dyDescent="0.2">
      <c r="A16" s="92" t="s">
        <v>219</v>
      </c>
      <c r="B16" s="89"/>
      <c r="C16" s="53">
        <v>3937</v>
      </c>
      <c r="D16" s="149">
        <f>C16/$B$4</f>
        <v>1.5344255803593527E-3</v>
      </c>
      <c r="E16" s="89"/>
      <c r="F16" s="53">
        <v>5121</v>
      </c>
      <c r="G16" s="149">
        <f>F16/$E$4</f>
        <v>2.387079842949631E-3</v>
      </c>
    </row>
    <row r="17" spans="1:7" ht="12" customHeight="1" thickBot="1" x14ac:dyDescent="0.25">
      <c r="A17" s="90" t="s">
        <v>220</v>
      </c>
      <c r="B17" s="89"/>
      <c r="C17" s="152">
        <f>C15+C16</f>
        <v>545083</v>
      </c>
      <c r="D17" s="153">
        <f>D15+D16</f>
        <v>0.21244330673584377</v>
      </c>
      <c r="E17" s="150"/>
      <c r="F17" s="152">
        <f>F15+F16</f>
        <v>452518</v>
      </c>
      <c r="G17" s="153">
        <f>G15+G16</f>
        <v>0.21093469954537808</v>
      </c>
    </row>
    <row r="18" spans="1:7" ht="12" thickTop="1" x14ac:dyDescent="0.2"/>
    <row r="20" spans="1:7" x14ac:dyDescent="0.2">
      <c r="F20" s="111"/>
    </row>
    <row r="21" spans="1:7" x14ac:dyDescent="0.2">
      <c r="B21" s="51">
        <f>-613225+568785</f>
        <v>-44440</v>
      </c>
    </row>
    <row r="22" spans="1:7" x14ac:dyDescent="0.2">
      <c r="B22" s="3">
        <f>B21*0.02</f>
        <v>-888.80000000000007</v>
      </c>
    </row>
  </sheetData>
  <mergeCells count="2">
    <mergeCell ref="B1:D1"/>
    <mergeCell ref="E1:G1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C8"/>
  <sheetViews>
    <sheetView workbookViewId="0">
      <selection activeCell="D15" sqref="D15"/>
    </sheetView>
  </sheetViews>
  <sheetFormatPr defaultColWidth="8.7109375" defaultRowHeight="12" x14ac:dyDescent="0.2"/>
  <cols>
    <col min="1" max="1" width="19.140625" style="136" customWidth="1"/>
    <col min="2" max="2" width="11.5703125" style="136" customWidth="1"/>
    <col min="3" max="3" width="10.140625" style="136" customWidth="1"/>
    <col min="4" max="16384" width="8.7109375" style="136"/>
  </cols>
  <sheetData>
    <row r="2" spans="1:3" ht="23.1" customHeight="1" x14ac:dyDescent="0.2">
      <c r="A2" s="114"/>
      <c r="B2" s="465" t="s">
        <v>13</v>
      </c>
      <c r="C2" s="465"/>
    </row>
    <row r="3" spans="1:3" ht="14.45" customHeight="1" x14ac:dyDescent="0.2">
      <c r="A3" s="155" t="s">
        <v>14</v>
      </c>
      <c r="B3" s="156">
        <v>2017</v>
      </c>
      <c r="C3" s="156">
        <v>2016</v>
      </c>
    </row>
    <row r="4" spans="1:3" ht="6" customHeight="1" x14ac:dyDescent="0.2">
      <c r="A4" s="113"/>
      <c r="B4" s="157"/>
      <c r="C4" s="157"/>
    </row>
    <row r="5" spans="1:3" ht="12" customHeight="1" x14ac:dyDescent="0.2">
      <c r="A5" s="135" t="s">
        <v>15</v>
      </c>
      <c r="B5" s="115">
        <v>13138</v>
      </c>
      <c r="C5" s="115">
        <v>14519</v>
      </c>
    </row>
    <row r="6" spans="1:3" ht="12" customHeight="1" x14ac:dyDescent="0.2">
      <c r="A6" s="114" t="s">
        <v>16</v>
      </c>
      <c r="B6" s="116">
        <v>0</v>
      </c>
      <c r="C6" s="116">
        <v>0</v>
      </c>
    </row>
    <row r="7" spans="1:3" ht="12" customHeight="1" x14ac:dyDescent="0.2">
      <c r="A7" s="114" t="s">
        <v>17</v>
      </c>
      <c r="B7" s="116">
        <v>0</v>
      </c>
      <c r="C7" s="116">
        <v>0</v>
      </c>
    </row>
    <row r="8" spans="1:3" ht="12" customHeight="1" x14ac:dyDescent="0.2">
      <c r="A8" s="114" t="s">
        <v>18</v>
      </c>
      <c r="B8" s="116">
        <v>0</v>
      </c>
      <c r="C8" s="116">
        <v>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44"/>
  <sheetViews>
    <sheetView workbookViewId="0">
      <selection activeCell="U37" sqref="U37"/>
    </sheetView>
  </sheetViews>
  <sheetFormatPr defaultColWidth="8.7109375" defaultRowHeight="12" x14ac:dyDescent="0.2"/>
  <cols>
    <col min="1" max="1" width="22.85546875" style="137" bestFit="1" customWidth="1"/>
    <col min="2" max="2" width="43.140625" style="137" bestFit="1" customWidth="1"/>
    <col min="3" max="4" width="13.140625" style="137" bestFit="1" customWidth="1"/>
    <col min="5" max="16384" width="8.7109375" style="137"/>
  </cols>
  <sheetData>
    <row r="1" spans="1:6" ht="22.5" x14ac:dyDescent="0.2">
      <c r="A1" s="139" t="s">
        <v>232</v>
      </c>
      <c r="B1" s="139" t="s">
        <v>221</v>
      </c>
      <c r="C1" s="139" t="s">
        <v>222</v>
      </c>
      <c r="D1" s="139" t="s">
        <v>223</v>
      </c>
      <c r="E1" s="140"/>
      <c r="F1" s="140"/>
    </row>
    <row r="2" spans="1:6" ht="12" customHeight="1" x14ac:dyDescent="0.2">
      <c r="A2" s="141" t="s">
        <v>224</v>
      </c>
      <c r="B2" s="141" t="s">
        <v>225</v>
      </c>
      <c r="C2" s="142">
        <v>0</v>
      </c>
      <c r="D2" s="142">
        <v>0</v>
      </c>
      <c r="E2" s="140"/>
      <c r="F2" s="140"/>
    </row>
    <row r="3" spans="1:6" ht="12" customHeight="1" x14ac:dyDescent="0.2">
      <c r="A3" s="141"/>
      <c r="B3" s="141" t="s">
        <v>233</v>
      </c>
      <c r="C3" s="142">
        <v>0</v>
      </c>
      <c r="D3" s="142">
        <v>0</v>
      </c>
      <c r="E3" s="140"/>
      <c r="F3" s="140"/>
    </row>
    <row r="4" spans="1:6" ht="12" customHeight="1" x14ac:dyDescent="0.2">
      <c r="A4" s="140"/>
      <c r="B4" s="140" t="s">
        <v>19</v>
      </c>
      <c r="C4" s="142">
        <v>0</v>
      </c>
      <c r="D4" s="142">
        <v>0</v>
      </c>
      <c r="E4" s="140"/>
      <c r="F4" s="140"/>
    </row>
    <row r="5" spans="1:6" ht="12" customHeight="1" x14ac:dyDescent="0.2">
      <c r="A5" s="141" t="s">
        <v>226</v>
      </c>
      <c r="B5" s="141" t="s">
        <v>225</v>
      </c>
      <c r="C5" s="142">
        <v>0</v>
      </c>
      <c r="D5" s="142">
        <v>0</v>
      </c>
      <c r="E5" s="140"/>
      <c r="F5" s="140"/>
    </row>
    <row r="6" spans="1:6" ht="12" customHeight="1" x14ac:dyDescent="0.2">
      <c r="A6" s="140"/>
      <c r="B6" s="141" t="s">
        <v>233</v>
      </c>
      <c r="C6" s="142">
        <v>0</v>
      </c>
      <c r="D6" s="142">
        <v>0</v>
      </c>
      <c r="E6" s="140"/>
      <c r="F6" s="140"/>
    </row>
    <row r="7" spans="1:6" ht="12" customHeight="1" x14ac:dyDescent="0.2">
      <c r="A7" s="140"/>
      <c r="B7" s="140" t="s">
        <v>19</v>
      </c>
      <c r="C7" s="142">
        <v>0</v>
      </c>
      <c r="D7" s="142">
        <v>0</v>
      </c>
      <c r="E7" s="140"/>
      <c r="F7" s="140"/>
    </row>
    <row r="8" spans="1:6" ht="12" customHeight="1" x14ac:dyDescent="0.2">
      <c r="A8" s="141" t="s">
        <v>227</v>
      </c>
      <c r="B8" s="141" t="s">
        <v>225</v>
      </c>
      <c r="C8" s="142">
        <v>0</v>
      </c>
      <c r="D8" s="142">
        <v>0</v>
      </c>
      <c r="E8" s="140"/>
      <c r="F8" s="140"/>
    </row>
    <row r="9" spans="1:6" ht="12" customHeight="1" x14ac:dyDescent="0.2">
      <c r="A9" s="140"/>
      <c r="B9" s="141" t="s">
        <v>233</v>
      </c>
      <c r="C9" s="142">
        <v>0</v>
      </c>
      <c r="D9" s="142">
        <v>0</v>
      </c>
      <c r="E9" s="140"/>
      <c r="F9" s="140"/>
    </row>
    <row r="10" spans="1:6" ht="12" customHeight="1" x14ac:dyDescent="0.2">
      <c r="A10" s="141"/>
      <c r="B10" s="140" t="s">
        <v>19</v>
      </c>
      <c r="C10" s="142">
        <v>0</v>
      </c>
      <c r="D10" s="142">
        <v>0</v>
      </c>
      <c r="E10" s="140"/>
      <c r="F10" s="140"/>
    </row>
    <row r="11" spans="1:6" ht="12" customHeight="1" x14ac:dyDescent="0.2">
      <c r="A11" s="141" t="s">
        <v>228</v>
      </c>
      <c r="B11" s="141" t="s">
        <v>225</v>
      </c>
      <c r="C11" s="142">
        <v>0</v>
      </c>
      <c r="D11" s="142">
        <v>0</v>
      </c>
      <c r="E11" s="140"/>
      <c r="F11" s="140"/>
    </row>
    <row r="12" spans="1:6" ht="12" customHeight="1" x14ac:dyDescent="0.2">
      <c r="A12" s="141"/>
      <c r="B12" s="141" t="s">
        <v>233</v>
      </c>
      <c r="C12" s="142">
        <v>0</v>
      </c>
      <c r="D12" s="142">
        <v>0</v>
      </c>
      <c r="E12" s="140"/>
      <c r="F12" s="140"/>
    </row>
    <row r="13" spans="1:6" ht="12" customHeight="1" x14ac:dyDescent="0.2">
      <c r="A13" s="140"/>
      <c r="B13" s="140" t="s">
        <v>19</v>
      </c>
      <c r="C13" s="142">
        <v>0</v>
      </c>
      <c r="D13" s="142">
        <v>0</v>
      </c>
      <c r="E13" s="140"/>
      <c r="F13" s="140"/>
    </row>
    <row r="14" spans="1:6" ht="12" customHeight="1" x14ac:dyDescent="0.2">
      <c r="A14" s="141" t="s">
        <v>229</v>
      </c>
      <c r="B14" s="141" t="s">
        <v>225</v>
      </c>
      <c r="C14" s="142">
        <v>0</v>
      </c>
      <c r="D14" s="142">
        <v>0</v>
      </c>
      <c r="E14" s="140"/>
      <c r="F14" s="140"/>
    </row>
    <row r="15" spans="1:6" ht="12" customHeight="1" x14ac:dyDescent="0.2">
      <c r="A15" s="140"/>
      <c r="B15" s="141" t="s">
        <v>233</v>
      </c>
      <c r="C15" s="142">
        <v>0</v>
      </c>
      <c r="D15" s="142">
        <v>0</v>
      </c>
      <c r="E15" s="140"/>
      <c r="F15" s="140"/>
    </row>
    <row r="16" spans="1:6" ht="12" customHeight="1" x14ac:dyDescent="0.2">
      <c r="A16" s="141"/>
      <c r="B16" s="140" t="s">
        <v>19</v>
      </c>
      <c r="C16" s="142">
        <v>0</v>
      </c>
      <c r="D16" s="142">
        <v>0</v>
      </c>
      <c r="E16" s="140"/>
      <c r="F16" s="140"/>
    </row>
    <row r="17" spans="1:6" ht="12" customHeight="1" x14ac:dyDescent="0.2">
      <c r="A17" s="141" t="s">
        <v>230</v>
      </c>
      <c r="B17" s="141" t="s">
        <v>225</v>
      </c>
      <c r="C17" s="142">
        <v>0</v>
      </c>
      <c r="D17" s="142">
        <v>0</v>
      </c>
      <c r="E17" s="140"/>
      <c r="F17" s="140"/>
    </row>
    <row r="18" spans="1:6" ht="12" customHeight="1" x14ac:dyDescent="0.2">
      <c r="A18" s="141"/>
      <c r="B18" s="141" t="s">
        <v>233</v>
      </c>
      <c r="C18" s="142">
        <v>0</v>
      </c>
      <c r="D18" s="142">
        <v>0</v>
      </c>
      <c r="E18" s="140"/>
      <c r="F18" s="140"/>
    </row>
    <row r="19" spans="1:6" ht="12" customHeight="1" x14ac:dyDescent="0.2">
      <c r="A19" s="140"/>
      <c r="B19" s="140" t="s">
        <v>19</v>
      </c>
      <c r="C19" s="142">
        <v>0</v>
      </c>
      <c r="D19" s="142">
        <v>0</v>
      </c>
      <c r="E19" s="140"/>
      <c r="F19" s="140"/>
    </row>
    <row r="20" spans="1:6" x14ac:dyDescent="0.2">
      <c r="A20" s="140"/>
      <c r="B20" s="140"/>
      <c r="C20" s="140"/>
      <c r="D20" s="140"/>
      <c r="E20" s="140"/>
      <c r="F20" s="140"/>
    </row>
    <row r="21" spans="1:6" x14ac:dyDescent="0.2">
      <c r="A21" s="140"/>
      <c r="B21" s="140"/>
      <c r="C21" s="140"/>
      <c r="D21" s="140"/>
      <c r="E21" s="140"/>
      <c r="F21" s="140"/>
    </row>
    <row r="22" spans="1:6" x14ac:dyDescent="0.2">
      <c r="A22" s="139" t="s">
        <v>232</v>
      </c>
      <c r="B22" s="139" t="s">
        <v>221</v>
      </c>
      <c r="C22" s="139" t="s">
        <v>234</v>
      </c>
      <c r="D22" s="139" t="s">
        <v>235</v>
      </c>
      <c r="E22" s="140"/>
      <c r="F22" s="140"/>
    </row>
    <row r="23" spans="1:6" ht="12" customHeight="1" x14ac:dyDescent="0.2">
      <c r="A23" s="141" t="s">
        <v>236</v>
      </c>
      <c r="B23" s="141" t="s">
        <v>225</v>
      </c>
      <c r="C23" s="142">
        <v>0</v>
      </c>
      <c r="D23" s="142">
        <v>0</v>
      </c>
      <c r="E23" s="140"/>
      <c r="F23" s="140"/>
    </row>
    <row r="24" spans="1:6" ht="12" customHeight="1" x14ac:dyDescent="0.2">
      <c r="A24" s="141"/>
      <c r="B24" s="141" t="s">
        <v>233</v>
      </c>
      <c r="C24" s="142">
        <v>7750</v>
      </c>
      <c r="D24" s="142">
        <v>21696</v>
      </c>
      <c r="E24" s="140"/>
      <c r="F24" s="140"/>
    </row>
    <row r="25" spans="1:6" ht="12" customHeight="1" x14ac:dyDescent="0.2">
      <c r="A25" s="140"/>
      <c r="B25" s="140" t="s">
        <v>19</v>
      </c>
      <c r="C25" s="142">
        <v>0</v>
      </c>
      <c r="D25" s="142">
        <v>0</v>
      </c>
      <c r="E25" s="140"/>
      <c r="F25" s="140"/>
    </row>
    <row r="26" spans="1:6" ht="12" customHeight="1" x14ac:dyDescent="0.2">
      <c r="A26" s="141" t="s">
        <v>237</v>
      </c>
      <c r="B26" s="141" t="s">
        <v>225</v>
      </c>
      <c r="C26" s="142">
        <v>0</v>
      </c>
      <c r="D26" s="142">
        <v>0</v>
      </c>
      <c r="E26" s="140"/>
      <c r="F26" s="140"/>
    </row>
    <row r="27" spans="1:6" ht="12" customHeight="1" x14ac:dyDescent="0.2">
      <c r="A27" s="140"/>
      <c r="B27" s="141" t="s">
        <v>233</v>
      </c>
      <c r="C27" s="142">
        <v>100000</v>
      </c>
      <c r="D27" s="142">
        <v>0</v>
      </c>
      <c r="E27" s="140"/>
      <c r="F27" s="140"/>
    </row>
    <row r="28" spans="1:6" ht="12" customHeight="1" x14ac:dyDescent="0.2">
      <c r="A28" s="140"/>
      <c r="B28" s="140" t="s">
        <v>19</v>
      </c>
      <c r="C28" s="142">
        <v>0</v>
      </c>
      <c r="D28" s="142">
        <v>0</v>
      </c>
      <c r="E28" s="140"/>
      <c r="F28" s="140"/>
    </row>
    <row r="29" spans="1:6" ht="12" customHeight="1" x14ac:dyDescent="0.2">
      <c r="A29" s="141" t="s">
        <v>231</v>
      </c>
      <c r="B29" s="141" t="s">
        <v>225</v>
      </c>
      <c r="C29" s="142">
        <v>0</v>
      </c>
      <c r="D29" s="142">
        <v>0</v>
      </c>
      <c r="E29" s="140"/>
      <c r="F29" s="140"/>
    </row>
    <row r="30" spans="1:6" ht="12" customHeight="1" x14ac:dyDescent="0.2">
      <c r="A30" s="140"/>
      <c r="B30" s="141" t="s">
        <v>233</v>
      </c>
      <c r="C30" s="142">
        <v>0</v>
      </c>
      <c r="D30" s="142">
        <v>0</v>
      </c>
      <c r="E30" s="140"/>
      <c r="F30" s="140"/>
    </row>
    <row r="31" spans="1:6" ht="12" customHeight="1" x14ac:dyDescent="0.2">
      <c r="A31" s="141"/>
      <c r="B31" s="140" t="s">
        <v>19</v>
      </c>
      <c r="C31" s="142">
        <v>0</v>
      </c>
      <c r="D31" s="142">
        <v>0</v>
      </c>
      <c r="E31" s="140"/>
      <c r="F31" s="140"/>
    </row>
    <row r="32" spans="1:6" ht="12" customHeight="1" x14ac:dyDescent="0.2">
      <c r="A32" s="141" t="s">
        <v>238</v>
      </c>
      <c r="B32" s="141" t="s">
        <v>225</v>
      </c>
      <c r="C32" s="142">
        <v>260000</v>
      </c>
      <c r="D32" s="142">
        <v>45000</v>
      </c>
      <c r="E32" s="140"/>
      <c r="F32" s="140"/>
    </row>
    <row r="33" spans="1:6" ht="12" customHeight="1" x14ac:dyDescent="0.2">
      <c r="A33" s="141"/>
      <c r="B33" s="141" t="s">
        <v>233</v>
      </c>
      <c r="C33" s="142">
        <v>0</v>
      </c>
      <c r="D33" s="142">
        <v>0</v>
      </c>
      <c r="E33" s="140"/>
      <c r="F33" s="140"/>
    </row>
    <row r="34" spans="1:6" ht="12" customHeight="1" x14ac:dyDescent="0.2">
      <c r="A34" s="140"/>
      <c r="B34" s="140" t="s">
        <v>19</v>
      </c>
      <c r="C34" s="142">
        <v>0</v>
      </c>
      <c r="D34" s="142">
        <v>0</v>
      </c>
      <c r="E34" s="140"/>
      <c r="F34" s="140"/>
    </row>
    <row r="35" spans="1:6" x14ac:dyDescent="0.2">
      <c r="A35" s="141"/>
      <c r="B35" s="141"/>
      <c r="C35" s="142"/>
      <c r="D35" s="142"/>
      <c r="E35" s="140"/>
      <c r="F35" s="140"/>
    </row>
    <row r="36" spans="1:6" x14ac:dyDescent="0.2">
      <c r="A36" s="140"/>
      <c r="B36" s="141"/>
      <c r="C36" s="142"/>
      <c r="D36" s="142"/>
      <c r="E36" s="140"/>
      <c r="F36" s="140"/>
    </row>
    <row r="37" spans="1:6" x14ac:dyDescent="0.2">
      <c r="A37" s="141"/>
      <c r="B37" s="140"/>
      <c r="C37" s="142"/>
      <c r="D37" s="142"/>
      <c r="E37" s="140"/>
      <c r="F37" s="140"/>
    </row>
    <row r="38" spans="1:6" x14ac:dyDescent="0.2">
      <c r="A38" s="141"/>
      <c r="B38" s="141"/>
      <c r="C38" s="142"/>
      <c r="D38" s="142"/>
      <c r="E38" s="140"/>
      <c r="F38" s="140"/>
    </row>
    <row r="39" spans="1:6" x14ac:dyDescent="0.2">
      <c r="A39" s="141"/>
      <c r="B39" s="141"/>
      <c r="C39" s="142"/>
      <c r="D39" s="142"/>
      <c r="E39" s="140"/>
      <c r="F39" s="140"/>
    </row>
    <row r="40" spans="1:6" x14ac:dyDescent="0.2">
      <c r="A40" s="140"/>
      <c r="B40" s="140"/>
      <c r="C40" s="142"/>
      <c r="D40" s="142"/>
      <c r="E40" s="140"/>
      <c r="F40" s="140"/>
    </row>
    <row r="41" spans="1:6" x14ac:dyDescent="0.2">
      <c r="A41" s="143"/>
      <c r="B41" s="140"/>
      <c r="C41" s="140"/>
      <c r="D41" s="140"/>
      <c r="E41" s="140"/>
      <c r="F41" s="140"/>
    </row>
    <row r="42" spans="1:6" x14ac:dyDescent="0.2">
      <c r="B42" s="138"/>
    </row>
    <row r="43" spans="1:6" x14ac:dyDescent="0.2">
      <c r="B43" s="138"/>
    </row>
    <row r="44" spans="1:6" x14ac:dyDescent="0.2">
      <c r="B44" s="138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J23"/>
  <sheetViews>
    <sheetView workbookViewId="0">
      <selection activeCell="A2" sqref="A2:I16"/>
    </sheetView>
  </sheetViews>
  <sheetFormatPr defaultColWidth="8.7109375" defaultRowHeight="12.75" x14ac:dyDescent="0.25"/>
  <cols>
    <col min="1" max="1" width="21" style="399" customWidth="1"/>
    <col min="2" max="2" width="8.28515625" style="399" customWidth="1"/>
    <col min="3" max="3" width="7" style="399" bestFit="1" customWidth="1"/>
    <col min="4" max="4" width="8.140625" style="399" customWidth="1"/>
    <col min="5" max="5" width="8.28515625" style="399" customWidth="1"/>
    <col min="6" max="6" width="8" style="399" customWidth="1"/>
    <col min="7" max="7" width="10.5703125" style="399" customWidth="1"/>
    <col min="8" max="8" width="9.85546875" style="399" customWidth="1"/>
    <col min="9" max="9" width="7.85546875" style="399" customWidth="1"/>
    <col min="10" max="16384" width="8.7109375" style="399"/>
  </cols>
  <sheetData>
    <row r="2" spans="1:10" ht="38.25" x14ac:dyDescent="0.25">
      <c r="A2" s="397"/>
      <c r="B2" s="398" t="s">
        <v>27</v>
      </c>
      <c r="C2" s="398" t="s">
        <v>30</v>
      </c>
      <c r="D2" s="398" t="s">
        <v>334</v>
      </c>
      <c r="E2" s="398" t="s">
        <v>331</v>
      </c>
      <c r="F2" s="398" t="s">
        <v>332</v>
      </c>
      <c r="G2" s="398" t="s">
        <v>28</v>
      </c>
      <c r="H2" s="398" t="s">
        <v>35</v>
      </c>
      <c r="I2" s="398" t="s">
        <v>29</v>
      </c>
    </row>
    <row r="3" spans="1:10" ht="6.6" customHeight="1" x14ac:dyDescent="0.25">
      <c r="A3" s="400"/>
      <c r="B3" s="401"/>
      <c r="C3" s="401"/>
      <c r="D3" s="401"/>
      <c r="E3" s="401"/>
      <c r="F3" s="401"/>
      <c r="G3" s="401"/>
      <c r="H3" s="401"/>
      <c r="I3" s="401"/>
    </row>
    <row r="4" spans="1:10" ht="12.95" customHeight="1" x14ac:dyDescent="0.25">
      <c r="A4" s="402" t="s">
        <v>328</v>
      </c>
      <c r="B4" s="403">
        <v>13320</v>
      </c>
      <c r="C4" s="403">
        <v>1332</v>
      </c>
      <c r="D4" s="403">
        <v>944395</v>
      </c>
      <c r="E4" s="403">
        <v>5851838</v>
      </c>
      <c r="F4" s="403">
        <v>2461</v>
      </c>
      <c r="G4" s="403">
        <v>2623803</v>
      </c>
      <c r="H4" s="403">
        <v>816428</v>
      </c>
      <c r="I4" s="404">
        <f>SUM(B4:H4)</f>
        <v>10253577</v>
      </c>
    </row>
    <row r="5" spans="1:10" ht="12.95" customHeight="1" x14ac:dyDescent="0.25">
      <c r="A5" s="405" t="s">
        <v>32</v>
      </c>
      <c r="B5" s="406"/>
      <c r="C5" s="406"/>
      <c r="D5" s="406"/>
      <c r="E5" s="406"/>
      <c r="F5" s="406"/>
      <c r="G5" s="406">
        <v>316428</v>
      </c>
      <c r="H5" s="406">
        <v>-316428</v>
      </c>
      <c r="I5" s="406">
        <f>SUM(B5:H5)</f>
        <v>0</v>
      </c>
    </row>
    <row r="6" spans="1:10" ht="24" customHeight="1" x14ac:dyDescent="0.25">
      <c r="A6" s="405" t="s">
        <v>333</v>
      </c>
      <c r="B6" s="406"/>
      <c r="C6" s="406"/>
      <c r="D6" s="406"/>
      <c r="E6" s="406"/>
      <c r="F6" s="406">
        <v>-2461</v>
      </c>
      <c r="G6" s="406"/>
      <c r="H6" s="406"/>
      <c r="I6" s="406">
        <f t="shared" ref="I6:I8" si="0">SUM(B6:H6)</f>
        <v>-2461</v>
      </c>
    </row>
    <row r="7" spans="1:10" ht="12.95" customHeight="1" x14ac:dyDescent="0.25">
      <c r="A7" s="405" t="s">
        <v>329</v>
      </c>
      <c r="B7" s="406"/>
      <c r="C7" s="406"/>
      <c r="D7" s="406"/>
      <c r="E7" s="406"/>
      <c r="F7" s="406"/>
      <c r="G7" s="406"/>
      <c r="H7" s="406">
        <v>-500000</v>
      </c>
      <c r="I7" s="406">
        <f t="shared" si="0"/>
        <v>-500000</v>
      </c>
    </row>
    <row r="8" spans="1:10" ht="12.95" customHeight="1" x14ac:dyDescent="0.25">
      <c r="A8" s="407" t="s">
        <v>31</v>
      </c>
      <c r="B8" s="406"/>
      <c r="C8" s="406"/>
      <c r="D8" s="406"/>
      <c r="E8" s="406"/>
      <c r="F8" s="406"/>
      <c r="G8" s="406"/>
      <c r="H8" s="408">
        <v>1692781</v>
      </c>
      <c r="I8" s="406">
        <f t="shared" si="0"/>
        <v>1692781</v>
      </c>
    </row>
    <row r="9" spans="1:10" ht="3.6" customHeight="1" x14ac:dyDescent="0.25">
      <c r="A9" s="409"/>
      <c r="B9" s="410"/>
      <c r="C9" s="410"/>
      <c r="D9" s="410"/>
      <c r="E9" s="410"/>
      <c r="F9" s="410"/>
      <c r="G9" s="410"/>
      <c r="H9" s="410"/>
      <c r="I9" s="411"/>
      <c r="J9" s="412"/>
    </row>
    <row r="10" spans="1:10" ht="12.95" customHeight="1" x14ac:dyDescent="0.25">
      <c r="A10" s="402" t="s">
        <v>330</v>
      </c>
      <c r="B10" s="403">
        <f>SUM(B4:B9)</f>
        <v>13320</v>
      </c>
      <c r="C10" s="403">
        <f t="shared" ref="C10:F10" si="1">SUM(C4:C9)</f>
        <v>1332</v>
      </c>
      <c r="D10" s="403">
        <f t="shared" si="1"/>
        <v>944395</v>
      </c>
      <c r="E10" s="403">
        <f t="shared" si="1"/>
        <v>5851838</v>
      </c>
      <c r="F10" s="403">
        <f t="shared" si="1"/>
        <v>0</v>
      </c>
      <c r="G10" s="403">
        <f>SUM(G4:G9)</f>
        <v>2940231</v>
      </c>
      <c r="H10" s="403">
        <f>SUM(H4:H9)</f>
        <v>1692781</v>
      </c>
      <c r="I10" s="403">
        <f>SUM(I4:I9)</f>
        <v>11443897</v>
      </c>
    </row>
    <row r="11" spans="1:10" ht="12.95" customHeight="1" x14ac:dyDescent="0.25">
      <c r="A11" s="405" t="s">
        <v>32</v>
      </c>
      <c r="B11" s="413"/>
      <c r="C11" s="413"/>
      <c r="D11" s="413"/>
      <c r="E11" s="413"/>
      <c r="F11" s="413"/>
      <c r="G11" s="413">
        <v>1692781</v>
      </c>
      <c r="H11" s="413">
        <v>-1692781</v>
      </c>
      <c r="I11" s="413">
        <f>SUM(B11:H11)</f>
        <v>0</v>
      </c>
    </row>
    <row r="12" spans="1:10" ht="25.5" customHeight="1" x14ac:dyDescent="0.25">
      <c r="A12" s="405" t="s">
        <v>333</v>
      </c>
      <c r="B12" s="413"/>
      <c r="C12" s="413"/>
      <c r="D12" s="413"/>
      <c r="E12" s="413"/>
      <c r="F12" s="413">
        <v>140434</v>
      </c>
      <c r="G12" s="413"/>
      <c r="H12" s="413"/>
      <c r="I12" s="414">
        <f t="shared" ref="I12:I13" si="2">SUM(B12:H12)</f>
        <v>140434</v>
      </c>
    </row>
    <row r="13" spans="1:10" ht="12.95" customHeight="1" x14ac:dyDescent="0.25">
      <c r="A13" s="417" t="s">
        <v>329</v>
      </c>
      <c r="B13" s="413"/>
      <c r="C13" s="413"/>
      <c r="D13" s="413"/>
      <c r="E13" s="413"/>
      <c r="F13" s="413"/>
      <c r="G13" s="413"/>
      <c r="H13" s="413"/>
      <c r="I13" s="414">
        <f t="shared" si="2"/>
        <v>0</v>
      </c>
    </row>
    <row r="14" spans="1:10" ht="12" customHeight="1" x14ac:dyDescent="0.25">
      <c r="A14" s="407" t="s">
        <v>31</v>
      </c>
      <c r="B14" s="413"/>
      <c r="C14" s="413"/>
      <c r="D14" s="413"/>
      <c r="E14" s="413"/>
      <c r="F14" s="413"/>
      <c r="G14" s="413"/>
      <c r="H14" s="413">
        <v>2020698</v>
      </c>
      <c r="I14" s="414">
        <f>SUM(B14:H14)</f>
        <v>2020698</v>
      </c>
    </row>
    <row r="15" spans="1:10" ht="3.95" customHeight="1" x14ac:dyDescent="0.25">
      <c r="A15" s="415"/>
      <c r="B15" s="413"/>
      <c r="C15" s="413"/>
      <c r="D15" s="413"/>
      <c r="E15" s="413"/>
      <c r="F15" s="413"/>
      <c r="G15" s="413"/>
      <c r="H15" s="413"/>
      <c r="I15" s="416"/>
    </row>
    <row r="16" spans="1:10" x14ac:dyDescent="0.25">
      <c r="A16" s="402" t="s">
        <v>36</v>
      </c>
      <c r="B16" s="403">
        <f>SUM(B10:B15)</f>
        <v>13320</v>
      </c>
      <c r="C16" s="403">
        <f>SUM(C10:C15)</f>
        <v>1332</v>
      </c>
      <c r="D16" s="403">
        <f t="shared" ref="D16" si="3">SUM(D10:D15)</f>
        <v>944395</v>
      </c>
      <c r="E16" s="403">
        <f t="shared" ref="E16" si="4">SUM(E10:E15)</f>
        <v>5851838</v>
      </c>
      <c r="F16" s="403">
        <f t="shared" ref="F16" si="5">SUM(F10:F15)</f>
        <v>140434</v>
      </c>
      <c r="G16" s="403">
        <f>SUM(G10:G15)</f>
        <v>4633012</v>
      </c>
      <c r="H16" s="403">
        <f>SUM(H10:H15)</f>
        <v>2020698</v>
      </c>
      <c r="I16" s="403">
        <f>SUM(I10:I15)</f>
        <v>13605029</v>
      </c>
    </row>
    <row r="19" spans="7:9" x14ac:dyDescent="0.25">
      <c r="I19" s="412"/>
    </row>
    <row r="23" spans="7:9" x14ac:dyDescent="0.25">
      <c r="G23" s="399" t="s">
        <v>239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"/>
  <sheetViews>
    <sheetView topLeftCell="A19" zoomScale="120" zoomScaleNormal="120" workbookViewId="0">
      <selection activeCell="A28" sqref="A28:J50"/>
    </sheetView>
  </sheetViews>
  <sheetFormatPr defaultColWidth="9.140625" defaultRowHeight="10.5" x14ac:dyDescent="0.2"/>
  <cols>
    <col min="1" max="1" width="20.140625" style="16" customWidth="1"/>
    <col min="2" max="2" width="5.5703125" style="16" bestFit="1" customWidth="1"/>
    <col min="3" max="3" width="5.7109375" style="16" bestFit="1" customWidth="1"/>
    <col min="4" max="4" width="8.7109375" style="16" bestFit="1" customWidth="1"/>
    <col min="5" max="5" width="8.42578125" style="16" bestFit="1" customWidth="1"/>
    <col min="6" max="6" width="5.7109375" style="16" bestFit="1" customWidth="1"/>
    <col min="7" max="7" width="6.28515625" style="16" customWidth="1"/>
    <col min="8" max="8" width="8.42578125" style="16" bestFit="1" customWidth="1"/>
    <col min="9" max="9" width="7.28515625" style="16" bestFit="1" customWidth="1"/>
    <col min="10" max="10" width="8" style="16" customWidth="1"/>
    <col min="11" max="16384" width="9.140625" style="16"/>
  </cols>
  <sheetData>
    <row r="1" spans="1:14" x14ac:dyDescent="0.2">
      <c r="A1" s="446"/>
      <c r="B1" s="446"/>
      <c r="C1" s="446"/>
      <c r="D1" s="446"/>
      <c r="E1" s="446"/>
      <c r="F1" s="446"/>
      <c r="G1" s="446"/>
      <c r="H1" s="446"/>
      <c r="I1" s="446"/>
      <c r="J1" s="446"/>
    </row>
    <row r="2" spans="1:14" x14ac:dyDescent="0.2">
      <c r="A2" s="21"/>
      <c r="B2" s="19"/>
      <c r="C2" s="19"/>
      <c r="D2" s="19"/>
      <c r="E2" s="19"/>
      <c r="F2" s="19"/>
      <c r="G2" s="19"/>
      <c r="H2" s="19"/>
      <c r="I2" s="19"/>
      <c r="J2" s="20"/>
    </row>
    <row r="3" spans="1:14" s="22" customFormat="1" ht="20.25" customHeight="1" x14ac:dyDescent="0.25">
      <c r="A3" s="447" t="s">
        <v>244</v>
      </c>
      <c r="B3" s="447"/>
      <c r="C3" s="447"/>
      <c r="D3" s="447"/>
      <c r="E3" s="447"/>
      <c r="F3" s="447"/>
      <c r="G3" s="447"/>
      <c r="H3" s="447"/>
      <c r="I3" s="447"/>
      <c r="J3" s="447"/>
    </row>
    <row r="4" spans="1:14" ht="56.25" x14ac:dyDescent="0.25">
      <c r="A4" s="184" t="s">
        <v>12</v>
      </c>
      <c r="B4" s="185" t="s">
        <v>66</v>
      </c>
      <c r="C4" s="185" t="s">
        <v>67</v>
      </c>
      <c r="D4" s="185" t="s">
        <v>68</v>
      </c>
      <c r="E4" s="185" t="s">
        <v>69</v>
      </c>
      <c r="F4" s="185" t="s">
        <v>70</v>
      </c>
      <c r="G4" s="185" t="s">
        <v>71</v>
      </c>
      <c r="H4" s="185" t="s">
        <v>72</v>
      </c>
      <c r="I4" s="185" t="s">
        <v>73</v>
      </c>
      <c r="J4" s="186" t="s">
        <v>29</v>
      </c>
    </row>
    <row r="5" spans="1:14" ht="11.25" x14ac:dyDescent="0.2">
      <c r="A5" s="187"/>
      <c r="B5" s="188"/>
      <c r="C5" s="188"/>
      <c r="D5" s="188"/>
      <c r="E5" s="188"/>
      <c r="F5" s="188"/>
      <c r="G5" s="188"/>
      <c r="H5" s="188"/>
      <c r="I5" s="188"/>
      <c r="J5" s="189"/>
    </row>
    <row r="6" spans="1:14" ht="12" customHeight="1" x14ac:dyDescent="0.25">
      <c r="A6" s="190" t="s">
        <v>57</v>
      </c>
      <c r="B6" s="191"/>
      <c r="C6" s="191"/>
      <c r="D6" s="191"/>
      <c r="E6" s="191"/>
      <c r="F6" s="191"/>
      <c r="G6" s="191"/>
      <c r="H6" s="191"/>
      <c r="I6" s="191"/>
      <c r="J6" s="192"/>
    </row>
    <row r="7" spans="1:14" ht="12" customHeight="1" x14ac:dyDescent="0.25">
      <c r="A7" s="193" t="s">
        <v>58</v>
      </c>
      <c r="B7" s="194">
        <v>509322</v>
      </c>
      <c r="C7" s="195">
        <v>6929102</v>
      </c>
      <c r="D7" s="195">
        <v>17145229</v>
      </c>
      <c r="E7" s="195">
        <v>0</v>
      </c>
      <c r="F7" s="195">
        <v>0</v>
      </c>
      <c r="G7" s="195">
        <v>30803</v>
      </c>
      <c r="H7" s="195">
        <v>427380</v>
      </c>
      <c r="I7" s="196">
        <v>14456</v>
      </c>
      <c r="J7" s="197">
        <f>SUM(B7:I7)</f>
        <v>25056292</v>
      </c>
      <c r="K7" s="23"/>
      <c r="L7" s="23"/>
    </row>
    <row r="8" spans="1:14" ht="12" customHeight="1" x14ac:dyDescent="0.25">
      <c r="A8" s="198" t="s">
        <v>59</v>
      </c>
      <c r="B8" s="194">
        <v>422354</v>
      </c>
      <c r="C8" s="194">
        <f>630970-3968</f>
        <v>627002</v>
      </c>
      <c r="D8" s="194">
        <f>479371+20469</f>
        <v>499840</v>
      </c>
      <c r="E8" s="194">
        <v>0</v>
      </c>
      <c r="F8" s="194">
        <v>0</v>
      </c>
      <c r="G8" s="194">
        <v>0</v>
      </c>
      <c r="H8" s="194">
        <v>139550</v>
      </c>
      <c r="I8" s="199">
        <v>208405</v>
      </c>
      <c r="J8" s="197">
        <f>SUM(B8:I8)</f>
        <v>1897151</v>
      </c>
      <c r="K8" s="112">
        <f>J8+DNM!I5</f>
        <v>1913463</v>
      </c>
      <c r="L8" s="16">
        <v>1908916</v>
      </c>
      <c r="M8" s="112">
        <f>L8-K8</f>
        <v>-4547</v>
      </c>
    </row>
    <row r="9" spans="1:14" ht="12" customHeight="1" x14ac:dyDescent="0.25">
      <c r="A9" s="198" t="s">
        <v>60</v>
      </c>
      <c r="B9" s="194">
        <v>0</v>
      </c>
      <c r="C9" s="194">
        <v>0</v>
      </c>
      <c r="D9" s="194">
        <f>6033+20469</f>
        <v>26502</v>
      </c>
      <c r="E9" s="194">
        <v>0</v>
      </c>
      <c r="F9" s="194">
        <v>0</v>
      </c>
      <c r="G9" s="194">
        <v>14264</v>
      </c>
      <c r="H9" s="194">
        <v>0</v>
      </c>
      <c r="I9" s="199">
        <v>4546</v>
      </c>
      <c r="J9" s="197">
        <f>SUM(B9:I9)</f>
        <v>45312</v>
      </c>
      <c r="L9" s="112">
        <f>L8-D8-C8</f>
        <v>782074</v>
      </c>
    </row>
    <row r="10" spans="1:14" ht="12" customHeight="1" x14ac:dyDescent="0.25">
      <c r="A10" s="198" t="s">
        <v>61</v>
      </c>
      <c r="B10" s="194">
        <v>0</v>
      </c>
      <c r="C10" s="194">
        <v>3968</v>
      </c>
      <c r="D10" s="194">
        <v>38417</v>
      </c>
      <c r="E10" s="194">
        <v>0</v>
      </c>
      <c r="F10" s="194">
        <v>0</v>
      </c>
      <c r="G10" s="194">
        <v>0</v>
      </c>
      <c r="H10" s="194">
        <v>-42385</v>
      </c>
      <c r="I10" s="199"/>
      <c r="J10" s="197">
        <f>SUM(B10:I10)</f>
        <v>0</v>
      </c>
    </row>
    <row r="11" spans="1:14" ht="12" customHeight="1" x14ac:dyDescent="0.25">
      <c r="A11" s="200" t="s">
        <v>62</v>
      </c>
      <c r="B11" s="202">
        <f>SUM(B7,B8,-B9,B10)</f>
        <v>931676</v>
      </c>
      <c r="C11" s="202">
        <f t="shared" ref="C11:H11" si="0">SUM(C7,C8,-C9,C10)</f>
        <v>7560072</v>
      </c>
      <c r="D11" s="202">
        <f>SUM(D7,D8,-D9,D10)</f>
        <v>17656984</v>
      </c>
      <c r="E11" s="202">
        <f t="shared" si="0"/>
        <v>0</v>
      </c>
      <c r="F11" s="202">
        <f>SUM(F7,F8,-F9,F10)</f>
        <v>0</v>
      </c>
      <c r="G11" s="202">
        <f t="shared" si="0"/>
        <v>16539</v>
      </c>
      <c r="H11" s="202">
        <f t="shared" si="0"/>
        <v>524545</v>
      </c>
      <c r="I11" s="202">
        <f>SUM(I7,I8,-I9,I10)</f>
        <v>218315</v>
      </c>
      <c r="J11" s="197">
        <f>SUM(B11:I11)</f>
        <v>26908131</v>
      </c>
      <c r="M11" s="112">
        <f>D11-17656984</f>
        <v>0</v>
      </c>
    </row>
    <row r="12" spans="1:14" ht="12" customHeight="1" x14ac:dyDescent="0.2">
      <c r="A12" s="190" t="s">
        <v>63</v>
      </c>
      <c r="B12" s="203"/>
      <c r="C12" s="203"/>
      <c r="D12" s="203"/>
      <c r="E12" s="203"/>
      <c r="F12" s="203"/>
      <c r="G12" s="203"/>
      <c r="H12" s="203"/>
      <c r="I12" s="203"/>
      <c r="J12" s="204"/>
    </row>
    <row r="13" spans="1:14" ht="12" customHeight="1" x14ac:dyDescent="0.25">
      <c r="A13" s="193" t="s">
        <v>58</v>
      </c>
      <c r="B13" s="194">
        <v>0</v>
      </c>
      <c r="C13" s="195">
        <v>4974981</v>
      </c>
      <c r="D13" s="195">
        <v>15197260</v>
      </c>
      <c r="E13" s="195">
        <v>0</v>
      </c>
      <c r="F13" s="195">
        <v>0</v>
      </c>
      <c r="G13" s="195">
        <v>30803</v>
      </c>
      <c r="H13" s="195">
        <v>0</v>
      </c>
      <c r="I13" s="195">
        <v>0</v>
      </c>
      <c r="J13" s="197">
        <f>SUM(B13:I13)</f>
        <v>20203044</v>
      </c>
      <c r="K13" s="23"/>
    </row>
    <row r="14" spans="1:14" ht="12" customHeight="1" x14ac:dyDescent="0.25">
      <c r="A14" s="198" t="s">
        <v>59</v>
      </c>
      <c r="B14" s="194">
        <v>0</v>
      </c>
      <c r="C14" s="194">
        <v>269473</v>
      </c>
      <c r="D14" s="194">
        <v>449207</v>
      </c>
      <c r="E14" s="194">
        <v>0</v>
      </c>
      <c r="F14" s="194">
        <v>0</v>
      </c>
      <c r="G14" s="194">
        <v>0</v>
      </c>
      <c r="H14" s="194">
        <v>0</v>
      </c>
      <c r="I14" s="194">
        <v>0</v>
      </c>
      <c r="J14" s="197">
        <f>SUM(B14:I14)</f>
        <v>718680</v>
      </c>
    </row>
    <row r="15" spans="1:14" ht="12" customHeight="1" x14ac:dyDescent="0.25">
      <c r="A15" s="198" t="s">
        <v>60</v>
      </c>
      <c r="B15" s="194">
        <v>0</v>
      </c>
      <c r="C15" s="194">
        <v>0</v>
      </c>
      <c r="D15" s="194">
        <f>169+20469</f>
        <v>20638</v>
      </c>
      <c r="E15" s="194">
        <v>0</v>
      </c>
      <c r="F15" s="194">
        <v>0</v>
      </c>
      <c r="G15" s="194">
        <v>14264</v>
      </c>
      <c r="H15" s="194">
        <v>0</v>
      </c>
      <c r="I15" s="194">
        <v>0</v>
      </c>
      <c r="J15" s="197">
        <f>SUM(B15:I15)</f>
        <v>34902</v>
      </c>
      <c r="L15" s="112"/>
    </row>
    <row r="16" spans="1:14" ht="12" customHeight="1" x14ac:dyDescent="0.25">
      <c r="A16" s="200" t="s">
        <v>62</v>
      </c>
      <c r="B16" s="202">
        <f>SUM(B13,B14,-B15)</f>
        <v>0</v>
      </c>
      <c r="C16" s="202">
        <f t="shared" ref="C16:I16" si="1">SUM(C13,C14,-C15)</f>
        <v>5244454</v>
      </c>
      <c r="D16" s="202">
        <f>SUM(D13,D14,-D15)</f>
        <v>15625829</v>
      </c>
      <c r="E16" s="202">
        <f t="shared" si="1"/>
        <v>0</v>
      </c>
      <c r="F16" s="202">
        <f t="shared" si="1"/>
        <v>0</v>
      </c>
      <c r="G16" s="202">
        <f t="shared" si="1"/>
        <v>16539</v>
      </c>
      <c r="H16" s="202">
        <f t="shared" si="1"/>
        <v>0</v>
      </c>
      <c r="I16" s="202">
        <f t="shared" si="1"/>
        <v>0</v>
      </c>
      <c r="J16" s="197">
        <f>SUM(B16:I16)</f>
        <v>20886822</v>
      </c>
      <c r="M16" s="16">
        <v>726538</v>
      </c>
      <c r="N16" s="112"/>
    </row>
    <row r="17" spans="1:13" ht="12" customHeight="1" x14ac:dyDescent="0.2">
      <c r="A17" s="190" t="s">
        <v>64</v>
      </c>
      <c r="B17" s="203"/>
      <c r="C17" s="203"/>
      <c r="D17" s="203"/>
      <c r="E17" s="203"/>
      <c r="F17" s="203"/>
      <c r="G17" s="203"/>
      <c r="H17" s="203"/>
      <c r="I17" s="203"/>
      <c r="J17" s="204"/>
      <c r="M17" s="16">
        <f>-DNM!I11</f>
        <v>-7860</v>
      </c>
    </row>
    <row r="18" spans="1:13" ht="12" customHeight="1" x14ac:dyDescent="0.25">
      <c r="A18" s="193" t="s">
        <v>58</v>
      </c>
      <c r="B18" s="194">
        <v>0</v>
      </c>
      <c r="C18" s="194">
        <v>0</v>
      </c>
      <c r="D18" s="194">
        <v>0</v>
      </c>
      <c r="E18" s="194">
        <v>0</v>
      </c>
      <c r="F18" s="194">
        <v>0</v>
      </c>
      <c r="G18" s="194">
        <v>0</v>
      </c>
      <c r="H18" s="194">
        <v>0</v>
      </c>
      <c r="I18" s="199">
        <v>0</v>
      </c>
      <c r="J18" s="197">
        <f>SUM(B18:I18)</f>
        <v>0</v>
      </c>
      <c r="M18" s="16">
        <f>SUM(M16:M17)</f>
        <v>718678</v>
      </c>
    </row>
    <row r="19" spans="1:13" ht="12" customHeight="1" x14ac:dyDescent="0.25">
      <c r="A19" s="198" t="s">
        <v>59</v>
      </c>
      <c r="B19" s="194">
        <v>0</v>
      </c>
      <c r="C19" s="194">
        <v>0</v>
      </c>
      <c r="D19" s="194">
        <v>0</v>
      </c>
      <c r="E19" s="194">
        <v>0</v>
      </c>
      <c r="F19" s="194">
        <v>0</v>
      </c>
      <c r="G19" s="194">
        <v>0</v>
      </c>
      <c r="H19" s="194">
        <v>0</v>
      </c>
      <c r="I19" s="199">
        <v>0</v>
      </c>
      <c r="J19" s="197">
        <f>SUM(B19:I19)</f>
        <v>0</v>
      </c>
      <c r="M19" s="112">
        <f>M18-C14</f>
        <v>449205</v>
      </c>
    </row>
    <row r="20" spans="1:13" ht="12" customHeight="1" x14ac:dyDescent="0.25">
      <c r="A20" s="198" t="s">
        <v>60</v>
      </c>
      <c r="B20" s="194">
        <v>0</v>
      </c>
      <c r="C20" s="194">
        <v>0</v>
      </c>
      <c r="D20" s="194">
        <v>0</v>
      </c>
      <c r="E20" s="194">
        <v>0</v>
      </c>
      <c r="F20" s="194">
        <v>0</v>
      </c>
      <c r="G20" s="194">
        <v>0</v>
      </c>
      <c r="H20" s="194">
        <v>0</v>
      </c>
      <c r="I20" s="199">
        <v>0</v>
      </c>
      <c r="J20" s="197">
        <f>SUM(B20:I20)</f>
        <v>0</v>
      </c>
    </row>
    <row r="21" spans="1:13" ht="12" customHeight="1" x14ac:dyDescent="0.25">
      <c r="A21" s="200" t="s">
        <v>62</v>
      </c>
      <c r="B21" s="201">
        <f>SUM(B18,B19,-B20)</f>
        <v>0</v>
      </c>
      <c r="C21" s="201">
        <f t="shared" ref="C21:I21" si="2">SUM(C18,C19,-C20)</f>
        <v>0</v>
      </c>
      <c r="D21" s="201">
        <f t="shared" si="2"/>
        <v>0</v>
      </c>
      <c r="E21" s="201">
        <f t="shared" si="2"/>
        <v>0</v>
      </c>
      <c r="F21" s="201">
        <f t="shared" si="2"/>
        <v>0</v>
      </c>
      <c r="G21" s="201">
        <f t="shared" si="2"/>
        <v>0</v>
      </c>
      <c r="H21" s="201">
        <f t="shared" si="2"/>
        <v>0</v>
      </c>
      <c r="I21" s="201">
        <f t="shared" si="2"/>
        <v>0</v>
      </c>
      <c r="J21" s="197">
        <f>SUM(B21:I21)</f>
        <v>0</v>
      </c>
    </row>
    <row r="22" spans="1:13" ht="12" customHeight="1" x14ac:dyDescent="0.2">
      <c r="A22" s="190" t="s">
        <v>65</v>
      </c>
      <c r="B22" s="203"/>
      <c r="C22" s="203"/>
      <c r="D22" s="203"/>
      <c r="E22" s="203"/>
      <c r="F22" s="203"/>
      <c r="G22" s="203"/>
      <c r="H22" s="203"/>
      <c r="I22" s="203"/>
      <c r="J22" s="204"/>
    </row>
    <row r="23" spans="1:13" ht="12" customHeight="1" x14ac:dyDescent="0.25">
      <c r="A23" s="193" t="s">
        <v>58</v>
      </c>
      <c r="B23" s="207">
        <f>SUM(B7,-B13,-B18)</f>
        <v>509322</v>
      </c>
      <c r="C23" s="207">
        <f t="shared" ref="C23:I23" si="3">SUM(C7,-C13,-C18)</f>
        <v>1954121</v>
      </c>
      <c r="D23" s="207">
        <f t="shared" si="3"/>
        <v>1947969</v>
      </c>
      <c r="E23" s="207">
        <f>SUM(E7,-E13,-E18)</f>
        <v>0</v>
      </c>
      <c r="F23" s="207">
        <f t="shared" si="3"/>
        <v>0</v>
      </c>
      <c r="G23" s="207">
        <f t="shared" si="3"/>
        <v>0</v>
      </c>
      <c r="H23" s="207">
        <f t="shared" si="3"/>
        <v>427380</v>
      </c>
      <c r="I23" s="207">
        <f t="shared" si="3"/>
        <v>14456</v>
      </c>
      <c r="J23" s="197">
        <f>SUM(B23:I23)</f>
        <v>4853248</v>
      </c>
    </row>
    <row r="24" spans="1:13" ht="12" customHeight="1" x14ac:dyDescent="0.25">
      <c r="A24" s="200" t="s">
        <v>62</v>
      </c>
      <c r="B24" s="202">
        <f>SUM(B11,-B16,-B21)</f>
        <v>931676</v>
      </c>
      <c r="C24" s="202">
        <f t="shared" ref="C24:I24" si="4">SUM(C11,-C16,-C21)</f>
        <v>2315618</v>
      </c>
      <c r="D24" s="202">
        <f t="shared" si="4"/>
        <v>2031155</v>
      </c>
      <c r="E24" s="202">
        <f>SUM(E11,-E16,-E21)</f>
        <v>0</v>
      </c>
      <c r="F24" s="202">
        <f t="shared" si="4"/>
        <v>0</v>
      </c>
      <c r="G24" s="202">
        <f>SUM(G11,-G16,-G21)</f>
        <v>0</v>
      </c>
      <c r="H24" s="202">
        <f t="shared" si="4"/>
        <v>524545</v>
      </c>
      <c r="I24" s="202">
        <f t="shared" si="4"/>
        <v>218315</v>
      </c>
      <c r="J24" s="208">
        <f>SUM(B24:I24)</f>
        <v>6021309</v>
      </c>
    </row>
    <row r="25" spans="1:13" x14ac:dyDescent="0.2">
      <c r="A25" s="15"/>
      <c r="B25" s="17"/>
      <c r="C25" s="17"/>
      <c r="D25" s="17"/>
      <c r="E25" s="17"/>
      <c r="F25" s="17"/>
      <c r="G25" s="17"/>
      <c r="H25" s="17"/>
      <c r="I25" s="17"/>
      <c r="J25" s="18"/>
    </row>
    <row r="27" spans="1:13" x14ac:dyDescent="0.2">
      <c r="A27" s="21"/>
      <c r="B27" s="19"/>
      <c r="C27" s="19"/>
      <c r="D27" s="19"/>
      <c r="E27" s="19"/>
      <c r="F27" s="19"/>
      <c r="G27" s="19"/>
      <c r="H27" s="19"/>
      <c r="I27" s="19"/>
      <c r="J27" s="20"/>
    </row>
    <row r="28" spans="1:13" ht="24.75" customHeight="1" x14ac:dyDescent="0.2">
      <c r="A28" s="447" t="s">
        <v>243</v>
      </c>
      <c r="B28" s="447"/>
      <c r="C28" s="447"/>
      <c r="D28" s="447"/>
      <c r="E28" s="447"/>
      <c r="F28" s="447"/>
      <c r="G28" s="447"/>
      <c r="H28" s="447"/>
      <c r="I28" s="447"/>
      <c r="J28" s="447"/>
    </row>
    <row r="29" spans="1:13" ht="56.25" x14ac:dyDescent="0.25">
      <c r="A29" s="184" t="s">
        <v>12</v>
      </c>
      <c r="B29" s="185" t="s">
        <v>66</v>
      </c>
      <c r="C29" s="185" t="s">
        <v>67</v>
      </c>
      <c r="D29" s="185" t="s">
        <v>68</v>
      </c>
      <c r="E29" s="185" t="s">
        <v>69</v>
      </c>
      <c r="F29" s="185" t="s">
        <v>70</v>
      </c>
      <c r="G29" s="185" t="s">
        <v>71</v>
      </c>
      <c r="H29" s="185" t="s">
        <v>72</v>
      </c>
      <c r="I29" s="185" t="s">
        <v>73</v>
      </c>
      <c r="J29" s="186" t="s">
        <v>29</v>
      </c>
    </row>
    <row r="30" spans="1:13" ht="11.25" x14ac:dyDescent="0.2">
      <c r="A30" s="187"/>
      <c r="B30" s="188"/>
      <c r="C30" s="188"/>
      <c r="D30" s="188"/>
      <c r="E30" s="188"/>
      <c r="F30" s="188"/>
      <c r="G30" s="188"/>
      <c r="H30" s="188"/>
      <c r="I30" s="188"/>
      <c r="J30" s="189"/>
    </row>
    <row r="31" spans="1:13" ht="12" customHeight="1" x14ac:dyDescent="0.25">
      <c r="A31" s="190" t="s">
        <v>57</v>
      </c>
      <c r="B31" s="191"/>
      <c r="C31" s="191"/>
      <c r="D31" s="191"/>
      <c r="E31" s="191"/>
      <c r="F31" s="191"/>
      <c r="G31" s="191"/>
      <c r="H31" s="191"/>
      <c r="I31" s="191"/>
      <c r="J31" s="192"/>
    </row>
    <row r="32" spans="1:13" ht="12" customHeight="1" x14ac:dyDescent="0.25">
      <c r="A32" s="193" t="s">
        <v>58</v>
      </c>
      <c r="B32" s="194">
        <v>509322</v>
      </c>
      <c r="C32" s="195">
        <v>6766970</v>
      </c>
      <c r="D32" s="195">
        <v>16633249</v>
      </c>
      <c r="E32" s="195">
        <v>0</v>
      </c>
      <c r="F32" s="195">
        <v>0</v>
      </c>
      <c r="G32" s="195">
        <v>30803</v>
      </c>
      <c r="H32" s="195">
        <v>157683</v>
      </c>
      <c r="I32" s="196">
        <v>21634</v>
      </c>
      <c r="J32" s="197">
        <f>SUM(B32:I32)</f>
        <v>24119661</v>
      </c>
    </row>
    <row r="33" spans="1:11" ht="12" customHeight="1" x14ac:dyDescent="0.25">
      <c r="A33" s="198" t="s">
        <v>59</v>
      </c>
      <c r="B33" s="194">
        <v>0</v>
      </c>
      <c r="C33" s="194">
        <v>165233</v>
      </c>
      <c r="D33" s="194">
        <v>597209</v>
      </c>
      <c r="E33" s="194">
        <v>0</v>
      </c>
      <c r="F33" s="194">
        <v>0</v>
      </c>
      <c r="G33" s="194">
        <v>0</v>
      </c>
      <c r="H33" s="194">
        <v>1140973</v>
      </c>
      <c r="I33" s="199">
        <v>14456</v>
      </c>
      <c r="J33" s="197">
        <f>SUM(B33:I33)</f>
        <v>1917871</v>
      </c>
    </row>
    <row r="34" spans="1:11" ht="12" customHeight="1" x14ac:dyDescent="0.25">
      <c r="A34" s="198" t="s">
        <v>60</v>
      </c>
      <c r="B34" s="194">
        <v>0</v>
      </c>
      <c r="C34" s="194">
        <v>3101</v>
      </c>
      <c r="D34" s="194">
        <v>85229</v>
      </c>
      <c r="E34" s="194">
        <v>0</v>
      </c>
      <c r="F34" s="194">
        <v>0</v>
      </c>
      <c r="G34" s="194">
        <v>0</v>
      </c>
      <c r="H34" s="194">
        <v>871276</v>
      </c>
      <c r="I34" s="199">
        <v>21634</v>
      </c>
      <c r="J34" s="197">
        <f>SUM(B34:I34)</f>
        <v>981240</v>
      </c>
    </row>
    <row r="35" spans="1:11" ht="12" customHeight="1" x14ac:dyDescent="0.25">
      <c r="A35" s="198" t="s">
        <v>61</v>
      </c>
      <c r="B35" s="194">
        <v>0</v>
      </c>
      <c r="C35" s="194">
        <v>0</v>
      </c>
      <c r="D35" s="194">
        <v>0</v>
      </c>
      <c r="E35" s="194">
        <v>0</v>
      </c>
      <c r="F35" s="194">
        <v>0</v>
      </c>
      <c r="G35" s="194">
        <v>0</v>
      </c>
      <c r="H35" s="194">
        <v>0</v>
      </c>
      <c r="I35" s="199">
        <v>0</v>
      </c>
      <c r="J35" s="197">
        <f>SUM(B35:I35)</f>
        <v>0</v>
      </c>
    </row>
    <row r="36" spans="1:11" ht="12" customHeight="1" x14ac:dyDescent="0.25">
      <c r="A36" s="200" t="s">
        <v>62</v>
      </c>
      <c r="B36" s="201">
        <f>SUM(B32,B33,-B34,B35)</f>
        <v>509322</v>
      </c>
      <c r="C36" s="202">
        <f t="shared" ref="C36:H36" si="5">SUM(C32,C33,-C34,C35)</f>
        <v>6929102</v>
      </c>
      <c r="D36" s="202">
        <f>SUM(D32,D33,-D34,D35)</f>
        <v>17145229</v>
      </c>
      <c r="E36" s="202">
        <f t="shared" si="5"/>
        <v>0</v>
      </c>
      <c r="F36" s="202">
        <f>SUM(F32,F33,-F34,F35)</f>
        <v>0</v>
      </c>
      <c r="G36" s="202">
        <f t="shared" si="5"/>
        <v>30803</v>
      </c>
      <c r="H36" s="202">
        <f t="shared" si="5"/>
        <v>427380</v>
      </c>
      <c r="I36" s="202">
        <f>SUM(I32,I33,-I34,I35)</f>
        <v>14456</v>
      </c>
      <c r="J36" s="197">
        <f>SUM(B36:I36)</f>
        <v>25056292</v>
      </c>
    </row>
    <row r="37" spans="1:11" ht="12" customHeight="1" x14ac:dyDescent="0.2">
      <c r="A37" s="190" t="s">
        <v>63</v>
      </c>
      <c r="B37" s="203"/>
      <c r="C37" s="203"/>
      <c r="D37" s="203"/>
      <c r="E37" s="203"/>
      <c r="F37" s="203"/>
      <c r="G37" s="203"/>
      <c r="H37" s="203"/>
      <c r="I37" s="203"/>
      <c r="J37" s="204"/>
    </row>
    <row r="38" spans="1:11" ht="12" customHeight="1" x14ac:dyDescent="0.25">
      <c r="A38" s="193" t="s">
        <v>58</v>
      </c>
      <c r="B38" s="194">
        <v>0</v>
      </c>
      <c r="C38" s="195">
        <v>4707120</v>
      </c>
      <c r="D38" s="195">
        <v>14917438</v>
      </c>
      <c r="E38" s="195">
        <v>0</v>
      </c>
      <c r="F38" s="195">
        <v>0</v>
      </c>
      <c r="G38" s="195">
        <v>30803</v>
      </c>
      <c r="H38" s="195">
        <v>0</v>
      </c>
      <c r="I38" s="195">
        <v>0</v>
      </c>
      <c r="J38" s="197">
        <f>SUM(B38:I38)</f>
        <v>19655361</v>
      </c>
    </row>
    <row r="39" spans="1:11" ht="12" customHeight="1" x14ac:dyDescent="0.25">
      <c r="A39" s="198" t="s">
        <v>59</v>
      </c>
      <c r="B39" s="194">
        <v>0</v>
      </c>
      <c r="C39" s="194">
        <v>267861</v>
      </c>
      <c r="D39" s="194">
        <v>344451</v>
      </c>
      <c r="E39" s="194">
        <v>0</v>
      </c>
      <c r="F39" s="194">
        <v>0</v>
      </c>
      <c r="G39" s="194">
        <v>0</v>
      </c>
      <c r="H39" s="194">
        <v>0</v>
      </c>
      <c r="I39" s="194">
        <v>0</v>
      </c>
      <c r="J39" s="197">
        <f>SUM(B39:I39)</f>
        <v>612312</v>
      </c>
    </row>
    <row r="40" spans="1:11" ht="12" customHeight="1" x14ac:dyDescent="0.25">
      <c r="A40" s="198" t="s">
        <v>60</v>
      </c>
      <c r="B40" s="194">
        <v>0</v>
      </c>
      <c r="C40" s="194">
        <v>0</v>
      </c>
      <c r="D40" s="194">
        <v>64629</v>
      </c>
      <c r="E40" s="194">
        <v>0</v>
      </c>
      <c r="F40" s="194">
        <v>0</v>
      </c>
      <c r="G40" s="194">
        <v>0</v>
      </c>
      <c r="H40" s="194">
        <v>0</v>
      </c>
      <c r="I40" s="194">
        <v>0</v>
      </c>
      <c r="J40" s="197">
        <f>SUM(B40:I40)</f>
        <v>64629</v>
      </c>
    </row>
    <row r="41" spans="1:11" ht="12" customHeight="1" x14ac:dyDescent="0.25">
      <c r="A41" s="200" t="s">
        <v>62</v>
      </c>
      <c r="B41" s="201">
        <f>SUM(B38,B39,-B40)</f>
        <v>0</v>
      </c>
      <c r="C41" s="202">
        <f t="shared" ref="C41:I41" si="6">SUM(C38,C39,-C40)</f>
        <v>4974981</v>
      </c>
      <c r="D41" s="202">
        <f>SUM(D38,D39,-D40)</f>
        <v>15197260</v>
      </c>
      <c r="E41" s="202">
        <f t="shared" si="6"/>
        <v>0</v>
      </c>
      <c r="F41" s="202">
        <f t="shared" si="6"/>
        <v>0</v>
      </c>
      <c r="G41" s="202">
        <f t="shared" si="6"/>
        <v>30803</v>
      </c>
      <c r="H41" s="202">
        <f t="shared" si="6"/>
        <v>0</v>
      </c>
      <c r="I41" s="202">
        <f t="shared" si="6"/>
        <v>0</v>
      </c>
      <c r="J41" s="197">
        <f>SUM(B41:I41)</f>
        <v>20203044</v>
      </c>
      <c r="K41" s="23"/>
    </row>
    <row r="42" spans="1:11" ht="12" customHeight="1" x14ac:dyDescent="0.2">
      <c r="A42" s="190" t="s">
        <v>64</v>
      </c>
      <c r="B42" s="203"/>
      <c r="C42" s="205"/>
      <c r="D42" s="205"/>
      <c r="E42" s="205"/>
      <c r="F42" s="205"/>
      <c r="G42" s="205"/>
      <c r="H42" s="205"/>
      <c r="I42" s="205"/>
      <c r="J42" s="206"/>
      <c r="K42" s="23"/>
    </row>
    <row r="43" spans="1:11" ht="12" customHeight="1" x14ac:dyDescent="0.25">
      <c r="A43" s="193" t="s">
        <v>58</v>
      </c>
      <c r="B43" s="194">
        <v>0</v>
      </c>
      <c r="C43" s="194">
        <v>0</v>
      </c>
      <c r="D43" s="194">
        <v>0</v>
      </c>
      <c r="E43" s="194">
        <v>0</v>
      </c>
      <c r="F43" s="194">
        <v>0</v>
      </c>
      <c r="G43" s="194">
        <v>0</v>
      </c>
      <c r="H43" s="194">
        <v>0</v>
      </c>
      <c r="I43" s="199">
        <v>0</v>
      </c>
      <c r="J43" s="197">
        <f>SUM(B43:I43)</f>
        <v>0</v>
      </c>
    </row>
    <row r="44" spans="1:11" ht="12" customHeight="1" x14ac:dyDescent="0.25">
      <c r="A44" s="198" t="s">
        <v>59</v>
      </c>
      <c r="B44" s="194">
        <v>0</v>
      </c>
      <c r="C44" s="194">
        <v>0</v>
      </c>
      <c r="D44" s="194">
        <v>0</v>
      </c>
      <c r="E44" s="194">
        <v>0</v>
      </c>
      <c r="F44" s="194">
        <v>0</v>
      </c>
      <c r="G44" s="194">
        <v>0</v>
      </c>
      <c r="H44" s="194">
        <v>0</v>
      </c>
      <c r="I44" s="199">
        <v>0</v>
      </c>
      <c r="J44" s="197">
        <f>SUM(B44:I44)</f>
        <v>0</v>
      </c>
    </row>
    <row r="45" spans="1:11" ht="12" customHeight="1" x14ac:dyDescent="0.25">
      <c r="A45" s="198" t="s">
        <v>60</v>
      </c>
      <c r="B45" s="194">
        <v>0</v>
      </c>
      <c r="C45" s="194">
        <v>0</v>
      </c>
      <c r="D45" s="194">
        <v>0</v>
      </c>
      <c r="E45" s="194">
        <v>0</v>
      </c>
      <c r="F45" s="194">
        <v>0</v>
      </c>
      <c r="G45" s="194">
        <v>0</v>
      </c>
      <c r="H45" s="194">
        <v>0</v>
      </c>
      <c r="I45" s="199">
        <v>0</v>
      </c>
      <c r="J45" s="197">
        <f>SUM(B45:I45)</f>
        <v>0</v>
      </c>
    </row>
    <row r="46" spans="1:11" ht="12" customHeight="1" x14ac:dyDescent="0.25">
      <c r="A46" s="200" t="s">
        <v>62</v>
      </c>
      <c r="B46" s="201">
        <f>SUM(B43,B44,-B45)</f>
        <v>0</v>
      </c>
      <c r="C46" s="201">
        <f t="shared" ref="C46:I46" si="7">SUM(C43,C44,-C45)</f>
        <v>0</v>
      </c>
      <c r="D46" s="201">
        <f t="shared" si="7"/>
        <v>0</v>
      </c>
      <c r="E46" s="201">
        <f t="shared" si="7"/>
        <v>0</v>
      </c>
      <c r="F46" s="201">
        <f t="shared" si="7"/>
        <v>0</v>
      </c>
      <c r="G46" s="201">
        <f t="shared" si="7"/>
        <v>0</v>
      </c>
      <c r="H46" s="201">
        <f t="shared" si="7"/>
        <v>0</v>
      </c>
      <c r="I46" s="201">
        <f t="shared" si="7"/>
        <v>0</v>
      </c>
      <c r="J46" s="197">
        <f>SUM(B46:I46)</f>
        <v>0</v>
      </c>
    </row>
    <row r="47" spans="1:11" ht="12" customHeight="1" x14ac:dyDescent="0.2">
      <c r="A47" s="190" t="s">
        <v>65</v>
      </c>
      <c r="B47" s="203"/>
      <c r="C47" s="203"/>
      <c r="D47" s="203"/>
      <c r="E47" s="203"/>
      <c r="F47" s="203"/>
      <c r="G47" s="203"/>
      <c r="H47" s="203"/>
      <c r="I47" s="203"/>
      <c r="J47" s="204"/>
    </row>
    <row r="48" spans="1:11" ht="12" customHeight="1" x14ac:dyDescent="0.25">
      <c r="A48" s="193" t="s">
        <v>58</v>
      </c>
      <c r="B48" s="207">
        <f>SUM(B32,-B38,-B43)</f>
        <v>509322</v>
      </c>
      <c r="C48" s="207">
        <f t="shared" ref="C48:I48" si="8">SUM(C32,-C38,-C43)</f>
        <v>2059850</v>
      </c>
      <c r="D48" s="207">
        <f t="shared" si="8"/>
        <v>1715811</v>
      </c>
      <c r="E48" s="207">
        <f>SUM(E32,-E38,-E43)</f>
        <v>0</v>
      </c>
      <c r="F48" s="207">
        <f t="shared" si="8"/>
        <v>0</v>
      </c>
      <c r="G48" s="207">
        <f t="shared" si="8"/>
        <v>0</v>
      </c>
      <c r="H48" s="207">
        <f t="shared" si="8"/>
        <v>157683</v>
      </c>
      <c r="I48" s="207">
        <f t="shared" si="8"/>
        <v>21634</v>
      </c>
      <c r="J48" s="197">
        <f>SUM(B48:I48)</f>
        <v>4464300</v>
      </c>
      <c r="K48" s="23"/>
    </row>
    <row r="49" spans="1:11" ht="12" customHeight="1" x14ac:dyDescent="0.25">
      <c r="A49" s="200" t="s">
        <v>62</v>
      </c>
      <c r="B49" s="202">
        <f>SUM(B36,-B41,-B46)</f>
        <v>509322</v>
      </c>
      <c r="C49" s="202">
        <f t="shared" ref="C49:I49" si="9">SUM(C36,-C41,-C46)</f>
        <v>1954121</v>
      </c>
      <c r="D49" s="202">
        <f t="shared" si="9"/>
        <v>1947969</v>
      </c>
      <c r="E49" s="202">
        <f>SUM(E36,-E41,-E46)</f>
        <v>0</v>
      </c>
      <c r="F49" s="202">
        <f t="shared" si="9"/>
        <v>0</v>
      </c>
      <c r="G49" s="202">
        <f>SUM(G36,-G41,-G46)</f>
        <v>0</v>
      </c>
      <c r="H49" s="202">
        <f t="shared" si="9"/>
        <v>427380</v>
      </c>
      <c r="I49" s="202">
        <f t="shared" si="9"/>
        <v>14456</v>
      </c>
      <c r="J49" s="208">
        <f>SUM(B49:I49)</f>
        <v>4853248</v>
      </c>
      <c r="K49" s="23"/>
    </row>
    <row r="50" spans="1:11" ht="12" x14ac:dyDescent="0.25">
      <c r="A50" s="176"/>
      <c r="B50" s="209"/>
      <c r="C50" s="209"/>
      <c r="D50" s="209"/>
      <c r="E50" s="209"/>
      <c r="F50" s="209"/>
      <c r="G50" s="209"/>
      <c r="H50" s="209"/>
      <c r="I50" s="209"/>
      <c r="J50" s="210"/>
      <c r="K50" s="23"/>
    </row>
    <row r="51" spans="1:11" ht="12" x14ac:dyDescent="0.25">
      <c r="A51" s="176"/>
      <c r="B51" s="209"/>
      <c r="C51" s="209"/>
      <c r="D51" s="209"/>
      <c r="E51" s="209"/>
      <c r="F51" s="209"/>
      <c r="G51" s="209"/>
      <c r="H51" s="209"/>
      <c r="I51" s="209"/>
      <c r="J51" s="210"/>
      <c r="K51" s="23"/>
    </row>
    <row r="52" spans="1:11" ht="12" x14ac:dyDescent="0.25">
      <c r="A52" s="211"/>
      <c r="B52" s="211"/>
      <c r="C52" s="211"/>
      <c r="D52" s="211"/>
      <c r="E52" s="211"/>
      <c r="F52" s="211"/>
      <c r="G52" s="211"/>
      <c r="H52" s="211"/>
      <c r="I52" s="211"/>
      <c r="J52" s="211"/>
    </row>
  </sheetData>
  <mergeCells count="3">
    <mergeCell ref="A1:J1"/>
    <mergeCell ref="A28:J28"/>
    <mergeCell ref="A3:J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2"/>
  <sheetViews>
    <sheetView topLeftCell="A28" zoomScale="135" zoomScaleNormal="135" workbookViewId="0">
      <selection activeCell="D44" sqref="D44"/>
    </sheetView>
  </sheetViews>
  <sheetFormatPr defaultRowHeight="12.75" x14ac:dyDescent="0.25"/>
  <cols>
    <col min="1" max="1" width="21.5703125" style="241" customWidth="1"/>
    <col min="2" max="2" width="9.140625" style="241" customWidth="1"/>
    <col min="3" max="3" width="8.7109375" style="241" customWidth="1"/>
    <col min="4" max="4" width="9" style="241" customWidth="1"/>
    <col min="5" max="5" width="9" style="241" bestFit="1" customWidth="1"/>
    <col min="6" max="6" width="5.42578125" style="241" bestFit="1" customWidth="1"/>
    <col min="7" max="7" width="7" style="241" customWidth="1"/>
    <col min="8" max="8" width="8.28515625" style="241" customWidth="1"/>
    <col min="9" max="9" width="7.5703125" style="241" customWidth="1"/>
    <col min="10" max="10" width="6.85546875" style="241" bestFit="1" customWidth="1"/>
    <col min="11" max="16384" width="9.140625" style="241"/>
  </cols>
  <sheetData>
    <row r="1" spans="1:13" ht="24.75" customHeight="1" x14ac:dyDescent="0.25">
      <c r="A1" s="448" t="s">
        <v>247</v>
      </c>
      <c r="B1" s="448"/>
      <c r="C1" s="448"/>
      <c r="D1" s="448"/>
      <c r="E1" s="448"/>
      <c r="F1" s="448"/>
      <c r="G1" s="448"/>
      <c r="H1" s="448"/>
      <c r="I1" s="448"/>
      <c r="J1" s="448"/>
    </row>
    <row r="2" spans="1:13" ht="89.25" x14ac:dyDescent="0.25">
      <c r="A2" s="215"/>
      <c r="B2" s="216" t="s">
        <v>74</v>
      </c>
      <c r="C2" s="216" t="s">
        <v>75</v>
      </c>
      <c r="D2" s="216" t="s">
        <v>76</v>
      </c>
      <c r="E2" s="216" t="s">
        <v>77</v>
      </c>
      <c r="F2" s="216" t="s">
        <v>78</v>
      </c>
      <c r="G2" s="216" t="s">
        <v>79</v>
      </c>
      <c r="H2" s="216" t="s">
        <v>80</v>
      </c>
      <c r="I2" s="216" t="s">
        <v>81</v>
      </c>
      <c r="J2" s="217" t="s">
        <v>29</v>
      </c>
      <c r="K2" s="251"/>
      <c r="L2" s="251"/>
      <c r="M2" s="251"/>
    </row>
    <row r="3" spans="1:13" x14ac:dyDescent="0.25">
      <c r="A3" s="218"/>
      <c r="B3" s="219"/>
      <c r="C3" s="219"/>
      <c r="D3" s="219"/>
      <c r="E3" s="219"/>
      <c r="F3" s="219"/>
      <c r="G3" s="219"/>
      <c r="H3" s="219"/>
      <c r="I3" s="219"/>
      <c r="J3" s="220"/>
      <c r="K3" s="251"/>
      <c r="L3" s="251"/>
      <c r="M3" s="251"/>
    </row>
    <row r="4" spans="1:13" ht="12" customHeight="1" x14ac:dyDescent="0.25">
      <c r="A4" s="221" t="s">
        <v>57</v>
      </c>
      <c r="B4" s="222"/>
      <c r="C4" s="222"/>
      <c r="D4" s="222"/>
      <c r="E4" s="222"/>
      <c r="F4" s="222"/>
      <c r="G4" s="222"/>
      <c r="H4" s="222"/>
      <c r="I4" s="222"/>
      <c r="J4" s="221"/>
      <c r="K4" s="251"/>
      <c r="L4" s="251"/>
      <c r="M4" s="251"/>
    </row>
    <row r="5" spans="1:13" ht="12" customHeight="1" x14ac:dyDescent="0.25">
      <c r="A5" s="223" t="s">
        <v>58</v>
      </c>
      <c r="B5" s="224">
        <v>0</v>
      </c>
      <c r="C5" s="224">
        <v>0</v>
      </c>
      <c r="D5" s="224">
        <v>0</v>
      </c>
      <c r="E5" s="224">
        <v>0</v>
      </c>
      <c r="F5" s="224">
        <v>0</v>
      </c>
      <c r="G5" s="224">
        <v>0</v>
      </c>
      <c r="H5" s="224">
        <v>0</v>
      </c>
      <c r="I5" s="225">
        <v>0</v>
      </c>
      <c r="J5" s="226">
        <f>SUM(B5:I5)</f>
        <v>0</v>
      </c>
      <c r="K5" s="251"/>
      <c r="L5" s="251"/>
      <c r="M5" s="251"/>
    </row>
    <row r="6" spans="1:13" ht="12" customHeight="1" x14ac:dyDescent="0.25">
      <c r="A6" s="227" t="s">
        <v>59</v>
      </c>
      <c r="B6" s="228">
        <v>0</v>
      </c>
      <c r="C6" s="228">
        <v>0</v>
      </c>
      <c r="D6" s="228">
        <v>0</v>
      </c>
      <c r="E6" s="228">
        <v>0</v>
      </c>
      <c r="F6" s="228">
        <v>0</v>
      </c>
      <c r="G6" s="228">
        <v>0</v>
      </c>
      <c r="H6" s="228">
        <v>0</v>
      </c>
      <c r="I6" s="229">
        <v>0</v>
      </c>
      <c r="J6" s="226">
        <f>SUM(B6:I6)</f>
        <v>0</v>
      </c>
      <c r="K6" s="251"/>
      <c r="L6" s="251"/>
      <c r="M6" s="251"/>
    </row>
    <row r="7" spans="1:13" ht="12" customHeight="1" x14ac:dyDescent="0.25">
      <c r="A7" s="227" t="s">
        <v>60</v>
      </c>
      <c r="B7" s="228">
        <v>0</v>
      </c>
      <c r="C7" s="228">
        <v>0</v>
      </c>
      <c r="D7" s="228">
        <v>0</v>
      </c>
      <c r="E7" s="228">
        <v>0</v>
      </c>
      <c r="F7" s="228">
        <v>0</v>
      </c>
      <c r="G7" s="228">
        <v>0</v>
      </c>
      <c r="H7" s="228">
        <v>0</v>
      </c>
      <c r="I7" s="229">
        <v>0</v>
      </c>
      <c r="J7" s="226">
        <f>SUM(B7:I7)</f>
        <v>0</v>
      </c>
      <c r="K7" s="251"/>
      <c r="L7" s="251"/>
      <c r="M7" s="251"/>
    </row>
    <row r="8" spans="1:13" ht="12" customHeight="1" x14ac:dyDescent="0.25">
      <c r="A8" s="227" t="s">
        <v>82</v>
      </c>
      <c r="B8" s="228">
        <v>0</v>
      </c>
      <c r="C8" s="228">
        <v>0</v>
      </c>
      <c r="D8" s="228">
        <v>0</v>
      </c>
      <c r="E8" s="228">
        <v>0</v>
      </c>
      <c r="F8" s="228">
        <v>0</v>
      </c>
      <c r="G8" s="228">
        <v>0</v>
      </c>
      <c r="H8" s="228">
        <v>0</v>
      </c>
      <c r="I8" s="229">
        <v>0</v>
      </c>
      <c r="J8" s="226">
        <f>SUM(B8:I8)</f>
        <v>0</v>
      </c>
      <c r="K8" s="251"/>
      <c r="L8" s="251"/>
      <c r="M8" s="251"/>
    </row>
    <row r="9" spans="1:13" ht="12" customHeight="1" x14ac:dyDescent="0.25">
      <c r="A9" s="230" t="s">
        <v>62</v>
      </c>
      <c r="B9" s="231">
        <f>SUM(B5,B6,-B7,B8)</f>
        <v>0</v>
      </c>
      <c r="C9" s="231">
        <f t="shared" ref="C9:I9" si="0">SUM(C5,C6,-C7,C8)</f>
        <v>0</v>
      </c>
      <c r="D9" s="231">
        <f t="shared" si="0"/>
        <v>0</v>
      </c>
      <c r="E9" s="231">
        <f t="shared" si="0"/>
        <v>0</v>
      </c>
      <c r="F9" s="231">
        <f t="shared" si="0"/>
        <v>0</v>
      </c>
      <c r="G9" s="231">
        <f t="shared" si="0"/>
        <v>0</v>
      </c>
      <c r="H9" s="231">
        <f t="shared" si="0"/>
        <v>0</v>
      </c>
      <c r="I9" s="231">
        <f t="shared" si="0"/>
        <v>0</v>
      </c>
      <c r="J9" s="226">
        <f>SUM(B9:I9)</f>
        <v>0</v>
      </c>
      <c r="K9" s="251"/>
      <c r="L9" s="251"/>
      <c r="M9" s="251"/>
    </row>
    <row r="10" spans="1:13" ht="12" customHeight="1" x14ac:dyDescent="0.25">
      <c r="A10" s="221" t="s">
        <v>64</v>
      </c>
      <c r="B10" s="232"/>
      <c r="C10" s="232"/>
      <c r="D10" s="232"/>
      <c r="E10" s="232"/>
      <c r="F10" s="232"/>
      <c r="G10" s="232"/>
      <c r="H10" s="232"/>
      <c r="I10" s="232"/>
      <c r="J10" s="233"/>
      <c r="K10" s="251"/>
      <c r="L10" s="251"/>
      <c r="M10" s="251"/>
    </row>
    <row r="11" spans="1:13" ht="12" customHeight="1" x14ac:dyDescent="0.25">
      <c r="A11" s="223" t="s">
        <v>58</v>
      </c>
      <c r="B11" s="224">
        <v>0</v>
      </c>
      <c r="C11" s="224">
        <v>0</v>
      </c>
      <c r="D11" s="224">
        <v>0</v>
      </c>
      <c r="E11" s="224">
        <v>0</v>
      </c>
      <c r="F11" s="224">
        <v>0</v>
      </c>
      <c r="G11" s="224">
        <v>0</v>
      </c>
      <c r="H11" s="224">
        <v>0</v>
      </c>
      <c r="I11" s="225">
        <v>0</v>
      </c>
      <c r="J11" s="226">
        <f>SUM(B11:I11)</f>
        <v>0</v>
      </c>
      <c r="K11" s="251"/>
      <c r="L11" s="251"/>
      <c r="M11" s="251"/>
    </row>
    <row r="12" spans="1:13" ht="12" customHeight="1" x14ac:dyDescent="0.25">
      <c r="A12" s="227" t="s">
        <v>59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28">
        <v>0</v>
      </c>
      <c r="H12" s="228">
        <v>0</v>
      </c>
      <c r="I12" s="229">
        <v>0</v>
      </c>
      <c r="J12" s="226">
        <f>SUM(B12:I12)</f>
        <v>0</v>
      </c>
      <c r="K12" s="251"/>
      <c r="L12" s="251"/>
      <c r="M12" s="251"/>
    </row>
    <row r="13" spans="1:13" ht="12" customHeight="1" x14ac:dyDescent="0.25">
      <c r="A13" s="227" t="s">
        <v>60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28">
        <v>0</v>
      </c>
      <c r="H13" s="228">
        <v>0</v>
      </c>
      <c r="I13" s="229">
        <v>0</v>
      </c>
      <c r="J13" s="226">
        <f>SUM(B13:I13)</f>
        <v>0</v>
      </c>
      <c r="K13" s="251"/>
      <c r="L13" s="251"/>
      <c r="M13" s="251"/>
    </row>
    <row r="14" spans="1:13" ht="12" customHeight="1" x14ac:dyDescent="0.25">
      <c r="A14" s="230" t="s">
        <v>62</v>
      </c>
      <c r="B14" s="231">
        <f t="shared" ref="B14:I14" si="1">SUM(B11,B12,-B13)</f>
        <v>0</v>
      </c>
      <c r="C14" s="231">
        <f t="shared" si="1"/>
        <v>0</v>
      </c>
      <c r="D14" s="231">
        <f t="shared" si="1"/>
        <v>0</v>
      </c>
      <c r="E14" s="231">
        <f t="shared" si="1"/>
        <v>0</v>
      </c>
      <c r="F14" s="231">
        <f t="shared" si="1"/>
        <v>0</v>
      </c>
      <c r="G14" s="231">
        <f t="shared" si="1"/>
        <v>0</v>
      </c>
      <c r="H14" s="231">
        <f t="shared" si="1"/>
        <v>0</v>
      </c>
      <c r="I14" s="231">
        <f t="shared" si="1"/>
        <v>0</v>
      </c>
      <c r="J14" s="226">
        <f>SUM(B14:I14)</f>
        <v>0</v>
      </c>
      <c r="K14" s="251"/>
      <c r="L14" s="251"/>
      <c r="M14" s="251"/>
    </row>
    <row r="15" spans="1:13" ht="12" customHeight="1" x14ac:dyDescent="0.25">
      <c r="A15" s="221" t="s">
        <v>83</v>
      </c>
      <c r="B15" s="232"/>
      <c r="C15" s="232"/>
      <c r="D15" s="232"/>
      <c r="E15" s="232"/>
      <c r="F15" s="232"/>
      <c r="G15" s="232"/>
      <c r="H15" s="232"/>
      <c r="I15" s="232"/>
      <c r="J15" s="233"/>
      <c r="K15" s="251"/>
      <c r="L15" s="251"/>
      <c r="M15" s="251"/>
    </row>
    <row r="16" spans="1:13" ht="12" customHeight="1" x14ac:dyDescent="0.25">
      <c r="A16" s="223" t="s">
        <v>58</v>
      </c>
      <c r="B16" s="234">
        <f t="shared" ref="B16:I16" si="2">SUM(B5,-B11)</f>
        <v>0</v>
      </c>
      <c r="C16" s="234">
        <f t="shared" si="2"/>
        <v>0</v>
      </c>
      <c r="D16" s="234">
        <f t="shared" si="2"/>
        <v>0</v>
      </c>
      <c r="E16" s="234">
        <f t="shared" si="2"/>
        <v>0</v>
      </c>
      <c r="F16" s="234">
        <f t="shared" si="2"/>
        <v>0</v>
      </c>
      <c r="G16" s="234">
        <f t="shared" si="2"/>
        <v>0</v>
      </c>
      <c r="H16" s="234">
        <f t="shared" si="2"/>
        <v>0</v>
      </c>
      <c r="I16" s="234">
        <f t="shared" si="2"/>
        <v>0</v>
      </c>
      <c r="J16" s="226">
        <f>SUM(B16:I16)</f>
        <v>0</v>
      </c>
      <c r="K16" s="251"/>
      <c r="L16" s="251"/>
      <c r="M16" s="251"/>
    </row>
    <row r="17" spans="1:13" ht="12" customHeight="1" x14ac:dyDescent="0.25">
      <c r="A17" s="230" t="s">
        <v>62</v>
      </c>
      <c r="B17" s="235">
        <f t="shared" ref="B17:I17" si="3">SUM(B9,-B14)</f>
        <v>0</v>
      </c>
      <c r="C17" s="235">
        <f t="shared" si="3"/>
        <v>0</v>
      </c>
      <c r="D17" s="235">
        <f t="shared" si="3"/>
        <v>0</v>
      </c>
      <c r="E17" s="235">
        <f t="shared" si="3"/>
        <v>0</v>
      </c>
      <c r="F17" s="235">
        <f t="shared" si="3"/>
        <v>0</v>
      </c>
      <c r="G17" s="235">
        <f t="shared" si="3"/>
        <v>0</v>
      </c>
      <c r="H17" s="235">
        <f t="shared" si="3"/>
        <v>0</v>
      </c>
      <c r="I17" s="235">
        <f t="shared" si="3"/>
        <v>0</v>
      </c>
      <c r="J17" s="236">
        <f>SUM(B17:I17)</f>
        <v>0</v>
      </c>
      <c r="K17" s="251"/>
      <c r="L17" s="251"/>
      <c r="M17" s="251"/>
    </row>
    <row r="18" spans="1:13" x14ac:dyDescent="0.25">
      <c r="A18" s="227"/>
      <c r="B18" s="252"/>
      <c r="C18" s="252"/>
      <c r="D18" s="252"/>
      <c r="E18" s="252"/>
      <c r="F18" s="252"/>
      <c r="G18" s="252"/>
      <c r="H18" s="252"/>
      <c r="I18" s="252"/>
      <c r="J18" s="227"/>
      <c r="K18" s="251"/>
      <c r="L18" s="251"/>
      <c r="M18" s="251"/>
    </row>
    <row r="19" spans="1:13" x14ac:dyDescent="0.25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</row>
    <row r="20" spans="1:13" ht="22.5" customHeight="1" x14ac:dyDescent="0.25">
      <c r="A20" s="448" t="s">
        <v>248</v>
      </c>
      <c r="B20" s="448"/>
      <c r="C20" s="448"/>
      <c r="D20" s="448"/>
      <c r="E20" s="448"/>
      <c r="F20" s="448"/>
      <c r="G20" s="448"/>
      <c r="H20" s="448"/>
      <c r="I20" s="448"/>
      <c r="J20" s="448"/>
    </row>
    <row r="21" spans="1:13" ht="75.75" customHeight="1" x14ac:dyDescent="0.25">
      <c r="A21" s="215"/>
      <c r="B21" s="216" t="s">
        <v>74</v>
      </c>
      <c r="C21" s="216" t="s">
        <v>75</v>
      </c>
      <c r="D21" s="216" t="s">
        <v>76</v>
      </c>
      <c r="E21" s="216" t="s">
        <v>77</v>
      </c>
      <c r="F21" s="216" t="s">
        <v>78</v>
      </c>
      <c r="G21" s="216" t="s">
        <v>79</v>
      </c>
      <c r="H21" s="216" t="s">
        <v>80</v>
      </c>
      <c r="I21" s="216" t="s">
        <v>81</v>
      </c>
      <c r="J21" s="217" t="s">
        <v>29</v>
      </c>
    </row>
    <row r="22" spans="1:13" ht="7.5" customHeight="1" x14ac:dyDescent="0.25">
      <c r="A22" s="218"/>
      <c r="B22" s="219"/>
      <c r="C22" s="219"/>
      <c r="D22" s="219"/>
      <c r="E22" s="219"/>
      <c r="F22" s="219"/>
      <c r="G22" s="219"/>
      <c r="H22" s="219"/>
      <c r="I22" s="219"/>
      <c r="J22" s="220"/>
    </row>
    <row r="23" spans="1:13" ht="12" customHeight="1" x14ac:dyDescent="0.25">
      <c r="A23" s="221" t="s">
        <v>57</v>
      </c>
      <c r="B23" s="222"/>
      <c r="C23" s="222"/>
      <c r="D23" s="222"/>
      <c r="E23" s="222"/>
      <c r="F23" s="222"/>
      <c r="G23" s="222"/>
      <c r="H23" s="222"/>
      <c r="I23" s="222"/>
      <c r="J23" s="221"/>
    </row>
    <row r="24" spans="1:13" ht="12" customHeight="1" x14ac:dyDescent="0.25">
      <c r="A24" s="223" t="s">
        <v>58</v>
      </c>
      <c r="B24" s="224">
        <v>0</v>
      </c>
      <c r="C24" s="224">
        <v>0</v>
      </c>
      <c r="D24" s="224">
        <v>3663597</v>
      </c>
      <c r="E24" s="224">
        <v>0</v>
      </c>
      <c r="F24" s="224">
        <v>0</v>
      </c>
      <c r="G24" s="224">
        <v>0</v>
      </c>
      <c r="H24" s="224">
        <v>0</v>
      </c>
      <c r="I24" s="225">
        <v>0</v>
      </c>
      <c r="J24" s="226">
        <f>SUM(B24:I24)</f>
        <v>3663597</v>
      </c>
    </row>
    <row r="25" spans="1:13" ht="12" customHeight="1" x14ac:dyDescent="0.25">
      <c r="A25" s="227" t="s">
        <v>59</v>
      </c>
      <c r="B25" s="228">
        <v>0</v>
      </c>
      <c r="C25" s="228">
        <v>0</v>
      </c>
      <c r="D25" s="228">
        <v>1869673</v>
      </c>
      <c r="E25" s="228">
        <v>0</v>
      </c>
      <c r="F25" s="228">
        <v>0</v>
      </c>
      <c r="G25" s="228">
        <v>0</v>
      </c>
      <c r="H25" s="228">
        <v>0</v>
      </c>
      <c r="I25" s="229">
        <v>0</v>
      </c>
      <c r="J25" s="226">
        <f>SUM(B25:I25)</f>
        <v>1869673</v>
      </c>
    </row>
    <row r="26" spans="1:13" ht="12" customHeight="1" x14ac:dyDescent="0.25">
      <c r="A26" s="227" t="s">
        <v>60</v>
      </c>
      <c r="B26" s="228">
        <v>0</v>
      </c>
      <c r="C26" s="228">
        <v>0</v>
      </c>
      <c r="D26" s="228">
        <v>195126</v>
      </c>
      <c r="E26" s="228">
        <v>0</v>
      </c>
      <c r="F26" s="228">
        <v>0</v>
      </c>
      <c r="G26" s="228">
        <v>0</v>
      </c>
      <c r="H26" s="228">
        <v>0</v>
      </c>
      <c r="I26" s="229">
        <v>0</v>
      </c>
      <c r="J26" s="226">
        <f>SUM(B26:I26)</f>
        <v>195126</v>
      </c>
    </row>
    <row r="27" spans="1:13" ht="12" customHeight="1" x14ac:dyDescent="0.25">
      <c r="A27" s="227" t="s">
        <v>82</v>
      </c>
      <c r="B27" s="228">
        <v>0</v>
      </c>
      <c r="C27" s="228">
        <v>0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9">
        <v>0</v>
      </c>
      <c r="J27" s="226">
        <f>SUM(B27:I27)</f>
        <v>0</v>
      </c>
    </row>
    <row r="28" spans="1:13" ht="12" customHeight="1" x14ac:dyDescent="0.25">
      <c r="A28" s="230" t="s">
        <v>62</v>
      </c>
      <c r="B28" s="231">
        <f>SUM(B24,B25,-B26,B27)</f>
        <v>0</v>
      </c>
      <c r="C28" s="231">
        <f t="shared" ref="C28:I28" si="4">SUM(C24,C25,-C26,C27)</f>
        <v>0</v>
      </c>
      <c r="D28" s="231">
        <f t="shared" si="4"/>
        <v>5338144</v>
      </c>
      <c r="E28" s="231">
        <f t="shared" si="4"/>
        <v>0</v>
      </c>
      <c r="F28" s="231">
        <f t="shared" si="4"/>
        <v>0</v>
      </c>
      <c r="G28" s="231">
        <f t="shared" si="4"/>
        <v>0</v>
      </c>
      <c r="H28" s="231">
        <f t="shared" si="4"/>
        <v>0</v>
      </c>
      <c r="I28" s="231">
        <f t="shared" si="4"/>
        <v>0</v>
      </c>
      <c r="J28" s="226">
        <f>SUM(B28:I28)</f>
        <v>5338144</v>
      </c>
    </row>
    <row r="29" spans="1:13" ht="12" customHeight="1" x14ac:dyDescent="0.25">
      <c r="A29" s="221" t="s">
        <v>64</v>
      </c>
      <c r="B29" s="232"/>
      <c r="C29" s="232"/>
      <c r="D29" s="232"/>
      <c r="E29" s="232"/>
      <c r="F29" s="232"/>
      <c r="G29" s="232"/>
      <c r="H29" s="232"/>
      <c r="I29" s="232"/>
      <c r="J29" s="233"/>
    </row>
    <row r="30" spans="1:13" ht="12" customHeight="1" x14ac:dyDescent="0.25">
      <c r="A30" s="223" t="s">
        <v>58</v>
      </c>
      <c r="B30" s="224">
        <v>0</v>
      </c>
      <c r="C30" s="224">
        <v>0</v>
      </c>
      <c r="D30" s="224">
        <v>0</v>
      </c>
      <c r="E30" s="224">
        <v>0</v>
      </c>
      <c r="F30" s="224">
        <v>0</v>
      </c>
      <c r="G30" s="224">
        <v>0</v>
      </c>
      <c r="H30" s="224">
        <v>0</v>
      </c>
      <c r="I30" s="225">
        <v>0</v>
      </c>
      <c r="J30" s="226">
        <f>SUM(B30:I30)</f>
        <v>0</v>
      </c>
    </row>
    <row r="31" spans="1:13" ht="12" customHeight="1" x14ac:dyDescent="0.25">
      <c r="A31" s="227" t="s">
        <v>59</v>
      </c>
      <c r="B31" s="228">
        <v>0</v>
      </c>
      <c r="C31" s="228">
        <v>0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9">
        <v>0</v>
      </c>
      <c r="J31" s="226">
        <f>SUM(B31:I31)</f>
        <v>0</v>
      </c>
    </row>
    <row r="32" spans="1:13" ht="12" customHeight="1" x14ac:dyDescent="0.25">
      <c r="A32" s="227" t="s">
        <v>60</v>
      </c>
      <c r="B32" s="228">
        <v>0</v>
      </c>
      <c r="C32" s="228">
        <v>0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9">
        <v>0</v>
      </c>
      <c r="J32" s="226">
        <f>SUM(B32:I32)</f>
        <v>0</v>
      </c>
    </row>
    <row r="33" spans="1:10" ht="12" customHeight="1" x14ac:dyDescent="0.25">
      <c r="A33" s="230" t="s">
        <v>62</v>
      </c>
      <c r="B33" s="231">
        <f t="shared" ref="B33:I33" si="5">SUM(B30,B31,-B32)</f>
        <v>0</v>
      </c>
      <c r="C33" s="231">
        <f t="shared" si="5"/>
        <v>0</v>
      </c>
      <c r="D33" s="231">
        <f t="shared" si="5"/>
        <v>0</v>
      </c>
      <c r="E33" s="231">
        <f t="shared" si="5"/>
        <v>0</v>
      </c>
      <c r="F33" s="231">
        <f t="shared" si="5"/>
        <v>0</v>
      </c>
      <c r="G33" s="231">
        <f t="shared" si="5"/>
        <v>0</v>
      </c>
      <c r="H33" s="231">
        <f t="shared" si="5"/>
        <v>0</v>
      </c>
      <c r="I33" s="231">
        <f t="shared" si="5"/>
        <v>0</v>
      </c>
      <c r="J33" s="226">
        <f>SUM(B33:I33)</f>
        <v>0</v>
      </c>
    </row>
    <row r="34" spans="1:10" ht="12" customHeight="1" x14ac:dyDescent="0.25">
      <c r="A34" s="221" t="s">
        <v>83</v>
      </c>
      <c r="B34" s="232"/>
      <c r="C34" s="232"/>
      <c r="D34" s="232"/>
      <c r="E34" s="232"/>
      <c r="F34" s="232"/>
      <c r="G34" s="232"/>
      <c r="H34" s="232"/>
      <c r="I34" s="232"/>
      <c r="J34" s="233"/>
    </row>
    <row r="35" spans="1:10" ht="12" customHeight="1" x14ac:dyDescent="0.25">
      <c r="A35" s="223" t="s">
        <v>58</v>
      </c>
      <c r="B35" s="234">
        <f t="shared" ref="B35:I35" si="6">SUM(B24,-B30)</f>
        <v>0</v>
      </c>
      <c r="C35" s="234">
        <f t="shared" si="6"/>
        <v>0</v>
      </c>
      <c r="D35" s="234">
        <f t="shared" si="6"/>
        <v>3663597</v>
      </c>
      <c r="E35" s="234">
        <f t="shared" si="6"/>
        <v>0</v>
      </c>
      <c r="F35" s="234">
        <f t="shared" si="6"/>
        <v>0</v>
      </c>
      <c r="G35" s="234">
        <f t="shared" si="6"/>
        <v>0</v>
      </c>
      <c r="H35" s="234">
        <f t="shared" si="6"/>
        <v>0</v>
      </c>
      <c r="I35" s="234">
        <f t="shared" si="6"/>
        <v>0</v>
      </c>
      <c r="J35" s="226">
        <f>SUM(B35:I35)</f>
        <v>3663597</v>
      </c>
    </row>
    <row r="36" spans="1:10" ht="12" customHeight="1" x14ac:dyDescent="0.25">
      <c r="A36" s="230" t="s">
        <v>62</v>
      </c>
      <c r="B36" s="235">
        <f t="shared" ref="B36:I36" si="7">SUM(B28,-B33)</f>
        <v>0</v>
      </c>
      <c r="C36" s="235">
        <f t="shared" si="7"/>
        <v>0</v>
      </c>
      <c r="D36" s="235">
        <f t="shared" si="7"/>
        <v>5338144</v>
      </c>
      <c r="E36" s="235">
        <f t="shared" si="7"/>
        <v>0</v>
      </c>
      <c r="F36" s="235">
        <f t="shared" si="7"/>
        <v>0</v>
      </c>
      <c r="G36" s="235">
        <f t="shared" si="7"/>
        <v>0</v>
      </c>
      <c r="H36" s="235">
        <f t="shared" si="7"/>
        <v>0</v>
      </c>
      <c r="I36" s="235">
        <f t="shared" si="7"/>
        <v>0</v>
      </c>
      <c r="J36" s="236">
        <f>SUM(B36:I36)</f>
        <v>5338144</v>
      </c>
    </row>
    <row r="40" spans="1:10" x14ac:dyDescent="0.25">
      <c r="A40" s="448" t="s">
        <v>248</v>
      </c>
      <c r="B40" s="448"/>
      <c r="C40" s="448"/>
      <c r="D40" s="448"/>
      <c r="E40" s="448"/>
      <c r="F40" s="448"/>
      <c r="G40" s="448"/>
      <c r="H40" s="448"/>
      <c r="I40" s="448"/>
      <c r="J40" s="448"/>
    </row>
    <row r="41" spans="1:10" ht="89.25" x14ac:dyDescent="0.25">
      <c r="A41" s="215"/>
      <c r="B41" s="216" t="s">
        <v>74</v>
      </c>
      <c r="C41" s="216" t="s">
        <v>75</v>
      </c>
      <c r="D41" s="216" t="s">
        <v>76</v>
      </c>
      <c r="E41" s="216" t="s">
        <v>77</v>
      </c>
      <c r="F41" s="216" t="s">
        <v>78</v>
      </c>
      <c r="G41" s="216" t="s">
        <v>79</v>
      </c>
      <c r="H41" s="216" t="s">
        <v>80</v>
      </c>
      <c r="I41" s="216" t="s">
        <v>81</v>
      </c>
      <c r="J41" s="217" t="s">
        <v>29</v>
      </c>
    </row>
    <row r="42" spans="1:10" x14ac:dyDescent="0.25">
      <c r="A42" s="218"/>
      <c r="B42" s="219"/>
      <c r="C42" s="219"/>
      <c r="D42" s="219"/>
      <c r="E42" s="219"/>
      <c r="F42" s="219"/>
      <c r="G42" s="219"/>
      <c r="H42" s="219"/>
      <c r="I42" s="219"/>
      <c r="J42" s="220"/>
    </row>
    <row r="43" spans="1:10" x14ac:dyDescent="0.25">
      <c r="A43" s="221" t="s">
        <v>57</v>
      </c>
      <c r="B43" s="222"/>
      <c r="C43" s="222"/>
      <c r="D43" s="222"/>
      <c r="E43" s="222"/>
      <c r="F43" s="222"/>
      <c r="G43" s="222"/>
      <c r="H43" s="222"/>
      <c r="I43" s="222"/>
      <c r="J43" s="221"/>
    </row>
    <row r="44" spans="1:10" x14ac:dyDescent="0.25">
      <c r="A44" s="223" t="s">
        <v>58</v>
      </c>
      <c r="B44" s="224">
        <v>0</v>
      </c>
      <c r="C44" s="224">
        <v>0</v>
      </c>
      <c r="D44" s="224">
        <v>1178736</v>
      </c>
      <c r="E44" s="224">
        <v>0</v>
      </c>
      <c r="F44" s="224">
        <v>0</v>
      </c>
      <c r="G44" s="224">
        <f>dlhopisy!C9</f>
        <v>4125989</v>
      </c>
      <c r="H44" s="224">
        <v>0</v>
      </c>
      <c r="I44" s="225">
        <v>0</v>
      </c>
      <c r="J44" s="226">
        <f>SUM(B44:I44)</f>
        <v>5304725</v>
      </c>
    </row>
    <row r="45" spans="1:10" x14ac:dyDescent="0.25">
      <c r="A45" s="227" t="s">
        <v>59</v>
      </c>
      <c r="B45" s="228">
        <v>0</v>
      </c>
      <c r="C45" s="228">
        <v>0</v>
      </c>
      <c r="D45" s="228">
        <v>1869673</v>
      </c>
      <c r="E45" s="228">
        <v>0</v>
      </c>
      <c r="F45" s="228">
        <v>0</v>
      </c>
      <c r="G45" s="228">
        <f>dlhopisy!D9</f>
        <v>210802</v>
      </c>
      <c r="H45" s="228">
        <v>0</v>
      </c>
      <c r="I45" s="229">
        <v>0</v>
      </c>
      <c r="J45" s="226">
        <f>SUM(B45:I45)</f>
        <v>2080475</v>
      </c>
    </row>
    <row r="46" spans="1:10" x14ac:dyDescent="0.25">
      <c r="A46" s="227" t="s">
        <v>60</v>
      </c>
      <c r="B46" s="228">
        <v>0</v>
      </c>
      <c r="C46" s="228">
        <v>0</v>
      </c>
      <c r="D46" s="228">
        <v>195126</v>
      </c>
      <c r="E46" s="228">
        <v>0</v>
      </c>
      <c r="F46" s="228">
        <v>0</v>
      </c>
      <c r="G46" s="228">
        <f>dlhopisy!E9+dlhopisy!F9</f>
        <v>430234</v>
      </c>
      <c r="H46" s="228">
        <v>0</v>
      </c>
      <c r="I46" s="229">
        <v>0</v>
      </c>
      <c r="J46" s="226">
        <f>SUM(B46:I46)</f>
        <v>625360</v>
      </c>
    </row>
    <row r="47" spans="1:10" x14ac:dyDescent="0.25">
      <c r="A47" s="227" t="s">
        <v>82</v>
      </c>
      <c r="B47" s="228">
        <v>0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9">
        <v>0</v>
      </c>
      <c r="J47" s="226">
        <f>SUM(B47:I47)</f>
        <v>0</v>
      </c>
    </row>
    <row r="48" spans="1:10" x14ac:dyDescent="0.25">
      <c r="A48" s="230" t="s">
        <v>62</v>
      </c>
      <c r="B48" s="231">
        <f t="shared" ref="B48:I48" si="8">SUM(B44,B45,-B46,B47)</f>
        <v>0</v>
      </c>
      <c r="C48" s="231">
        <f t="shared" si="8"/>
        <v>0</v>
      </c>
      <c r="D48" s="231">
        <f t="shared" si="8"/>
        <v>2853283</v>
      </c>
      <c r="E48" s="231">
        <f t="shared" si="8"/>
        <v>0</v>
      </c>
      <c r="F48" s="231">
        <f t="shared" si="8"/>
        <v>0</v>
      </c>
      <c r="G48" s="231">
        <f t="shared" si="8"/>
        <v>3906557</v>
      </c>
      <c r="H48" s="231">
        <f t="shared" si="8"/>
        <v>0</v>
      </c>
      <c r="I48" s="231">
        <f t="shared" si="8"/>
        <v>0</v>
      </c>
      <c r="J48" s="226">
        <f>SUM(B48:I48)</f>
        <v>6759840</v>
      </c>
    </row>
    <row r="49" spans="1:10" x14ac:dyDescent="0.25">
      <c r="A49" s="221" t="s">
        <v>268</v>
      </c>
      <c r="B49" s="222"/>
      <c r="C49" s="222"/>
      <c r="D49" s="222"/>
      <c r="E49" s="222"/>
      <c r="F49" s="222"/>
      <c r="G49" s="222"/>
      <c r="H49" s="222"/>
      <c r="I49" s="222"/>
      <c r="J49" s="221"/>
    </row>
    <row r="50" spans="1:10" x14ac:dyDescent="0.25">
      <c r="A50" s="223" t="s">
        <v>58</v>
      </c>
      <c r="B50" s="224">
        <v>0</v>
      </c>
      <c r="C50" s="224">
        <v>0</v>
      </c>
      <c r="D50" s="224">
        <v>3663597</v>
      </c>
      <c r="E50" s="224">
        <v>0</v>
      </c>
      <c r="F50" s="224">
        <v>0</v>
      </c>
      <c r="G50" s="224">
        <v>0</v>
      </c>
      <c r="H50" s="224">
        <v>0</v>
      </c>
      <c r="I50" s="225">
        <v>0</v>
      </c>
      <c r="J50" s="226">
        <f>SUM(B50:I50)</f>
        <v>3663597</v>
      </c>
    </row>
    <row r="51" spans="1:10" x14ac:dyDescent="0.25">
      <c r="A51" s="227" t="s">
        <v>59</v>
      </c>
      <c r="B51" s="228">
        <v>0</v>
      </c>
      <c r="C51" s="228">
        <v>0</v>
      </c>
      <c r="D51" s="228">
        <v>1869673</v>
      </c>
      <c r="E51" s="228">
        <v>0</v>
      </c>
      <c r="F51" s="228">
        <v>0</v>
      </c>
      <c r="G51" s="228">
        <v>0</v>
      </c>
      <c r="H51" s="228">
        <v>0</v>
      </c>
      <c r="I51" s="229">
        <v>0</v>
      </c>
      <c r="J51" s="226">
        <f>SUM(B51:I51)</f>
        <v>1869673</v>
      </c>
    </row>
    <row r="52" spans="1:10" x14ac:dyDescent="0.25">
      <c r="A52" s="227" t="s">
        <v>60</v>
      </c>
      <c r="B52" s="228">
        <v>0</v>
      </c>
      <c r="C52" s="228">
        <v>0</v>
      </c>
      <c r="D52" s="228">
        <v>195126</v>
      </c>
      <c r="E52" s="228">
        <v>0</v>
      </c>
      <c r="F52" s="228">
        <v>0</v>
      </c>
      <c r="G52" s="228">
        <v>0</v>
      </c>
      <c r="H52" s="228">
        <v>0</v>
      </c>
      <c r="I52" s="229">
        <v>0</v>
      </c>
      <c r="J52" s="226">
        <f>SUM(B52:I52)</f>
        <v>195126</v>
      </c>
    </row>
    <row r="53" spans="1:10" x14ac:dyDescent="0.25">
      <c r="A53" s="227" t="s">
        <v>82</v>
      </c>
      <c r="B53" s="228">
        <v>0</v>
      </c>
      <c r="C53" s="228">
        <v>0</v>
      </c>
      <c r="D53" s="228">
        <v>0</v>
      </c>
      <c r="E53" s="228">
        <v>0</v>
      </c>
      <c r="F53" s="228">
        <v>0</v>
      </c>
      <c r="G53" s="228">
        <v>0</v>
      </c>
      <c r="H53" s="228">
        <v>0</v>
      </c>
      <c r="I53" s="229">
        <v>0</v>
      </c>
      <c r="J53" s="226">
        <f>SUM(B53:I53)</f>
        <v>0</v>
      </c>
    </row>
    <row r="54" spans="1:10" x14ac:dyDescent="0.25">
      <c r="A54" s="230" t="s">
        <v>62</v>
      </c>
      <c r="B54" s="231">
        <f t="shared" ref="B54:I54" si="9">SUM(B50,B51,-B52,B53)</f>
        <v>0</v>
      </c>
      <c r="C54" s="231">
        <f t="shared" si="9"/>
        <v>0</v>
      </c>
      <c r="D54" s="231">
        <f t="shared" si="9"/>
        <v>5338144</v>
      </c>
      <c r="E54" s="231">
        <f t="shared" si="9"/>
        <v>0</v>
      </c>
      <c r="F54" s="231">
        <f t="shared" si="9"/>
        <v>0</v>
      </c>
      <c r="G54" s="231">
        <f t="shared" si="9"/>
        <v>0</v>
      </c>
      <c r="H54" s="231">
        <f t="shared" si="9"/>
        <v>0</v>
      </c>
      <c r="I54" s="231">
        <f t="shared" si="9"/>
        <v>0</v>
      </c>
      <c r="J54" s="226">
        <f>SUM(B54:I54)</f>
        <v>5338144</v>
      </c>
    </row>
    <row r="55" spans="1:10" x14ac:dyDescent="0.25">
      <c r="A55" s="221" t="s">
        <v>64</v>
      </c>
      <c r="B55" s="232"/>
      <c r="C55" s="232"/>
      <c r="D55" s="232"/>
      <c r="E55" s="232"/>
      <c r="F55" s="232"/>
      <c r="G55" s="232"/>
      <c r="H55" s="232"/>
      <c r="I55" s="232"/>
      <c r="J55" s="233"/>
    </row>
    <row r="56" spans="1:10" x14ac:dyDescent="0.25">
      <c r="A56" s="223" t="s">
        <v>58</v>
      </c>
      <c r="B56" s="224">
        <v>0</v>
      </c>
      <c r="C56" s="224">
        <v>0</v>
      </c>
      <c r="D56" s="224">
        <v>0</v>
      </c>
      <c r="E56" s="224">
        <v>0</v>
      </c>
      <c r="F56" s="224">
        <v>0</v>
      </c>
      <c r="G56" s="224">
        <v>0</v>
      </c>
      <c r="H56" s="224">
        <v>0</v>
      </c>
      <c r="I56" s="225">
        <v>0</v>
      </c>
      <c r="J56" s="226">
        <f>SUM(B56:I56)</f>
        <v>0</v>
      </c>
    </row>
    <row r="57" spans="1:10" x14ac:dyDescent="0.25">
      <c r="A57" s="227" t="s">
        <v>59</v>
      </c>
      <c r="B57" s="228">
        <v>0</v>
      </c>
      <c r="C57" s="228">
        <v>0</v>
      </c>
      <c r="D57" s="228">
        <v>0</v>
      </c>
      <c r="E57" s="228">
        <v>0</v>
      </c>
      <c r="F57" s="228">
        <v>0</v>
      </c>
      <c r="G57" s="228">
        <v>0</v>
      </c>
      <c r="H57" s="228">
        <v>0</v>
      </c>
      <c r="I57" s="229">
        <v>0</v>
      </c>
      <c r="J57" s="226">
        <f>SUM(B57:I57)</f>
        <v>0</v>
      </c>
    </row>
    <row r="58" spans="1:10" x14ac:dyDescent="0.25">
      <c r="A58" s="227" t="s">
        <v>60</v>
      </c>
      <c r="B58" s="228">
        <v>0</v>
      </c>
      <c r="C58" s="228">
        <v>0</v>
      </c>
      <c r="D58" s="228">
        <v>0</v>
      </c>
      <c r="E58" s="228">
        <v>0</v>
      </c>
      <c r="F58" s="228">
        <v>0</v>
      </c>
      <c r="G58" s="228">
        <v>0</v>
      </c>
      <c r="H58" s="228">
        <v>0</v>
      </c>
      <c r="I58" s="229">
        <v>0</v>
      </c>
      <c r="J58" s="226">
        <f>SUM(B58:I58)</f>
        <v>0</v>
      </c>
    </row>
    <row r="59" spans="1:10" x14ac:dyDescent="0.25">
      <c r="A59" s="230" t="s">
        <v>62</v>
      </c>
      <c r="B59" s="231">
        <f t="shared" ref="B59:I59" si="10">SUM(B56,B57,-B58)</f>
        <v>0</v>
      </c>
      <c r="C59" s="231">
        <f t="shared" si="10"/>
        <v>0</v>
      </c>
      <c r="D59" s="231">
        <f t="shared" si="10"/>
        <v>0</v>
      </c>
      <c r="E59" s="231">
        <f t="shared" si="10"/>
        <v>0</v>
      </c>
      <c r="F59" s="231">
        <f t="shared" si="10"/>
        <v>0</v>
      </c>
      <c r="G59" s="231">
        <f t="shared" si="10"/>
        <v>0</v>
      </c>
      <c r="H59" s="231">
        <f t="shared" si="10"/>
        <v>0</v>
      </c>
      <c r="I59" s="231">
        <f t="shared" si="10"/>
        <v>0</v>
      </c>
      <c r="J59" s="226">
        <f>SUM(B59:I59)</f>
        <v>0</v>
      </c>
    </row>
    <row r="60" spans="1:10" x14ac:dyDescent="0.25">
      <c r="A60" s="221" t="s">
        <v>83</v>
      </c>
      <c r="B60" s="232"/>
      <c r="C60" s="232"/>
      <c r="D60" s="232"/>
      <c r="E60" s="232"/>
      <c r="F60" s="232"/>
      <c r="G60" s="232"/>
      <c r="H60" s="232"/>
      <c r="I60" s="232"/>
      <c r="J60" s="233"/>
    </row>
    <row r="61" spans="1:10" x14ac:dyDescent="0.25">
      <c r="A61" s="223" t="s">
        <v>58</v>
      </c>
      <c r="B61" s="234">
        <f t="shared" ref="B61:I61" si="11">SUM(B44,-B56)</f>
        <v>0</v>
      </c>
      <c r="C61" s="234">
        <f t="shared" si="11"/>
        <v>0</v>
      </c>
      <c r="D61" s="234">
        <f t="shared" si="11"/>
        <v>1178736</v>
      </c>
      <c r="E61" s="234">
        <f t="shared" si="11"/>
        <v>0</v>
      </c>
      <c r="F61" s="234">
        <f t="shared" si="11"/>
        <v>0</v>
      </c>
      <c r="G61" s="234">
        <f t="shared" si="11"/>
        <v>4125989</v>
      </c>
      <c r="H61" s="234">
        <f t="shared" si="11"/>
        <v>0</v>
      </c>
      <c r="I61" s="234">
        <f t="shared" si="11"/>
        <v>0</v>
      </c>
      <c r="J61" s="226">
        <f>SUM(B61:I61)</f>
        <v>5304725</v>
      </c>
    </row>
    <row r="62" spans="1:10" x14ac:dyDescent="0.25">
      <c r="A62" s="230" t="s">
        <v>62</v>
      </c>
      <c r="B62" s="235">
        <f t="shared" ref="B62:I62" si="12">SUM(B48,-B59)</f>
        <v>0</v>
      </c>
      <c r="C62" s="235">
        <f t="shared" si="12"/>
        <v>0</v>
      </c>
      <c r="D62" s="235">
        <f t="shared" si="12"/>
        <v>2853283</v>
      </c>
      <c r="E62" s="235">
        <f t="shared" si="12"/>
        <v>0</v>
      </c>
      <c r="F62" s="235">
        <f t="shared" si="12"/>
        <v>0</v>
      </c>
      <c r="G62" s="235">
        <f t="shared" si="12"/>
        <v>3906557</v>
      </c>
      <c r="H62" s="235">
        <f t="shared" si="12"/>
        <v>0</v>
      </c>
      <c r="I62" s="235">
        <f t="shared" si="12"/>
        <v>0</v>
      </c>
      <c r="J62" s="236">
        <f>SUM(B62:I62)</f>
        <v>6759840</v>
      </c>
    </row>
  </sheetData>
  <mergeCells count="3">
    <mergeCell ref="A1:J1"/>
    <mergeCell ref="A20:J20"/>
    <mergeCell ref="A40:J4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activeCell="B2" sqref="B2"/>
    </sheetView>
  </sheetViews>
  <sheetFormatPr defaultColWidth="9.140625" defaultRowHeight="11.25" x14ac:dyDescent="0.2"/>
  <cols>
    <col min="1" max="1" width="28" style="3" customWidth="1"/>
    <col min="2" max="2" width="9.7109375" style="3" customWidth="1"/>
    <col min="3" max="3" width="10.28515625" style="3" customWidth="1"/>
    <col min="4" max="4" width="12.28515625" style="3" customWidth="1"/>
    <col min="5" max="5" width="13.5703125" style="3" customWidth="1"/>
    <col min="6" max="6" width="11.28515625" style="3" customWidth="1"/>
    <col min="7" max="16384" width="9.140625" style="3"/>
  </cols>
  <sheetData>
    <row r="1" spans="1:6" ht="12" x14ac:dyDescent="0.2">
      <c r="A1" s="24"/>
      <c r="B1" s="449" t="s">
        <v>367</v>
      </c>
      <c r="C1" s="449"/>
      <c r="D1" s="449"/>
      <c r="E1" s="449"/>
      <c r="F1" s="449"/>
    </row>
    <row r="2" spans="1:6" ht="90" x14ac:dyDescent="0.2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</row>
    <row r="3" spans="1:6" x14ac:dyDescent="0.2">
      <c r="A3" s="450" t="s">
        <v>43</v>
      </c>
      <c r="B3" s="450"/>
      <c r="C3" s="450"/>
      <c r="D3" s="450"/>
      <c r="E3" s="450"/>
      <c r="F3" s="450"/>
    </row>
    <row r="4" spans="1:6" x14ac:dyDescent="0.2">
      <c r="A4" s="4" t="s">
        <v>44</v>
      </c>
      <c r="B4" s="5">
        <v>89.24</v>
      </c>
      <c r="C4" s="5">
        <v>89.24</v>
      </c>
      <c r="D4" s="6" t="s">
        <v>45</v>
      </c>
      <c r="E4" s="6" t="s">
        <v>45</v>
      </c>
      <c r="F4" s="7">
        <v>245000</v>
      </c>
    </row>
    <row r="5" spans="1:6" ht="12" thickBot="1" x14ac:dyDescent="0.25">
      <c r="A5" s="11" t="s">
        <v>46</v>
      </c>
      <c r="B5" s="8"/>
      <c r="C5" s="8"/>
      <c r="D5" s="9"/>
      <c r="E5" s="9"/>
      <c r="F5" s="10">
        <v>245000</v>
      </c>
    </row>
    <row r="6" spans="1:6" ht="12" thickTop="1" x14ac:dyDescent="0.2"/>
    <row r="8" spans="1:6" ht="12" x14ac:dyDescent="0.2">
      <c r="A8" s="24"/>
      <c r="B8" s="449" t="s">
        <v>84</v>
      </c>
      <c r="C8" s="449"/>
      <c r="D8" s="449"/>
      <c r="E8" s="449"/>
      <c r="F8" s="449"/>
    </row>
    <row r="9" spans="1:6" ht="90" x14ac:dyDescent="0.2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</row>
    <row r="10" spans="1:6" x14ac:dyDescent="0.2">
      <c r="A10" s="451" t="s">
        <v>43</v>
      </c>
      <c r="B10" s="451"/>
      <c r="C10" s="451"/>
      <c r="D10" s="451"/>
      <c r="E10" s="451"/>
      <c r="F10" s="451"/>
    </row>
    <row r="11" spans="1:6" x14ac:dyDescent="0.2">
      <c r="A11" s="25" t="s">
        <v>44</v>
      </c>
      <c r="B11" s="26">
        <v>89.24</v>
      </c>
      <c r="C11" s="26">
        <v>89.24</v>
      </c>
      <c r="D11" s="27">
        <v>114173</v>
      </c>
      <c r="E11" s="27">
        <v>45221</v>
      </c>
      <c r="F11" s="27">
        <v>245000</v>
      </c>
    </row>
    <row r="12" spans="1:6" ht="12" thickBot="1" x14ac:dyDescent="0.25">
      <c r="A12" s="28" t="s">
        <v>46</v>
      </c>
      <c r="B12" s="29"/>
      <c r="C12" s="29"/>
      <c r="D12" s="30"/>
      <c r="E12" s="30"/>
      <c r="F12" s="31">
        <v>245000</v>
      </c>
    </row>
    <row r="13" spans="1:6" ht="12" thickTop="1" x14ac:dyDescent="0.2">
      <c r="A13" s="32"/>
      <c r="B13" s="32"/>
      <c r="C13" s="32"/>
      <c r="D13" s="32"/>
      <c r="E13" s="32"/>
      <c r="F13" s="32"/>
    </row>
  </sheetData>
  <mergeCells count="4">
    <mergeCell ref="B1:F1"/>
    <mergeCell ref="A3:F3"/>
    <mergeCell ref="B8:F8"/>
    <mergeCell ref="A10:F10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3C6A-8692-434B-AEA9-8F67AE02EEFF}">
  <dimension ref="A1:D15"/>
  <sheetViews>
    <sheetView workbookViewId="0">
      <selection sqref="A1:D12"/>
    </sheetView>
  </sheetViews>
  <sheetFormatPr defaultRowHeight="13.5" x14ac:dyDescent="0.25"/>
  <cols>
    <col min="1" max="1" width="45.5703125" style="238" customWidth="1"/>
    <col min="2" max="2" width="10.5703125" style="238" bestFit="1" customWidth="1"/>
    <col min="3" max="3" width="10.42578125" style="238" bestFit="1" customWidth="1"/>
    <col min="4" max="4" width="9.42578125" style="238" customWidth="1"/>
    <col min="5" max="5" width="9.140625" style="238"/>
    <col min="6" max="6" width="10" style="238" customWidth="1"/>
    <col min="7" max="16384" width="9.140625" style="238"/>
  </cols>
  <sheetData>
    <row r="1" spans="1:4" ht="22.5" customHeight="1" x14ac:dyDescent="0.25">
      <c r="A1" s="427"/>
      <c r="B1" s="428" t="s">
        <v>351</v>
      </c>
      <c r="C1" s="428" t="s">
        <v>352</v>
      </c>
      <c r="D1" s="429" t="s">
        <v>354</v>
      </c>
    </row>
    <row r="2" spans="1:4" x14ac:dyDescent="0.25">
      <c r="A2" s="430" t="s">
        <v>350</v>
      </c>
      <c r="B2" s="431">
        <v>1178736</v>
      </c>
      <c r="C2" s="431"/>
      <c r="D2" s="431">
        <f>B2+C2</f>
        <v>1178736</v>
      </c>
    </row>
    <row r="3" spans="1:4" x14ac:dyDescent="0.25">
      <c r="A3" s="430" t="s">
        <v>349</v>
      </c>
      <c r="B3" s="431">
        <v>33419</v>
      </c>
      <c r="C3" s="431"/>
      <c r="D3" s="431">
        <f t="shared" ref="D3:D11" si="0">B3+C3</f>
        <v>33419</v>
      </c>
    </row>
    <row r="4" spans="1:4" ht="13.5" customHeight="1" x14ac:dyDescent="0.25">
      <c r="A4" s="432" t="s">
        <v>357</v>
      </c>
      <c r="B4" s="433">
        <f>SUM(B2:B3)</f>
        <v>1212155</v>
      </c>
      <c r="C4" s="433"/>
      <c r="D4" s="434">
        <f t="shared" si="0"/>
        <v>1212155</v>
      </c>
    </row>
    <row r="5" spans="1:4" x14ac:dyDescent="0.25">
      <c r="A5" s="435" t="s">
        <v>355</v>
      </c>
      <c r="B5" s="431">
        <v>670273</v>
      </c>
      <c r="C5" s="431">
        <v>1257376</v>
      </c>
      <c r="D5" s="431">
        <f t="shared" si="0"/>
        <v>1927649</v>
      </c>
    </row>
    <row r="6" spans="1:4" x14ac:dyDescent="0.25">
      <c r="A6" s="435" t="s">
        <v>356</v>
      </c>
      <c r="B6" s="431">
        <v>-568785</v>
      </c>
      <c r="C6" s="431"/>
      <c r="D6" s="431">
        <f t="shared" si="0"/>
        <v>-568785</v>
      </c>
    </row>
    <row r="7" spans="1:4" x14ac:dyDescent="0.25">
      <c r="A7" s="436" t="s">
        <v>249</v>
      </c>
      <c r="B7" s="437">
        <v>70332</v>
      </c>
      <c r="C7" s="437">
        <v>36683</v>
      </c>
      <c r="D7" s="437">
        <f t="shared" si="0"/>
        <v>107015</v>
      </c>
    </row>
    <row r="8" spans="1:4" ht="12.75" customHeight="1" x14ac:dyDescent="0.25">
      <c r="A8" s="438" t="s">
        <v>250</v>
      </c>
      <c r="B8" s="431">
        <v>-33419</v>
      </c>
      <c r="C8" s="431"/>
      <c r="D8" s="431">
        <f t="shared" si="0"/>
        <v>-33419</v>
      </c>
    </row>
    <row r="9" spans="1:4" x14ac:dyDescent="0.25">
      <c r="A9" s="439" t="s">
        <v>251</v>
      </c>
      <c r="B9" s="434">
        <v>103751</v>
      </c>
      <c r="C9" s="434">
        <f>C7</f>
        <v>36683</v>
      </c>
      <c r="D9" s="434">
        <f t="shared" si="0"/>
        <v>140434</v>
      </c>
    </row>
    <row r="10" spans="1:4" x14ac:dyDescent="0.25">
      <c r="A10" s="430" t="s">
        <v>353</v>
      </c>
      <c r="B10" s="431">
        <f>B2+B5+B6</f>
        <v>1280224</v>
      </c>
      <c r="C10" s="431">
        <f>C2+C5+C6</f>
        <v>1257376</v>
      </c>
      <c r="D10" s="431">
        <f t="shared" si="0"/>
        <v>2537600</v>
      </c>
    </row>
    <row r="11" spans="1:4" x14ac:dyDescent="0.25">
      <c r="A11" s="430" t="s">
        <v>349</v>
      </c>
      <c r="B11" s="431">
        <f>B9</f>
        <v>103751</v>
      </c>
      <c r="C11" s="431">
        <f>C9</f>
        <v>36683</v>
      </c>
      <c r="D11" s="431">
        <f t="shared" si="0"/>
        <v>140434</v>
      </c>
    </row>
    <row r="12" spans="1:4" ht="15" customHeight="1" x14ac:dyDescent="0.25">
      <c r="A12" s="432" t="s">
        <v>358</v>
      </c>
      <c r="B12" s="433">
        <f>SUM(B10:B11)</f>
        <v>1383975</v>
      </c>
      <c r="C12" s="433">
        <f t="shared" ref="C12:D12" si="1">SUM(C10:C11)</f>
        <v>1294059</v>
      </c>
      <c r="D12" s="433">
        <f t="shared" si="1"/>
        <v>2678034</v>
      </c>
    </row>
    <row r="13" spans="1:4" x14ac:dyDescent="0.25">
      <c r="A13" s="377"/>
      <c r="B13" s="431"/>
      <c r="C13" s="431"/>
      <c r="D13" s="431"/>
    </row>
    <row r="14" spans="1:4" x14ac:dyDescent="0.25">
      <c r="A14" s="377"/>
      <c r="B14" s="377"/>
      <c r="C14" s="377"/>
      <c r="D14" s="377"/>
    </row>
    <row r="15" spans="1:4" x14ac:dyDescent="0.25">
      <c r="A15" s="377"/>
      <c r="B15" s="377"/>
      <c r="C15" s="377"/>
      <c r="D15" s="37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07AE-3C16-42A4-B435-6877D059773D}">
  <dimension ref="A1:F10"/>
  <sheetViews>
    <sheetView workbookViewId="0">
      <selection activeCell="F37" sqref="F37"/>
    </sheetView>
  </sheetViews>
  <sheetFormatPr defaultRowHeight="12.75" x14ac:dyDescent="0.25"/>
  <cols>
    <col min="1" max="1" width="34.140625" style="241" customWidth="1"/>
    <col min="2" max="2" width="10" style="241" customWidth="1"/>
    <col min="3" max="16384" width="9.140625" style="241"/>
  </cols>
  <sheetData>
    <row r="1" spans="1:6" x14ac:dyDescent="0.25">
      <c r="A1" s="275"/>
      <c r="B1" s="452" t="s">
        <v>269</v>
      </c>
      <c r="C1" s="452"/>
      <c r="D1" s="452"/>
      <c r="E1" s="452"/>
      <c r="F1" s="452"/>
    </row>
    <row r="2" spans="1:6" ht="25.5" x14ac:dyDescent="0.25">
      <c r="A2" s="276" t="s">
        <v>279</v>
      </c>
      <c r="B2" s="277" t="s">
        <v>287</v>
      </c>
      <c r="C2" s="278" t="s">
        <v>59</v>
      </c>
      <c r="D2" s="278" t="s">
        <v>60</v>
      </c>
      <c r="E2" s="279" t="s">
        <v>61</v>
      </c>
      <c r="F2" s="277" t="s">
        <v>288</v>
      </c>
    </row>
    <row r="3" spans="1:6" x14ac:dyDescent="0.25">
      <c r="A3" s="271" t="s">
        <v>280</v>
      </c>
      <c r="B3" s="248">
        <v>0</v>
      </c>
      <c r="C3" s="249">
        <v>0</v>
      </c>
      <c r="D3" s="248">
        <v>0</v>
      </c>
      <c r="E3" s="248">
        <v>0</v>
      </c>
      <c r="F3" s="249">
        <f>B3+C3-D3+E3</f>
        <v>0</v>
      </c>
    </row>
    <row r="4" spans="1:6" x14ac:dyDescent="0.25">
      <c r="A4" s="271" t="s">
        <v>281</v>
      </c>
      <c r="B4" s="248">
        <v>0</v>
      </c>
      <c r="C4" s="249">
        <v>0</v>
      </c>
      <c r="D4" s="248">
        <v>0</v>
      </c>
      <c r="E4" s="248">
        <v>0</v>
      </c>
      <c r="F4" s="249">
        <f t="shared" ref="F4:F8" si="0">B4+C4-D4+E4</f>
        <v>0</v>
      </c>
    </row>
    <row r="5" spans="1:6" x14ac:dyDescent="0.25">
      <c r="A5" s="271" t="s">
        <v>282</v>
      </c>
      <c r="B5" s="248">
        <v>0</v>
      </c>
      <c r="C5" s="249">
        <v>0</v>
      </c>
      <c r="D5" s="248">
        <v>0</v>
      </c>
      <c r="E5" s="248">
        <v>0</v>
      </c>
      <c r="F5" s="249">
        <f t="shared" si="0"/>
        <v>0</v>
      </c>
    </row>
    <row r="6" spans="1:6" ht="25.5" x14ac:dyDescent="0.25">
      <c r="A6" s="247" t="s">
        <v>283</v>
      </c>
      <c r="B6" s="248">
        <v>511196</v>
      </c>
      <c r="C6" s="249">
        <v>273</v>
      </c>
      <c r="D6" s="248">
        <v>511469</v>
      </c>
      <c r="E6" s="248">
        <v>0</v>
      </c>
      <c r="F6" s="249">
        <f t="shared" si="0"/>
        <v>0</v>
      </c>
    </row>
    <row r="7" spans="1:6" x14ac:dyDescent="0.25">
      <c r="A7" s="271" t="s">
        <v>284</v>
      </c>
      <c r="B7" s="248">
        <v>0</v>
      </c>
      <c r="C7" s="249">
        <v>0</v>
      </c>
      <c r="D7" s="248">
        <v>0</v>
      </c>
      <c r="E7" s="248">
        <v>0</v>
      </c>
      <c r="F7" s="249">
        <f t="shared" si="0"/>
        <v>0</v>
      </c>
    </row>
    <row r="8" spans="1:6" ht="16.5" customHeight="1" x14ac:dyDescent="0.25">
      <c r="A8" s="247" t="s">
        <v>285</v>
      </c>
      <c r="B8" s="249">
        <v>0</v>
      </c>
      <c r="C8" s="249">
        <v>0</v>
      </c>
      <c r="D8" s="249">
        <v>0</v>
      </c>
      <c r="E8" s="272">
        <v>0</v>
      </c>
      <c r="F8" s="249">
        <f t="shared" si="0"/>
        <v>0</v>
      </c>
    </row>
    <row r="9" spans="1:6" ht="13.5" thickBot="1" x14ac:dyDescent="0.3">
      <c r="A9" s="273" t="s">
        <v>286</v>
      </c>
      <c r="B9" s="274">
        <f>SUM(B3:B8)</f>
        <v>511196</v>
      </c>
      <c r="C9" s="274">
        <f t="shared" ref="C9:F9" si="1">SUM(C3:C8)</f>
        <v>273</v>
      </c>
      <c r="D9" s="274">
        <f t="shared" si="1"/>
        <v>511469</v>
      </c>
      <c r="E9" s="274">
        <f t="shared" si="1"/>
        <v>0</v>
      </c>
      <c r="F9" s="274">
        <f t="shared" si="1"/>
        <v>0</v>
      </c>
    </row>
    <row r="10" spans="1:6" ht="13.5" thickTop="1" x14ac:dyDescent="0.25">
      <c r="E10" s="250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5C7A-7816-4F53-A0F4-7E70899A2F93}">
  <dimension ref="A3:G19"/>
  <sheetViews>
    <sheetView workbookViewId="0">
      <selection activeCell="A3" sqref="A3:G9"/>
    </sheetView>
  </sheetViews>
  <sheetFormatPr defaultRowHeight="12.75" x14ac:dyDescent="0.25"/>
  <cols>
    <col min="1" max="1" width="35.28515625" style="241" customWidth="1"/>
    <col min="2" max="2" width="14.42578125" style="241" customWidth="1"/>
    <col min="3" max="3" width="7.140625" style="241" customWidth="1"/>
    <col min="4" max="4" width="7.140625" style="241" bestFit="1" customWidth="1"/>
    <col min="5" max="5" width="6.42578125" style="241" bestFit="1" customWidth="1"/>
    <col min="6" max="6" width="11.140625" style="241" bestFit="1" customWidth="1"/>
    <col min="7" max="7" width="9.5703125" style="241" customWidth="1"/>
    <col min="8" max="16384" width="9.140625" style="241"/>
  </cols>
  <sheetData>
    <row r="3" spans="1:7" ht="51" x14ac:dyDescent="0.25">
      <c r="A3" s="239" t="s">
        <v>256</v>
      </c>
      <c r="B3" s="425" t="s">
        <v>348</v>
      </c>
      <c r="C3" s="240" t="s">
        <v>266</v>
      </c>
      <c r="D3" s="240" t="s">
        <v>257</v>
      </c>
      <c r="E3" s="240" t="s">
        <v>258</v>
      </c>
      <c r="F3" s="240" t="s">
        <v>347</v>
      </c>
      <c r="G3" s="240" t="s">
        <v>267</v>
      </c>
    </row>
    <row r="4" spans="1:7" x14ac:dyDescent="0.25">
      <c r="A4" s="218"/>
      <c r="B4" s="218"/>
      <c r="C4" s="218"/>
      <c r="D4" s="218"/>
      <c r="E4" s="218"/>
      <c r="F4" s="218"/>
      <c r="G4" s="218"/>
    </row>
    <row r="5" spans="1:7" x14ac:dyDescent="0.25">
      <c r="A5" s="242" t="s">
        <v>261</v>
      </c>
      <c r="B5" s="242"/>
      <c r="C5" s="243"/>
      <c r="D5" s="243"/>
      <c r="E5" s="243"/>
      <c r="F5" s="243"/>
      <c r="G5" s="243">
        <f t="shared" ref="G5:G7" si="0">C5+D5-E5-F5</f>
        <v>0</v>
      </c>
    </row>
    <row r="6" spans="1:7" ht="15" customHeight="1" x14ac:dyDescent="0.25">
      <c r="A6" s="242" t="s">
        <v>262</v>
      </c>
      <c r="B6" s="242" t="s">
        <v>344</v>
      </c>
      <c r="C6" s="243">
        <v>410238</v>
      </c>
      <c r="D6" s="243">
        <v>19996</v>
      </c>
      <c r="E6" s="243">
        <v>21000</v>
      </c>
      <c r="F6" s="243">
        <v>409234</v>
      </c>
      <c r="G6" s="243">
        <f t="shared" si="0"/>
        <v>0</v>
      </c>
    </row>
    <row r="7" spans="1:7" ht="13.5" customHeight="1" x14ac:dyDescent="0.25">
      <c r="A7" s="242" t="s">
        <v>263</v>
      </c>
      <c r="B7" s="242" t="s">
        <v>345</v>
      </c>
      <c r="C7" s="243">
        <v>3531087</v>
      </c>
      <c r="D7" s="243">
        <v>182204</v>
      </c>
      <c r="E7" s="243"/>
      <c r="F7" s="243"/>
      <c r="G7" s="243">
        <f t="shared" si="0"/>
        <v>3713291</v>
      </c>
    </row>
    <row r="8" spans="1:7" ht="12.75" customHeight="1" x14ac:dyDescent="0.25">
      <c r="A8" s="242" t="s">
        <v>264</v>
      </c>
      <c r="B8" s="242" t="s">
        <v>346</v>
      </c>
      <c r="C8" s="243">
        <v>184664</v>
      </c>
      <c r="D8" s="243">
        <v>8602</v>
      </c>
      <c r="E8" s="243"/>
      <c r="F8" s="243"/>
      <c r="G8" s="243">
        <f>C8+D8-E8-F8</f>
        <v>193266</v>
      </c>
    </row>
    <row r="9" spans="1:7" x14ac:dyDescent="0.25">
      <c r="A9" s="426" t="s">
        <v>265</v>
      </c>
      <c r="B9" s="244"/>
      <c r="C9" s="245">
        <f>SUM(C6:C8)</f>
        <v>4125989</v>
      </c>
      <c r="D9" s="245">
        <f t="shared" ref="D9:G9" si="1">SUM(D6:D8)</f>
        <v>210802</v>
      </c>
      <c r="E9" s="245">
        <f t="shared" si="1"/>
        <v>21000</v>
      </c>
      <c r="F9" s="245">
        <f t="shared" si="1"/>
        <v>409234</v>
      </c>
      <c r="G9" s="245">
        <f t="shared" si="1"/>
        <v>3906557</v>
      </c>
    </row>
    <row r="13" spans="1:7" ht="51" x14ac:dyDescent="0.25">
      <c r="A13" s="239" t="s">
        <v>256</v>
      </c>
      <c r="B13" s="425" t="s">
        <v>348</v>
      </c>
      <c r="C13" s="240" t="s">
        <v>266</v>
      </c>
      <c r="D13" s="240" t="s">
        <v>257</v>
      </c>
      <c r="E13" s="240" t="s">
        <v>258</v>
      </c>
      <c r="F13" s="240" t="s">
        <v>347</v>
      </c>
      <c r="G13" s="240" t="s">
        <v>267</v>
      </c>
    </row>
    <row r="14" spans="1:7" x14ac:dyDescent="0.25">
      <c r="A14" s="218"/>
      <c r="B14" s="218"/>
      <c r="C14" s="218"/>
      <c r="D14" s="218"/>
      <c r="E14" s="218"/>
      <c r="F14" s="218"/>
      <c r="G14" s="218"/>
    </row>
    <row r="15" spans="1:7" x14ac:dyDescent="0.25">
      <c r="A15" s="242" t="s">
        <v>261</v>
      </c>
      <c r="B15" s="242"/>
      <c r="C15" s="243"/>
      <c r="D15" s="243"/>
      <c r="E15" s="243"/>
      <c r="F15" s="243"/>
      <c r="G15" s="243">
        <f t="shared" ref="G15:G17" si="2">C15+D15-E15-F15</f>
        <v>0</v>
      </c>
    </row>
    <row r="16" spans="1:7" ht="25.5" x14ac:dyDescent="0.25">
      <c r="A16" s="242" t="s">
        <v>262</v>
      </c>
      <c r="B16" s="242" t="s">
        <v>344</v>
      </c>
      <c r="C16" s="243">
        <v>410238</v>
      </c>
      <c r="D16" s="243">
        <v>19996</v>
      </c>
      <c r="E16" s="243">
        <v>21000</v>
      </c>
      <c r="F16" s="243">
        <v>409234</v>
      </c>
      <c r="G16" s="243">
        <f t="shared" si="2"/>
        <v>0</v>
      </c>
    </row>
    <row r="17" spans="1:7" ht="25.5" x14ac:dyDescent="0.25">
      <c r="A17" s="242" t="s">
        <v>263</v>
      </c>
      <c r="B17" s="242" t="s">
        <v>345</v>
      </c>
      <c r="C17" s="243">
        <v>3531087</v>
      </c>
      <c r="D17" s="243">
        <v>182204</v>
      </c>
      <c r="E17" s="243"/>
      <c r="F17" s="243"/>
      <c r="G17" s="243">
        <f t="shared" si="2"/>
        <v>3713291</v>
      </c>
    </row>
    <row r="18" spans="1:7" x14ac:dyDescent="0.25">
      <c r="A18" s="242" t="s">
        <v>264</v>
      </c>
      <c r="B18" s="242" t="s">
        <v>346</v>
      </c>
      <c r="C18" s="243">
        <v>184664</v>
      </c>
      <c r="D18" s="243">
        <v>8602</v>
      </c>
      <c r="E18" s="243"/>
      <c r="F18" s="243"/>
      <c r="G18" s="243">
        <f>C18+D18-E18-F18</f>
        <v>193266</v>
      </c>
    </row>
    <row r="19" spans="1:7" x14ac:dyDescent="0.25">
      <c r="A19" s="426" t="s">
        <v>265</v>
      </c>
      <c r="B19" s="244"/>
      <c r="C19" s="245">
        <f>SUM(C16:C18)</f>
        <v>4125989</v>
      </c>
      <c r="D19" s="245">
        <f t="shared" ref="D19" si="3">SUM(D16:D18)</f>
        <v>210802</v>
      </c>
      <c r="E19" s="245">
        <f t="shared" ref="E19" si="4">SUM(E16:E18)</f>
        <v>21000</v>
      </c>
      <c r="F19" s="245">
        <f t="shared" ref="F19" si="5">SUM(F16:F18)</f>
        <v>409234</v>
      </c>
      <c r="G19" s="245">
        <f t="shared" ref="G19" si="6">SUM(G16:G18)</f>
        <v>3906557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F7"/>
    </sheetView>
  </sheetViews>
  <sheetFormatPr defaultRowHeight="12.75" x14ac:dyDescent="0.25"/>
  <cols>
    <col min="1" max="1" width="36.28515625" style="241" customWidth="1"/>
    <col min="2" max="3" width="9.140625" style="241"/>
    <col min="4" max="4" width="10.7109375" style="241" customWidth="1"/>
    <col min="5" max="5" width="12.5703125" style="241" customWidth="1"/>
    <col min="6" max="6" width="10" style="241" customWidth="1"/>
    <col min="7" max="16384" width="9.140625" style="241"/>
  </cols>
  <sheetData>
    <row r="1" spans="1:6" x14ac:dyDescent="0.25">
      <c r="A1" s="256"/>
      <c r="B1" s="453" t="s">
        <v>269</v>
      </c>
      <c r="C1" s="453"/>
      <c r="D1" s="453"/>
      <c r="E1" s="453"/>
      <c r="F1" s="453"/>
    </row>
    <row r="2" spans="1:6" ht="74.25" customHeight="1" x14ac:dyDescent="0.25">
      <c r="A2" s="253" t="s">
        <v>92</v>
      </c>
      <c r="B2" s="254" t="s">
        <v>271</v>
      </c>
      <c r="C2" s="254" t="s">
        <v>85</v>
      </c>
      <c r="D2" s="255" t="s">
        <v>273</v>
      </c>
      <c r="E2" s="255" t="s">
        <v>86</v>
      </c>
      <c r="F2" s="254" t="s">
        <v>272</v>
      </c>
    </row>
    <row r="3" spans="1:6" ht="12" customHeight="1" x14ac:dyDescent="0.25">
      <c r="A3" s="257" t="s">
        <v>87</v>
      </c>
      <c r="B3" s="258">
        <v>0</v>
      </c>
      <c r="C3" s="258">
        <v>0</v>
      </c>
      <c r="D3" s="258">
        <v>0</v>
      </c>
      <c r="E3" s="258">
        <v>0</v>
      </c>
      <c r="F3" s="259">
        <f>B3+C3-D3-E3</f>
        <v>0</v>
      </c>
    </row>
    <row r="4" spans="1:6" ht="12" customHeight="1" x14ac:dyDescent="0.25">
      <c r="A4" s="257" t="s">
        <v>270</v>
      </c>
      <c r="B4" s="260">
        <v>86919</v>
      </c>
      <c r="C4" s="260">
        <v>0</v>
      </c>
      <c r="D4" s="260">
        <v>0</v>
      </c>
      <c r="E4" s="260">
        <v>0</v>
      </c>
      <c r="F4" s="259">
        <f>B4+C4-D4-E4</f>
        <v>86919</v>
      </c>
    </row>
    <row r="5" spans="1:6" ht="12" customHeight="1" x14ac:dyDescent="0.25">
      <c r="A5" s="257" t="s">
        <v>89</v>
      </c>
      <c r="B5" s="260">
        <v>0</v>
      </c>
      <c r="C5" s="260">
        <v>0</v>
      </c>
      <c r="D5" s="260">
        <v>0</v>
      </c>
      <c r="E5" s="260">
        <v>0</v>
      </c>
      <c r="F5" s="259">
        <f>B5+C5-D5-E5</f>
        <v>0</v>
      </c>
    </row>
    <row r="6" spans="1:6" ht="12" customHeight="1" x14ac:dyDescent="0.25">
      <c r="A6" s="261" t="s">
        <v>90</v>
      </c>
      <c r="B6" s="262">
        <v>419172</v>
      </c>
      <c r="C6" s="262">
        <v>0</v>
      </c>
      <c r="D6" s="262">
        <v>0</v>
      </c>
      <c r="E6" s="262">
        <v>0</v>
      </c>
      <c r="F6" s="263">
        <f>B6+C6-D6-E6</f>
        <v>419172</v>
      </c>
    </row>
    <row r="7" spans="1:6" ht="12" customHeight="1" x14ac:dyDescent="0.25">
      <c r="A7" s="264" t="s">
        <v>93</v>
      </c>
      <c r="B7" s="265">
        <f>SUM(B3:B6)</f>
        <v>506091</v>
      </c>
      <c r="C7" s="265">
        <f>SUM(C3:C6)</f>
        <v>0</v>
      </c>
      <c r="D7" s="265">
        <f>SUM(D3:D6)</f>
        <v>0</v>
      </c>
      <c r="E7" s="265">
        <f>SUM(E3:E6)</f>
        <v>0</v>
      </c>
      <c r="F7" s="265">
        <f>SUM(F3:F6)</f>
        <v>506091</v>
      </c>
    </row>
  </sheetData>
  <mergeCells count="1">
    <mergeCell ref="B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25</vt:i4>
      </vt:variant>
    </vt:vector>
  </HeadingPairs>
  <TitlesOfParts>
    <vt:vector size="25" baseType="lpstr">
      <vt:lpstr>počet zamestnancov</vt:lpstr>
      <vt:lpstr>DNM</vt:lpstr>
      <vt:lpstr>DHM</vt:lpstr>
      <vt:lpstr>DFM</vt:lpstr>
      <vt:lpstr>DFM i</vt:lpstr>
      <vt:lpstr>DFM 1</vt:lpstr>
      <vt:lpstr>KFM</vt:lpstr>
      <vt:lpstr>dlhopisy</vt:lpstr>
      <vt:lpstr>OP pohladavky</vt:lpstr>
      <vt:lpstr>pohladavky</vt:lpstr>
      <vt:lpstr>fin majetok cas rozlisenie</vt:lpstr>
      <vt:lpstr>rezervy</vt:lpstr>
      <vt:lpstr>zavazky</vt:lpstr>
      <vt:lpstr>fin leasing</vt:lpstr>
      <vt:lpstr>SF</vt:lpstr>
      <vt:lpstr>bankove uvery</vt:lpstr>
      <vt:lpstr>vynosy segmenty</vt:lpstr>
      <vt:lpstr>výnosy</vt:lpstr>
      <vt:lpstr>zásoby vlastnej výroby</vt:lpstr>
      <vt:lpstr>naklady</vt:lpstr>
      <vt:lpstr>odl dan</vt:lpstr>
      <vt:lpstr>dane</vt:lpstr>
      <vt:lpstr>odmeny</vt:lpstr>
      <vt:lpstr>spriaznene osoby</vt:lpstr>
      <vt:lpstr>vlastne imanie</vt:lpstr>
    </vt:vector>
  </TitlesOfParts>
  <Company>TATRA-AUDIT,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Kucerova</cp:lastModifiedBy>
  <dcterms:created xsi:type="dcterms:W3CDTF">2016-06-22T20:22:12Z</dcterms:created>
  <dcterms:modified xsi:type="dcterms:W3CDTF">2022-04-01T04:44:50Z</dcterms:modified>
</cp:coreProperties>
</file>