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24226"/>
  <bookViews>
    <workbookView xWindow="-12" yWindow="-12" windowWidth="25236" windowHeight="12696" tabRatio="948" firstSheet="22" activeTab="42"/>
  </bookViews>
  <sheets>
    <sheet name="VYSVETLIVKY" sheetId="51" r:id="rId1"/>
    <sheet name="1" sheetId="1" r:id="rId2"/>
    <sheet name="2" sheetId="5" r:id="rId3"/>
    <sheet name="3" sheetId="6" r:id="rId4"/>
    <sheet name="4" sheetId="7" r:id="rId5"/>
    <sheet name="5" sheetId="8" r:id="rId6"/>
    <sheet name="6" sheetId="9" r:id="rId7"/>
    <sheet name="7" sheetId="10" r:id="rId8"/>
    <sheet name="8" sheetId="11" r:id="rId9"/>
    <sheet name="9" sheetId="12" r:id="rId10"/>
    <sheet name="10" sheetId="13" r:id="rId11"/>
    <sheet name="11" sheetId="14" r:id="rId12"/>
    <sheet name="11_tabulka c.2" sheetId="53" r:id="rId13"/>
    <sheet name="12" sheetId="15" r:id="rId14"/>
    <sheet name="13_tabulka 1 a 3" sheetId="56" r:id="rId15"/>
    <sheet name="13_tabulka 2 a 4" sheetId="57" r:id="rId16"/>
    <sheet name="14" sheetId="17" r:id="rId17"/>
    <sheet name="15" sheetId="77" r:id="rId18"/>
    <sheet name="16" sheetId="18" r:id="rId19"/>
    <sheet name="17" sheetId="19" r:id="rId20"/>
    <sheet name="17_tabulka c.2" sheetId="55" r:id="rId21"/>
    <sheet name="18" sheetId="21" r:id="rId22"/>
    <sheet name="19" sheetId="22" r:id="rId23"/>
    <sheet name="20" sheetId="23" r:id="rId24"/>
    <sheet name="21" sheetId="24" r:id="rId25"/>
    <sheet name="22" sheetId="25" r:id="rId26"/>
    <sheet name="23" sheetId="27" r:id="rId27"/>
    <sheet name="24" sheetId="28" r:id="rId28"/>
    <sheet name="25" sheetId="29" r:id="rId29"/>
    <sheet name="26" sheetId="30" r:id="rId30"/>
    <sheet name="27" sheetId="31" r:id="rId31"/>
    <sheet name="28" sheetId="32" r:id="rId32"/>
    <sheet name="29" sheetId="33" r:id="rId33"/>
    <sheet name="29_tabulka2" sheetId="76" r:id="rId34"/>
    <sheet name="30" sheetId="35" r:id="rId35"/>
    <sheet name="31" sheetId="36" r:id="rId36"/>
    <sheet name="32" sheetId="38" r:id="rId37"/>
    <sheet name="33" sheetId="40" r:id="rId38"/>
    <sheet name="34" sheetId="41" r:id="rId39"/>
    <sheet name="35" sheetId="42" r:id="rId40"/>
    <sheet name="36" sheetId="43" r:id="rId41"/>
    <sheet name="Hárok1" sheetId="60" r:id="rId42"/>
    <sheet name="HK" sheetId="64" r:id="rId43"/>
    <sheet name="HKSU" sheetId="73" r:id="rId44"/>
    <sheet name="HKM" sheetId="65" r:id="rId45"/>
    <sheet name="HKSUM" sheetId="74" r:id="rId46"/>
    <sheet name="VZaS" sheetId="66" r:id="rId47"/>
    <sheet name="VZaSM" sheetId="67" r:id="rId48"/>
    <sheet name="SUA" sheetId="68" r:id="rId49"/>
    <sheet name="SUP" sheetId="69" r:id="rId50"/>
    <sheet name="SUAM" sheetId="70" r:id="rId51"/>
    <sheet name="SUPM" sheetId="71" r:id="rId52"/>
    <sheet name="Info" sheetId="72" r:id="rId53"/>
  </sheets>
  <calcPr/>
</workbook>
</file>

<file path=xl/sharedStrings.xml><?xml version="1.0" encoding="utf-8"?>
<sst xmlns="http://schemas.openxmlformats.org/spreadsheetml/2006/main" count="3029" uniqueCount="1392">
  <si>
    <t>Stav na konci účtovného obdobia</t>
  </si>
  <si>
    <t>Popis</t>
  </si>
  <si>
    <t>Zmluvné pokuty a penále</t>
  </si>
  <si>
    <t>21</t>
  </si>
  <si>
    <t>Pestov. celky trvalých porastov ( 025 ) - / 085, 092A/</t>
  </si>
  <si>
    <t>538110</t>
  </si>
  <si>
    <t>604</t>
  </si>
  <si>
    <t>****</t>
  </si>
  <si>
    <t>Sumár od začiatku zákazkovej výstavby nehnuteľnosti určenej 
na predaj až do konca bežného účtovného obdobia</t>
  </si>
  <si>
    <t>Osobné náklady ( r.16 až r.19 )</t>
  </si>
  <si>
    <t>479349</t>
  </si>
  <si>
    <t>335100</t>
  </si>
  <si>
    <t>15</t>
  </si>
  <si>
    <t>B,K,N,M</t>
  </si>
  <si>
    <t>381</t>
  </si>
  <si>
    <t>D.</t>
  </si>
  <si>
    <t>Prevod do neuhradenej straty minulých rokov</t>
  </si>
  <si>
    <t>Kurzové straty (563)</t>
  </si>
  <si>
    <t>Tržby z pred.služ. - konzumácia</t>
  </si>
  <si>
    <t>140</t>
  </si>
  <si>
    <t>531100</t>
  </si>
  <si>
    <t>Odmeny členom orgánov spoločnosti a družstva ( 523 )</t>
  </si>
  <si>
    <t>VII.</t>
  </si>
  <si>
    <t>Stav OP na začiatku účtovného obdobia</t>
  </si>
  <si>
    <t>056</t>
  </si>
  <si>
    <t>501</t>
  </si>
  <si>
    <t>Do splatnosti  od jedného roka do troch rokov vrátane</t>
  </si>
  <si>
    <t>14. Informácie k časti F. písm. r) prílohy č. 3 o vývoji opravnej položky  k pohľadávkam</t>
  </si>
  <si>
    <t>343822</t>
  </si>
  <si>
    <t>532100</t>
  </si>
  <si>
    <t>Zákonné rezervy ( 323A, 451A )</t>
  </si>
  <si>
    <t>Výnosy z cenných papierov a podielov od prepojených ÚJ (665 A)</t>
  </si>
  <si>
    <t>052</t>
  </si>
  <si>
    <t>Nerozdelený zisk z minulých rokov ( 428 )</t>
  </si>
  <si>
    <t>Oceňovacie rozdiely z precenenia majetku a záväzkov (+/-414)</t>
  </si>
  <si>
    <t>II.</t>
  </si>
  <si>
    <t>Dlhodobé záväzky z obchodného styku súčet (r. 104 až r. 106)</t>
  </si>
  <si>
    <t>Spotr.mater.-PHM  Citroen JUMPER</t>
  </si>
  <si>
    <t>A.  I.</t>
  </si>
  <si>
    <t>016</t>
  </si>
  <si>
    <t>(5) V bodoch č. 2, 9, 22, 25, 29, 30, 31, 32, 35, 37, 39, 46, 48 a 49 sa obsahová náplň tabuliek</t>
  </si>
  <si>
    <t>know-how</t>
  </si>
  <si>
    <t>Vyradenie dlhového CP z účtovníctva v účtovnom období</t>
  </si>
  <si>
    <t>020</t>
  </si>
  <si>
    <t>343000</t>
  </si>
  <si>
    <t>B.  I. 1.</t>
  </si>
  <si>
    <t>Ostatné fondy zo zisku r. 091 + r. 092</t>
  </si>
  <si>
    <t>Krátkodobé bankové úvery</t>
  </si>
  <si>
    <t>097</t>
  </si>
  <si>
    <t>Tržby z pred.služ.-ubytovanie</t>
  </si>
  <si>
    <t>Presuny</t>
  </si>
  <si>
    <t>Zúčt. s inštitúciami ZP</t>
  </si>
  <si>
    <t>Tržby z pred.služ. - prenájom ľoď</t>
  </si>
  <si>
    <t>082100</t>
  </si>
  <si>
    <t>Opis predmetu záložného práva</t>
  </si>
  <si>
    <t>(4) V bodoch č. 3, 5 a 7 sa prvotným ocenením majetku rozumie jeho ocenenie podľa § 25 zákona.</t>
  </si>
  <si>
    <t>Výnosy z kratkodobého fin.majetku v podielovej účasti okrem výnosov prepojených ÚJ (666A)</t>
  </si>
  <si>
    <t>Tvorba OP</t>
  </si>
  <si>
    <t>12</t>
  </si>
  <si>
    <t>Tržby z predaja cenných papierov a podielov (661)</t>
  </si>
  <si>
    <t>Prídel do sociálneho fondu</t>
  </si>
  <si>
    <t>701000</t>
  </si>
  <si>
    <t>Číslo 
riad.</t>
  </si>
  <si>
    <t>Nehnuteľnosť na predaj</t>
  </si>
  <si>
    <t>062</t>
  </si>
  <si>
    <t>Ostatné záväzky voči spoločníkom</t>
  </si>
  <si>
    <t>Dlhodobé rezervy, z toho:</t>
  </si>
  <si>
    <t>Splatnosť</t>
  </si>
  <si>
    <t>Opravy a udržov. - auto</t>
  </si>
  <si>
    <t>129</t>
  </si>
  <si>
    <t>211</t>
  </si>
  <si>
    <t>069</t>
  </si>
  <si>
    <t>13</t>
  </si>
  <si>
    <t>2</t>
  </si>
  <si>
    <t>36. Informácie k časti J.  písm. f) a g) prílohy č. 3 o daniach z príjmov</t>
  </si>
  <si>
    <t>pohľadávky</t>
  </si>
  <si>
    <t>obchodné zastúpenie</t>
  </si>
  <si>
    <t>Zúčt. s inštitúciami soc. zabezpečenia</t>
  </si>
  <si>
    <t>A. III.</t>
  </si>
  <si>
    <t>249</t>
  </si>
  <si>
    <t>Krátkodobé finančné výpomoci</t>
    <r>
      <rPr>
        <rFont val="Arial"/>
        <family val="2"/>
        <color theme="1"/>
        <sz val="8"/>
      </rPr>
      <t xml:space="preserve"> </t>
    </r>
  </si>
  <si>
    <t>648</t>
  </si>
  <si>
    <t>záväzku</t>
  </si>
  <si>
    <t>Hodnota zákazkovej výroby</t>
  </si>
  <si>
    <t>Ostatné výnosy z hospodárskej činnosti (644,645,646,648,655,657)</t>
  </si>
  <si>
    <t>Pokladnica, ceniny</t>
  </si>
  <si>
    <t>045</t>
  </si>
  <si>
    <t>B. VI.</t>
  </si>
  <si>
    <t>S,M</t>
  </si>
  <si>
    <t>527300</t>
  </si>
  <si>
    <t>Tvorba a zúčtovanie opr.položiek k pohľ.</t>
  </si>
  <si>
    <t>518200</t>
  </si>
  <si>
    <t>479600</t>
  </si>
  <si>
    <t>038</t>
  </si>
  <si>
    <t>02</t>
  </si>
  <si>
    <t>324900</t>
  </si>
  <si>
    <t>211100</t>
  </si>
  <si>
    <t>50</t>
  </si>
  <si>
    <t>Ostatné realizované cenné papiere a podiely (063A) - /096A/</t>
  </si>
  <si>
    <t>568100</t>
  </si>
  <si>
    <t>479348</t>
  </si>
  <si>
    <t>Zo zákonného rezervného fondu</t>
  </si>
  <si>
    <t>Tovar</t>
  </si>
  <si>
    <t>Dlhodobé pohľadávky súčet (r.042 + r.046 až r.052)</t>
  </si>
  <si>
    <t>Začiatočný stav</t>
  </si>
  <si>
    <t>Obstaranie materiálu  - obaly, prepravky</t>
  </si>
  <si>
    <t>323100</t>
  </si>
  <si>
    <t>Podiel.cenné papiere a podiely v prepojených ÚJ (061A,062A,063A) - /096A/</t>
  </si>
  <si>
    <t>Ost.služby- hyg.služby</t>
  </si>
  <si>
    <t>111100</t>
  </si>
  <si>
    <t>Ostatné náklady na hospodársku činnosť</t>
  </si>
  <si>
    <t>049</t>
  </si>
  <si>
    <t>551</t>
  </si>
  <si>
    <t>42</t>
  </si>
  <si>
    <t>Pohľadávky voči spoločníkom, členom a združeniu</t>
  </si>
  <si>
    <t>od jedného roka do piatich rokov vrátane</t>
  </si>
  <si>
    <t>Daň z príjmov ( r.58+r.59)</t>
  </si>
  <si>
    <t>051</t>
  </si>
  <si>
    <t>602550</t>
  </si>
  <si>
    <t>Záväzky z obch.styku v rámci pod.účasti okrem záv.voči prep.ÚJ (321A,475A,476A)</t>
  </si>
  <si>
    <t>326</t>
  </si>
  <si>
    <t>A.</t>
  </si>
  <si>
    <t>Daň zo mzdy</t>
  </si>
  <si>
    <t>100</t>
  </si>
  <si>
    <t>Do splatnosti od jedného roka do troch rokov vrátane</t>
  </si>
  <si>
    <t>Ostatné pohľadávky - VISA</t>
  </si>
  <si>
    <t>249100</t>
  </si>
  <si>
    <t>Bežné bankové účty</t>
  </si>
  <si>
    <t>Manká a škody</t>
  </si>
  <si>
    <t>Suma prijatých preddavkov</t>
  </si>
  <si>
    <t>Softvér - recepčný program</t>
  </si>
  <si>
    <t>101</t>
  </si>
  <si>
    <t>Odpisy dlhodobého NM a dlhodobého HM ( 551 )</t>
  </si>
  <si>
    <t>Dlhodobý finančný majetok spolu</t>
  </si>
  <si>
    <t>502200</t>
  </si>
  <si>
    <t>501120</t>
  </si>
  <si>
    <t>VI – vlastné imanie</t>
  </si>
  <si>
    <t>379120</t>
  </si>
  <si>
    <t>Samost.HV a SHV - práčovňa-leasing</t>
  </si>
  <si>
    <t>(1) Identifikačné číslo organizácie (IČO) sa vyplňuje podľa Registra organizácií vedeného Štatistickým</t>
  </si>
  <si>
    <t>336200</t>
  </si>
  <si>
    <t>Odberatelia tuzemsko</t>
  </si>
  <si>
    <t>Dane a poplatky (účtovná skupina 53)</t>
  </si>
  <si>
    <t>Tržby z predaja služieb</t>
  </si>
  <si>
    <t>10. Informácie k časti F. písm. j) a l) prílohy č. 3 o poskytnutých dlhodobých pôžičkách</t>
  </si>
  <si>
    <t>Priemerný prepočítaný počet zamestnancov</t>
  </si>
  <si>
    <t>Oprávky k softvéru</t>
  </si>
  <si>
    <t>OP – opravná položka</t>
  </si>
  <si>
    <t>Výnosy z cenných papierov a podielov v podielovej účasti okrem výnosov prepojených ÚJ (665 A)</t>
  </si>
  <si>
    <t>Odložený daňový záväzok</t>
  </si>
  <si>
    <t>Zmena stavu vnútroorganizačných zásob (+/-) (účtovná skupina 61)</t>
  </si>
  <si>
    <t>7.</t>
  </si>
  <si>
    <t>12.</t>
  </si>
  <si>
    <t>343</t>
  </si>
  <si>
    <t>Tržby z pred.služ. - zákusky</t>
  </si>
  <si>
    <t>Daň z príjmov</t>
  </si>
  <si>
    <t>Peniaze na ceste</t>
  </si>
  <si>
    <t>A. I.1.</t>
  </si>
  <si>
    <t>Zásoby</t>
  </si>
  <si>
    <t>Nákladové úroky na prepojené ÚJ ( 562A )</t>
  </si>
  <si>
    <t>Oceňovacie rozdiely z precenenia pri zlúčení, splynutí a rozdelení (+/-416)</t>
  </si>
  <si>
    <t>Záväzok voči G -za post.pohl. z Praclíka</t>
  </si>
  <si>
    <t>Zúčtovanie OP z dôvodu zániku opodstat-
nenosti</t>
  </si>
  <si>
    <t>Hodnota za bežné účtovné obdobie</t>
  </si>
  <si>
    <t>Krátkodobý finančný majetok</t>
  </si>
  <si>
    <t>Výnosy z hospodárskej činnosti spolu súčet (r.03 až r.09)</t>
  </si>
  <si>
    <t>518210</t>
  </si>
  <si>
    <t>Výstup tuzemsko 20%</t>
  </si>
  <si>
    <t>náklady za overenie individuálnej účtovnej závierky</t>
  </si>
  <si>
    <t>Náklady bud.obd.- ostatné</t>
  </si>
  <si>
    <t>511100</t>
  </si>
  <si>
    <t>T E X T</t>
  </si>
  <si>
    <t>Odberatelia</t>
  </si>
  <si>
    <t>Ostatné výnosy z finančnej činnosti (668)</t>
  </si>
  <si>
    <t>128</t>
  </si>
  <si>
    <t xml:space="preserve">Iné </t>
  </si>
  <si>
    <t>Záväzky z obchodného styku súčet (r. 124 až r. 126)</t>
  </si>
  <si>
    <t>Stavby</t>
  </si>
  <si>
    <t>Daňové pohľadávky a dotácie</t>
  </si>
  <si>
    <t>Spotreba  mimo.kalk.,výčap,minibar,relax</t>
  </si>
  <si>
    <t>Pôžičky a ostatný dlhodobý fin. majetok s dobou splat. najviac 1 rok ( 066A,067A,069A,06XA )-/096A/</t>
  </si>
  <si>
    <t>B.IV. 1.</t>
  </si>
  <si>
    <t>Ostatné pohľ. v rámci podielovej účasti okrem pohľ.voči prep.ÚJ  (351A) - /391A/</t>
  </si>
  <si>
    <t>Záv. v rámci pod.účasti okrem záv.voči prep.ÚJ (321A,322A,324A,325A,326A,32XA,475A,476A,478A,47XA)</t>
  </si>
  <si>
    <t>B. VII.</t>
  </si>
  <si>
    <t>Pohľadávky voči spoločníkom,členom a združeniu (354A,355A,358A,35XA) -/391A/</t>
  </si>
  <si>
    <t>343824</t>
  </si>
  <si>
    <t>Zabezpečovacie deriváty, z toho:</t>
  </si>
  <si>
    <t>A.VI.1.</t>
  </si>
  <si>
    <t>Ostatné fin. nákl. -bank.poplatky</t>
  </si>
  <si>
    <t>Tržby za vlastné výrobky</t>
  </si>
  <si>
    <t>Záväzok vykázaný v súvahe</t>
  </si>
  <si>
    <t>Hodnota</t>
  </si>
  <si>
    <t>Iné záväzky - pôžička Kveta Seidnerová</t>
  </si>
  <si>
    <t>Oprávky k HV a SHV - autá</t>
  </si>
  <si>
    <t>Ostatné pôžičky (067A) - /096A/</t>
  </si>
  <si>
    <t>314000</t>
  </si>
  <si>
    <t>Spolu vlastné imanie a záväzky ( r.080 + r.101 + r.141 )</t>
  </si>
  <si>
    <t>122</t>
  </si>
  <si>
    <t>Dlhodobé zmenky na úhradu ( 478A )</t>
  </si>
  <si>
    <t>Spotr.mater.-autá</t>
  </si>
  <si>
    <t>Zmena reálnej hodnoty (+/-) s vplyvom na</t>
  </si>
  <si>
    <t>130</t>
  </si>
  <si>
    <t>Názov vydaného dlhopisu</t>
  </si>
  <si>
    <t>501110</t>
  </si>
  <si>
    <t>Úrok p. a. v %</t>
  </si>
  <si>
    <t>Spolu majetok r.002+r.033+r.074</t>
  </si>
  <si>
    <t>Reprezentačné</t>
  </si>
  <si>
    <t>Finančné účty r.072 + r. 073</t>
  </si>
  <si>
    <t>21. Informácie k časti F. písm. zc) prílohy č. 3 o majetku prenajatom formou finančného prenájmu</t>
  </si>
  <si>
    <t>710</t>
  </si>
  <si>
    <t>Stavby ( 021 ) - / 081, 092A/</t>
  </si>
  <si>
    <t xml:space="preserve">16. Informácie k časti F. písm. t) a u) prílohy č. 3  o pohľadávkach zabezpečených záložným právom alebo inou formou zabezpečenia   </t>
  </si>
  <si>
    <t>046</t>
  </si>
  <si>
    <t>Vstup nadobudn. tovaru z EÚ 19%</t>
  </si>
  <si>
    <t>501410</t>
  </si>
  <si>
    <t>Ostatné výnosové úroky (662A)</t>
  </si>
  <si>
    <t>501500</t>
  </si>
  <si>
    <t>11</t>
  </si>
  <si>
    <t>064</t>
  </si>
  <si>
    <t>Neuhradená strata minulých rokov</t>
  </si>
  <si>
    <t>18</t>
  </si>
  <si>
    <t>Finančný výnos</t>
  </si>
  <si>
    <t>Krátkodobý finančný majetok spolu</t>
  </si>
  <si>
    <t>Do splatnosti od troch rokov do piatich rokov vrátane</t>
  </si>
  <si>
    <t>22</t>
  </si>
  <si>
    <t>A. II.</t>
  </si>
  <si>
    <t>Výnosy nepodliehajúce dani</t>
  </si>
  <si>
    <t>Dlhodobý hmotný majetok súčet (r. 012 až 020)</t>
  </si>
  <si>
    <t>075</t>
  </si>
  <si>
    <t>Pohľadávky z obchodného styku</t>
  </si>
  <si>
    <t>315300</t>
  </si>
  <si>
    <t>licencia</t>
  </si>
  <si>
    <t>602320</t>
  </si>
  <si>
    <t>Spotreba energie</t>
  </si>
  <si>
    <t>a počet riadkov v nich uvádzajú podľa potrieb účtovnej jednotky.</t>
  </si>
  <si>
    <t>527100</t>
  </si>
  <si>
    <t>011</t>
  </si>
  <si>
    <t>Zákonné sociálne náklady</t>
  </si>
  <si>
    <t>379</t>
  </si>
  <si>
    <t>28</t>
  </si>
  <si>
    <t>PSČ – poštové smerovacie číslo</t>
  </si>
  <si>
    <t>Ostatné náklady na finančnú činnosť (568,569)</t>
  </si>
  <si>
    <t>Základné imanie súčet (r. 082 až r. 084)</t>
  </si>
  <si>
    <t>Krátkodobé pôžičky</t>
    <r>
      <rPr>
        <rFont val="Arial"/>
        <family val="2"/>
        <color theme="1"/>
        <sz val="8"/>
      </rPr>
      <t xml:space="preserve"> </t>
    </r>
  </si>
  <si>
    <t>008</t>
  </si>
  <si>
    <t>518500</t>
  </si>
  <si>
    <t>P A S Í V A</t>
  </si>
  <si>
    <t>Úprava nárokov podľa stupňa dokončenia alebo metódou nulového zisku</t>
  </si>
  <si>
    <t>Úhrada straty spoločníkmi</t>
  </si>
  <si>
    <t>Ostatné pohľadávky z obchodného styku (311A,312A,313A,314A,315A,31XA)-/391A/</t>
  </si>
  <si>
    <t>083</t>
  </si>
  <si>
    <t>Dodávatelia tuzemsko</t>
  </si>
  <si>
    <t>518150</t>
  </si>
  <si>
    <t>022310</t>
  </si>
  <si>
    <t>Pohľadávky z derivátových operácií (373A, 376A)</t>
  </si>
  <si>
    <t>662100</t>
  </si>
  <si>
    <t>Vydané dlhopisy ( 473A/-/255A )</t>
  </si>
  <si>
    <t>Mena</t>
  </si>
  <si>
    <t>Pokladnica</t>
  </si>
  <si>
    <t>411300</t>
  </si>
  <si>
    <t>Výnosy budúcich období krátkodobé ( 384A )</t>
  </si>
  <si>
    <t>Daň v %</t>
  </si>
  <si>
    <t>074</t>
  </si>
  <si>
    <t>Stav  OP na konci účtovného obdobia</t>
  </si>
  <si>
    <t>325</t>
  </si>
  <si>
    <t>Prírastky</t>
  </si>
  <si>
    <t>Pohľadávky z obchodného styku súčet (r.043 až r.045)</t>
  </si>
  <si>
    <t>090</t>
  </si>
  <si>
    <t>32</t>
  </si>
  <si>
    <t>49</t>
  </si>
  <si>
    <t>Ostatné záväzky z obchodného styku (321A,475A,476A)</t>
  </si>
  <si>
    <t>4.</t>
  </si>
  <si>
    <t>Výnosy z kratkodobého finančného majetku súčet (r.36 až r.38)</t>
  </si>
  <si>
    <t>Iné pohľadávky (335A,33XA,371A,374A,375A,378A) - /391A/</t>
  </si>
  <si>
    <t>Zaokrúhlené
(korekcia)</t>
  </si>
  <si>
    <t>Sadzba dane z príjmov ( v %)</t>
  </si>
  <si>
    <t>Prídel na zvýšenie základného imania</t>
  </si>
  <si>
    <t>G.</t>
  </si>
  <si>
    <t>022200</t>
  </si>
  <si>
    <t>9.</t>
  </si>
  <si>
    <t>059</t>
  </si>
  <si>
    <t>Skutočnosť v účtovnom
období minulom</t>
  </si>
  <si>
    <t>119</t>
  </si>
  <si>
    <t>518703</t>
  </si>
  <si>
    <t>9. Informácie k časti F. písm. j) a l) prílohy č. 3 o dlhových CP držaných do splatnosti</t>
  </si>
  <si>
    <t>Spotr.mater.-marketing</t>
  </si>
  <si>
    <t>Prídel do štatutárnych a ostatných fondov</t>
  </si>
  <si>
    <t>346</t>
  </si>
  <si>
    <t>084</t>
  </si>
  <si>
    <t>GL,PS,013,MD-D</t>
  </si>
  <si>
    <t>116</t>
  </si>
  <si>
    <t>001</t>
  </si>
  <si>
    <t>Sociálne poistenie ( 336A ) - /391A/</t>
  </si>
  <si>
    <t>Dlhodobé pohľadávky spolu</t>
  </si>
  <si>
    <t>6. Informácie k časti F. písm. j) prílohy č. 3 o  dlhodobom finančnom majetku</t>
  </si>
  <si>
    <t>Pridaná hodnota (r.03+r.04+r.05+r.06+r.07)-(r.11+r.12+r.13+r.14)</t>
  </si>
  <si>
    <t>524</t>
  </si>
  <si>
    <t>Zostatok
Dal</t>
  </si>
  <si>
    <t>N.1.</t>
  </si>
  <si>
    <t>428</t>
  </si>
  <si>
    <t>30. Informácie k časti G. písm. l) prílohy č. 3 o položkách zabezpečených derivátmi</t>
  </si>
  <si>
    <t>082310</t>
  </si>
  <si>
    <t>Mzdové náklady ( 521, 522 )</t>
  </si>
  <si>
    <t>Krátkodobé rezervy - nevyč.dovolenky</t>
  </si>
  <si>
    <t>L.</t>
  </si>
  <si>
    <t>602300</t>
  </si>
  <si>
    <t>Ostatné záväzky z obchodného styku (321A,322A,324A,325A,326A,32XA,475A,476A,478A,47XA)</t>
  </si>
  <si>
    <t>Ostatné náklady na hosp.činn.-zaokrúhlen</t>
  </si>
  <si>
    <t>Do splatnosti  od troch rokov do piatich rokov vrátane</t>
  </si>
  <si>
    <t>Korekcia v bežnom
účtovnom období</t>
  </si>
  <si>
    <t>Ost.služby- rozb.,analýzy,revízie</t>
  </si>
  <si>
    <t>Materiál na sklade - hlavný sklad</t>
  </si>
  <si>
    <t>501430</t>
  </si>
  <si>
    <t>Reálna hodnota</t>
  </si>
  <si>
    <t>B.IV.  1.</t>
  </si>
  <si>
    <t>kúpa</t>
  </si>
  <si>
    <t>Majetok vykázaný v súvahe</t>
  </si>
  <si>
    <t>124</t>
  </si>
  <si>
    <t>331</t>
  </si>
  <si>
    <t>Peniaze na ceste</t>
  </si>
  <si>
    <t>Poč.stav k 1.1.
Má dať</t>
  </si>
  <si>
    <t>Odložená daňová pohľadávka (481A)</t>
  </si>
  <si>
    <t>Náklady voči audítorovi, audítorskej spoločnosti, z toho:</t>
  </si>
  <si>
    <t>Výnosy z kratkodobého finančného majetku od prepojených ÚJ (666A)</t>
  </si>
  <si>
    <t>Ost.dlh.záv.-pôžička Bross for Partners</t>
  </si>
  <si>
    <t>Výsledok hospodárenia z finančnej činnosti (+/-) (r.29 - r.45)</t>
  </si>
  <si>
    <t>Ost.dlh.záv.-pôžička-Bross úroky</t>
  </si>
  <si>
    <t>521</t>
  </si>
  <si>
    <t>B. I.</t>
  </si>
  <si>
    <t>018</t>
  </si>
  <si>
    <t>Výsledok hospodárenia minulých rokov r. 098 + r.099</t>
  </si>
  <si>
    <t>077</t>
  </si>
  <si>
    <t>131</t>
  </si>
  <si>
    <t>Účtovná strata</t>
  </si>
  <si>
    <t>Opravná položka k pohľadávkam</t>
  </si>
  <si>
    <t>Zaúčtovaná do vlastného imania</t>
  </si>
  <si>
    <t>Samostatné hnuteľné veci a súbory hnuteľných vecí</t>
  </si>
  <si>
    <t>3. Informácie k časti F. písm. c) prílohy č. 3 o dlhodobom nehmotnom majetku</t>
  </si>
  <si>
    <t>118</t>
  </si>
  <si>
    <t>III.</t>
  </si>
  <si>
    <t>518140</t>
  </si>
  <si>
    <t>Hrubý zisk / hrubá strata</t>
  </si>
  <si>
    <t>Deriváty určené na obchodovanie, z toho:</t>
  </si>
  <si>
    <t>Zníženie hodnoty</t>
  </si>
  <si>
    <t>041</t>
  </si>
  <si>
    <t>VI.</t>
  </si>
  <si>
    <t>40</t>
  </si>
  <si>
    <t>Bankové účty   VUB  SF</t>
  </si>
  <si>
    <t>Tržby z predaja služieb ostatné</t>
  </si>
  <si>
    <t>Poskytnuté preddavky na zásoby ( 314A ) - /391A/</t>
  </si>
  <si>
    <t>35. Informácie k časti J. písm. a) až e) prílohy č. 3 o daniach z príjmov</t>
  </si>
  <si>
    <t>Náklady na reprezentáciu</t>
  </si>
  <si>
    <t>Krátkodobé záväzky  súčet ( r. 123 + r. 127 až r. 135)</t>
  </si>
  <si>
    <t>070</t>
  </si>
  <si>
    <t>538100</t>
  </si>
  <si>
    <t>Bankové účty   VÚB - fondy</t>
  </si>
  <si>
    <t>504</t>
  </si>
  <si>
    <t>Dlhodobý nehmotný majetok  súčet (r.004 až 010)</t>
  </si>
  <si>
    <t>10.</t>
  </si>
  <si>
    <t>Ost.služby- mobil</t>
  </si>
  <si>
    <t>Ost.služby- nájomné ostatné</t>
  </si>
  <si>
    <t>Tržby z pred.služ.-vlast.stravovanie</t>
  </si>
  <si>
    <t>602</t>
  </si>
  <si>
    <t>Tržby z predaja služieb</t>
  </si>
  <si>
    <t>702000</t>
  </si>
  <si>
    <t>Tržby z pred.služ. - prenáj.miestn.vnút.</t>
  </si>
  <si>
    <t>P.</t>
  </si>
  <si>
    <t>Emisné ážio ( 412 )</t>
  </si>
  <si>
    <t>Suma odloženého daňového záväzku účtovaného ako náklad alebo výnos vyplývajúci zo zmeny sadzby dane z príjmov</t>
  </si>
  <si>
    <t>335</t>
  </si>
  <si>
    <t>B.IV.</t>
  </si>
  <si>
    <t>Poč.stav mesiaca
Dal</t>
  </si>
  <si>
    <t>003</t>
  </si>
  <si>
    <t>013</t>
  </si>
  <si>
    <t>47</t>
  </si>
  <si>
    <t>Poskytnuté preddavky na DFM</t>
  </si>
  <si>
    <t>Vstup služby - daň platí príjemca EÚ 19%</t>
  </si>
  <si>
    <t>Pohľadávky voči zamestnancom</t>
  </si>
  <si>
    <t>345000</t>
  </si>
  <si>
    <t>088200</t>
  </si>
  <si>
    <t>Opravy a udržov. - zariad.Hotela</t>
  </si>
  <si>
    <t>Spotreba materiálu,energie a ostatných neskladovateľných dodávok (501,502,503)</t>
  </si>
  <si>
    <t>323</t>
  </si>
  <si>
    <t>Kód druhu obchodu</t>
  </si>
  <si>
    <t>Tržby z predaja dlhodobého NM, dlhodobého HM a materiálu (641,642)</t>
  </si>
  <si>
    <t>Poskytnuté preddavky 
na zásoby</t>
  </si>
  <si>
    <t>14</t>
  </si>
  <si>
    <t>Odložená daňová pohľadávka</t>
  </si>
  <si>
    <t>Ostatné služby</t>
  </si>
  <si>
    <t>Výrobky ( 123 ) - /194/</t>
  </si>
  <si>
    <t>378300</t>
  </si>
  <si>
    <t>Stav v minulom
účtovnom období</t>
  </si>
  <si>
    <t>Základné imanie</t>
  </si>
  <si>
    <t>518300</t>
  </si>
  <si>
    <t>601100</t>
  </si>
  <si>
    <t>26. Informácie k časti G. písm. g) prílohy č. 3 o záväzkoch zo sociálneho fondu</t>
  </si>
  <si>
    <t>Neuhradená strata z minulých rokov  ( (-)429 )</t>
  </si>
  <si>
    <t>Ost.dlh.záv.-pôžička J. Seidner</t>
  </si>
  <si>
    <t>F.</t>
  </si>
  <si>
    <t>Obstarávaný dlhodobý hmotný majetok ( 042 ) - /094/</t>
  </si>
  <si>
    <t>502100</t>
  </si>
  <si>
    <t>Pohľadávky voči zamestnancom - stravné</t>
  </si>
  <si>
    <t>Krátkodobý  finančný majetok</t>
  </si>
  <si>
    <t>365300</t>
  </si>
  <si>
    <t>Výnosy z precenenia cenných papierov a výnosy z derivátových operácií (664,667)</t>
  </si>
  <si>
    <t>A.VI.</t>
  </si>
  <si>
    <t>547</t>
  </si>
  <si>
    <t>6.</t>
  </si>
  <si>
    <t>123</t>
  </si>
  <si>
    <t>odpočítateľné</t>
  </si>
  <si>
    <t>Oprávky k stavbám</t>
  </si>
  <si>
    <t>311</t>
  </si>
  <si>
    <t>Úbytky</t>
  </si>
  <si>
    <t>Ostatné poplatky -mestské za lôž.</t>
  </si>
  <si>
    <t>548100</t>
  </si>
  <si>
    <t>621100</t>
  </si>
  <si>
    <t>Vstup tuzemsko 10%</t>
  </si>
  <si>
    <t>078</t>
  </si>
  <si>
    <t>záruka</t>
  </si>
  <si>
    <t>Ostatné dlhodobé záväzky</t>
  </si>
  <si>
    <t>Náklady na finančnú činnosť spolu r.46+r.47+r.48+r.49+r.52+r.53+r.54</t>
  </si>
  <si>
    <t>013100</t>
  </si>
  <si>
    <t>IS,020,S</t>
  </si>
  <si>
    <t>A. IV.</t>
  </si>
  <si>
    <t>518320</t>
  </si>
  <si>
    <t>R.</t>
  </si>
  <si>
    <t>2. Informácie k časti F. písm. a) prílohy č. 3 o dlhodobom nehmotnom majetku</t>
  </si>
  <si>
    <t>321</t>
  </si>
  <si>
    <t>Stav na začiatku účtovného obdobia</t>
  </si>
  <si>
    <t>Vysvetlivky:</t>
  </si>
  <si>
    <t>Dlhodobé bankové úvery</t>
  </si>
  <si>
    <t>Nákladové úroky ( r.50 + r.51 )</t>
  </si>
  <si>
    <t>IX.1.</t>
  </si>
  <si>
    <t>Hodnota zákazkovej výstavby nehnuteľnosti určenej na predaj</t>
  </si>
  <si>
    <t>036</t>
  </si>
  <si>
    <t>Náklady budúcich období dlhodobé ( 381A,382A )</t>
  </si>
  <si>
    <t>132</t>
  </si>
  <si>
    <t>Ost.služby- ostatné</t>
  </si>
  <si>
    <t>076</t>
  </si>
  <si>
    <t>DÚJ – dcérska účtovná jednotka</t>
  </si>
  <si>
    <t>B.</t>
  </si>
  <si>
    <t>481100</t>
  </si>
  <si>
    <t>120</t>
  </si>
  <si>
    <t>V lehote splatnosti</t>
  </si>
  <si>
    <t>Spotr.mater.-PHM   Kosačka</t>
  </si>
  <si>
    <t>343925</t>
  </si>
  <si>
    <t>Počet</t>
  </si>
  <si>
    <t>Bankové účty   VUB</t>
  </si>
  <si>
    <t>Hotel Lipa Slovakia - pôžička</t>
  </si>
  <si>
    <t>Výnosy zo zákazky</t>
  </si>
  <si>
    <t>501300</t>
  </si>
  <si>
    <t>538</t>
  </si>
  <si>
    <t>Zo štatutárnych a ostatných fondov</t>
  </si>
  <si>
    <t>Ost.dlh.záv.-pôžička HL</t>
  </si>
  <si>
    <t>Základné imanie ( 411 alebo +/-491 )</t>
  </si>
  <si>
    <t>Rezervný fond na vlastné akcie a vlastné podiely ( 417A,421A )</t>
  </si>
  <si>
    <t>518700</t>
  </si>
  <si>
    <t>115</t>
  </si>
  <si>
    <t>Stav na konci účtovného obdobia</t>
  </si>
  <si>
    <t>098</t>
  </si>
  <si>
    <t>Výnosové úroky od prepojených ÚJ (662A)</t>
  </si>
  <si>
    <t>Vysporiadanie účtovnej straty</t>
  </si>
  <si>
    <t>39</t>
  </si>
  <si>
    <t>10</t>
  </si>
  <si>
    <t>035</t>
  </si>
  <si>
    <t>Dlhodobý finančný majetok, na ktorý je zriadené záložné právo</t>
  </si>
  <si>
    <t>vlastné imanie</t>
  </si>
  <si>
    <t>15. Informácie k časti F. písm. s) prílohy č. 3 o  vekovej štruktúre pohľadávok</t>
  </si>
  <si>
    <t>602700</t>
  </si>
  <si>
    <t>Čistý obrat (časť účt.tr. 6 podľa zákona)</t>
  </si>
  <si>
    <t>(3) Kód SK NACE sa vypĺňa podľa vyhlášky Štatistického úradu Slovenskej republiky č. 306/2007</t>
  </si>
  <si>
    <t>324100</t>
  </si>
  <si>
    <t>087</t>
  </si>
  <si>
    <t>Zvieratá</t>
  </si>
  <si>
    <t>112</t>
  </si>
  <si>
    <t>111999</t>
  </si>
  <si>
    <t>Účet ziskov a strát</t>
  </si>
  <si>
    <t>Iné</t>
  </si>
  <si>
    <t>Rozdelenie podielu na zisku spoločníkom, členom</t>
  </si>
  <si>
    <t>034</t>
  </si>
  <si>
    <t>Záväzky so zostatkovou dobou splatnosti nad päť rokov</t>
  </si>
  <si>
    <t>501600</t>
  </si>
  <si>
    <t>Dlhodobé záväzky spolu</t>
  </si>
  <si>
    <t>Hodnota vlastného imania ÚJ, v ktorej má ÚJ umiestnený DFM</t>
  </si>
  <si>
    <t>Prevod do nerozdeleného zisku minulých rokov</t>
  </si>
  <si>
    <t>Zostatková cena predaného dlhodobého majetku a predaného materiálu ( 541, 542 )</t>
  </si>
  <si>
    <t>429020</t>
  </si>
  <si>
    <t>Zaúčtovaná  ako náklad</t>
  </si>
  <si>
    <t>Cestná daň</t>
  </si>
  <si>
    <t>A. II. 1</t>
  </si>
  <si>
    <t>Bankové účty termínované</t>
  </si>
  <si>
    <t>Výsledok hospodárenia ÚJ, v ktorej má ÚJ umiestnený DFM</t>
  </si>
  <si>
    <t>Tržby za vlastné výrobky</t>
  </si>
  <si>
    <t>Dcérske účtovné jednotky</t>
  </si>
  <si>
    <t>Peniaze ( 211,213,21X )</t>
  </si>
  <si>
    <t>346000</t>
  </si>
  <si>
    <t>Majetkové CP na obchodovanie</t>
  </si>
  <si>
    <t>24. Informácie k časti G. písm. c) a d) prílohy č. 3 o záväzkoch</t>
  </si>
  <si>
    <t>B.  V.</t>
  </si>
  <si>
    <t>Záväzky zo sociálneho fondu</t>
  </si>
  <si>
    <t>231</t>
  </si>
  <si>
    <t>648200</t>
  </si>
  <si>
    <t>Možnosť umorovať daňovú stratu v budúcnosti</t>
  </si>
  <si>
    <t>042100</t>
  </si>
  <si>
    <t>428000</t>
  </si>
  <si>
    <t>do jedného roka vrátane</t>
  </si>
  <si>
    <t>501180</t>
  </si>
  <si>
    <t>Ostatné náklady na hospodársku činnosť (543,544,545,546,548,549,555,557)</t>
  </si>
  <si>
    <t>Dlhodobé rezervy r. 119 + r. 120</t>
  </si>
  <si>
    <t>602330</t>
  </si>
  <si>
    <t>32. Informácie k časti H. písm. b) prílohy č. 3 o zmene stavu vnútroorganizačných zásob</t>
  </si>
  <si>
    <t>Pohľadávky z obchodného styku voči prepojeným ÚJ (311A,312A,313A,314A,315A,31XA)-/391A/</t>
  </si>
  <si>
    <t>(2) Daňové identifikačné číslo (DIČ) sa vyplňuje, ak ho má účtovná jednotka pridelené.</t>
  </si>
  <si>
    <t>Pohľadávky</t>
  </si>
  <si>
    <t>Krátkodobý finančný majetok v prepojených ÚJ (251A,253A,256A,257A,25XA) - /291A,29XA)</t>
  </si>
  <si>
    <t>A. IV. 1.</t>
  </si>
  <si>
    <t>60</t>
  </si>
  <si>
    <t>Sumár od začiatku zákazkovej výroby až do konca bežného účtovného obdobia</t>
  </si>
  <si>
    <t>Zúčtovanie OP z dôvodu vyradenia majetku 
z účtovníctva</t>
  </si>
  <si>
    <t>037</t>
  </si>
  <si>
    <t xml:space="preserve">teoretická daň </t>
  </si>
  <si>
    <t>35</t>
  </si>
  <si>
    <t>A. VII.1.</t>
  </si>
  <si>
    <t>Úrok</t>
  </si>
  <si>
    <t>VIII.</t>
  </si>
  <si>
    <t>071</t>
  </si>
  <si>
    <t>8.</t>
  </si>
  <si>
    <t>Zákonné rezervy ( 451A )</t>
  </si>
  <si>
    <t>622100</t>
  </si>
  <si>
    <t>501150</t>
  </si>
  <si>
    <t>701</t>
  </si>
  <si>
    <t>Sociálne poistenie</t>
  </si>
  <si>
    <t>Oprávky k SHV  nespl.limit - výp.technik</t>
  </si>
  <si>
    <t>25</t>
  </si>
  <si>
    <t>33. Informácie k časti H. písm. g)  prílohy č. 3 o čistom obrate</t>
  </si>
  <si>
    <t>2.</t>
  </si>
  <si>
    <t>324</t>
  </si>
  <si>
    <t>XIV.</t>
  </si>
  <si>
    <t>Zákonný rezervný fond a nedeliteľný fond (417A,418,421A,422)</t>
  </si>
  <si>
    <t>Zabezpečovaná položka</t>
  </si>
  <si>
    <t>Tržby z predaja služ. - zľavy z ubytov.</t>
  </si>
  <si>
    <t>Umorenie daňovej straty</t>
  </si>
  <si>
    <t>039</t>
  </si>
  <si>
    <t>Náklady na krátkodobý finančný majetok (566)</t>
  </si>
  <si>
    <t>Výnosy z dlhodobého finančného majetku súčet (r.32 až r.34)</t>
  </si>
  <si>
    <t>Možnosť previesť nevyužité daňové odpočty</t>
  </si>
  <si>
    <t>Oprávky k SHV</t>
  </si>
  <si>
    <t>Podiel.cenné papiere a podiely s podielovu účasťou okrem prepojených ÚJ  (062A) - /096A/</t>
  </si>
  <si>
    <t>648100</t>
  </si>
  <si>
    <t>379240</t>
  </si>
  <si>
    <t>Záväzky zo sociálneho poistenia ( 336A )</t>
  </si>
  <si>
    <t>5.</t>
  </si>
  <si>
    <t>Názov položky</t>
  </si>
  <si>
    <t>Tržby z pred.služ. - nealko</t>
  </si>
  <si>
    <t>Náklady budúcich období</t>
  </si>
  <si>
    <t>Zaokrúhlené
(minulé)</t>
  </si>
  <si>
    <t>Tržby z pred.služ. - Relax Centrum</t>
  </si>
  <si>
    <t>SHV</t>
  </si>
  <si>
    <t>Kratkodobé finačné výpomoci ( 241, 249, 24X, 473A, /-/255A )</t>
  </si>
  <si>
    <t>Stav OP na konci účtovného obdobia</t>
  </si>
  <si>
    <t>Ostatné pokuty,penále a úroky z omešk.</t>
  </si>
  <si>
    <t>093</t>
  </si>
  <si>
    <t>A. V. 1.</t>
  </si>
  <si>
    <t>099</t>
  </si>
  <si>
    <t>Za bežné 
účtovné obdobie</t>
  </si>
  <si>
    <t>56</t>
  </si>
  <si>
    <t>421</t>
  </si>
  <si>
    <t>Vplyv ocenenia na výsledok hospodárenia bežného účtovného obdobia</t>
  </si>
  <si>
    <t>Tvorba sociálneho fondu spolu</t>
  </si>
  <si>
    <t>085</t>
  </si>
  <si>
    <t>Druh CP</t>
  </si>
  <si>
    <t>Stav zamestnancov ku dňu, ku ktorému sa zostavuje účtovná závierka, z toho:</t>
  </si>
  <si>
    <t>Ost.služby- časop.noviny,poštovné</t>
  </si>
  <si>
    <t>378400</t>
  </si>
  <si>
    <t>Materiál na sklade</t>
  </si>
  <si>
    <t>411</t>
  </si>
  <si>
    <t>Zmena odloženého daňového záväzku</t>
  </si>
  <si>
    <t>Softwér ( 013 ) - /073, 091A/</t>
  </si>
  <si>
    <t>026</t>
  </si>
  <si>
    <t>007</t>
  </si>
  <si>
    <t>662</t>
  </si>
  <si>
    <t>342100</t>
  </si>
  <si>
    <t>20</t>
  </si>
  <si>
    <t>16</t>
  </si>
  <si>
    <t>Ost.služby- prenáj.nebyt.priest.</t>
  </si>
  <si>
    <t>04</t>
  </si>
  <si>
    <t>106</t>
  </si>
  <si>
    <t>13. Informácie k časti F. písm. q) prílohy č. 3 o zákazkovej výrobe a o zákazkovej výstavbe nehnuteľnosti určenej na predaj</t>
  </si>
  <si>
    <t>Ostatné záväzky voči spol.</t>
  </si>
  <si>
    <t>Po lehote splatnosti</t>
  </si>
  <si>
    <t>Daň z príjmov odložená (+/-) (592)</t>
  </si>
  <si>
    <t>028</t>
  </si>
  <si>
    <t>Syntetický účet</t>
  </si>
  <si>
    <t>079</t>
  </si>
  <si>
    <t>Spotreba  mimo.kalk. coolhause</t>
  </si>
  <si>
    <t>702</t>
  </si>
  <si>
    <t>Pohľadávky kryté záložným právom alebo inou formou zabezpečenia</t>
  </si>
  <si>
    <t>Opravné položky k finančnému majetku (+/-) (565)</t>
  </si>
  <si>
    <t>Aktivácia materiálu a tovaru</t>
  </si>
  <si>
    <t>Obstaranie materiálu - presun sklady</t>
  </si>
  <si>
    <t>Ost.služby- pevná linka</t>
  </si>
  <si>
    <t>Obstarávaný  DFM</t>
  </si>
  <si>
    <t>Pôžičky prepojeným ÚJ (066A) - /096A/</t>
  </si>
  <si>
    <t>Výsledok hospodárenia za účtovné obdobie pred zdanením (+/-) (r.27+r.55)</t>
  </si>
  <si>
    <t>Netto v minulom
účtovnom období</t>
  </si>
  <si>
    <t>33</t>
  </si>
  <si>
    <t>Zrušenie</t>
  </si>
  <si>
    <t>A.III. 1.</t>
  </si>
  <si>
    <t>326200</t>
  </si>
  <si>
    <t>022100</t>
  </si>
  <si>
    <t>105</t>
  </si>
  <si>
    <t>602610</t>
  </si>
  <si>
    <t>479500</t>
  </si>
  <si>
    <t>Obstarávaný krátkodobý finančný majetok (259,314A) - /291A/</t>
  </si>
  <si>
    <t>súvisiace audítorské služby</t>
  </si>
  <si>
    <t>548300</t>
  </si>
  <si>
    <t>18. Informácie k časti  F. písm. x) prílohy č. 3 o vývoji opravnej položky ku krátkodobému finančnému majetku</t>
  </si>
  <si>
    <t>Zaúčtovaná ako náklad</t>
  </si>
  <si>
    <t>518600</t>
  </si>
  <si>
    <t>050</t>
  </si>
  <si>
    <t>Tabuľka č. 4</t>
  </si>
  <si>
    <t>**</t>
  </si>
  <si>
    <t>Ostatné nákl.na hosp.činn.-príspevky</t>
  </si>
  <si>
    <t>Výnosy zo zákazkovej výroby</t>
  </si>
  <si>
    <t>Dlhodobé prijaté preddavky ( 475A )</t>
  </si>
  <si>
    <t>Brutto v bežnom
účtovnom období</t>
  </si>
  <si>
    <t>017</t>
  </si>
  <si>
    <t>Náklady na obstaranie nehnuteľnosti na predaj od začiatku obstarávania</t>
  </si>
  <si>
    <t>IV.</t>
  </si>
  <si>
    <t>518120</t>
  </si>
  <si>
    <t>Nevyfakturované dodávky  mater.</t>
  </si>
  <si>
    <t>112100</t>
  </si>
  <si>
    <t>Zamestnanci</t>
  </si>
  <si>
    <t>Chladnička</t>
  </si>
  <si>
    <t>Dočasné rozdiely medzi účtovnou hodnotou záväzkov a daňovou základňou, z toho:</t>
  </si>
  <si>
    <t>Spotreba surovín</t>
  </si>
  <si>
    <t>091</t>
  </si>
  <si>
    <t>XI.1.</t>
  </si>
  <si>
    <t>080</t>
  </si>
  <si>
    <t>Tvorba SF</t>
  </si>
  <si>
    <t>Ostatný dlhodobý hmotný majetok (029,02X,032) - / 089, 08X, 092A/</t>
  </si>
  <si>
    <t>Spotr.mater.-obrusy, prádlo</t>
  </si>
  <si>
    <t>Krátkodobé záväzky spolu</t>
  </si>
  <si>
    <t>Poč.stav mesiaca
Má dať</t>
  </si>
  <si>
    <t>Úroky</t>
  </si>
  <si>
    <t>Za bežné účtovné obdobie</t>
  </si>
  <si>
    <t>55</t>
  </si>
  <si>
    <t>PS,Z,CO</t>
  </si>
  <si>
    <t>A. V.</t>
  </si>
  <si>
    <t>Stav v bežnom
účtovnom období</t>
  </si>
  <si>
    <t>Náhrada príjmu pri PN</t>
  </si>
  <si>
    <t>Spotr.mater.-drob.nákup</t>
  </si>
  <si>
    <t>013200</t>
  </si>
  <si>
    <t>521100</t>
  </si>
  <si>
    <t>012</t>
  </si>
  <si>
    <t>Rozdelenie účtovného zisku</t>
  </si>
  <si>
    <t>Spotr.mater.-kancel.potreby</t>
  </si>
  <si>
    <t>Pôžičky ÚJ 
v kons. celku</t>
  </si>
  <si>
    <t>Zakladné stádo a ťažné zvieratá ( 026 ) - / 086, 092A/</t>
  </si>
  <si>
    <t>Bankové účty</t>
  </si>
  <si>
    <t>Do splatnosti viac ako päť rokov</t>
  </si>
  <si>
    <t>Čistý obrat celkom</t>
  </si>
  <si>
    <t>Výdavky budúcich období dlhodobé ( 383A )</t>
  </si>
  <si>
    <t>544100</t>
  </si>
  <si>
    <t>Zmena základného imania +/- 419</t>
  </si>
  <si>
    <t>054</t>
  </si>
  <si>
    <t>Materiál na sklade - pom.sklad Hotel</t>
  </si>
  <si>
    <t>Tržby z pred.služ. - prenájom iné</t>
  </si>
  <si>
    <t>336100</t>
  </si>
  <si>
    <t>Menovitá hodnota</t>
  </si>
  <si>
    <t>Obstaranie DHM - viacúčelová šport.hala</t>
  </si>
  <si>
    <t>Zvýšenie hodnoty</t>
  </si>
  <si>
    <t>Iné výnosy súvisiace s bežnou činnosťou</t>
  </si>
  <si>
    <t>Daňový doklad k preddavku - celkom</t>
  </si>
  <si>
    <t>Nedokončená výroba a polotovary vlastnej výroby</t>
  </si>
  <si>
    <t>Nevyfakturované dodávky  služby</t>
  </si>
  <si>
    <t>524100</t>
  </si>
  <si>
    <t>Výdavky budúcich období krátkodobé ( 383A )</t>
  </si>
  <si>
    <t>063</t>
  </si>
  <si>
    <t>Náklady na reprezentáciu - DPH</t>
  </si>
  <si>
    <t>562100</t>
  </si>
  <si>
    <t>053</t>
  </si>
  <si>
    <t>345</t>
  </si>
  <si>
    <t>Tržby za vlast.výrobky - zákusky balené</t>
  </si>
  <si>
    <t>CP – cenný papier</t>
  </si>
  <si>
    <t>545100</t>
  </si>
  <si>
    <t>Ost.služby- bezpečnostná služba</t>
  </si>
  <si>
    <t>Služby (účtovná skupina 51)</t>
  </si>
  <si>
    <t>648000</t>
  </si>
  <si>
    <t>231100</t>
  </si>
  <si>
    <t>54</t>
  </si>
  <si>
    <t>34. Informácie k časti I. prílohy č. 3 o nákladoch voči audítorovi, audítorskej spoločnosti</t>
  </si>
  <si>
    <t>141</t>
  </si>
  <si>
    <t>17. Informácie k časti F. písm. w)  prílohy č. 3 o krátkodobom finančnom majetku</t>
  </si>
  <si>
    <t>Oprávky k HV a SHV - práčovňa leasing</t>
  </si>
  <si>
    <t>004</t>
  </si>
  <si>
    <t>Záväzky zo sociálneho fondu (472)</t>
  </si>
  <si>
    <t>518130</t>
  </si>
  <si>
    <t>Dlhodobé pôžičky spolu</t>
  </si>
  <si>
    <t>622</t>
  </si>
  <si>
    <t>31</t>
  </si>
  <si>
    <t>Dlhodobý nehmotný majetok</t>
  </si>
  <si>
    <t xml:space="preserve">12. Informácie k časti F. písm. p) prílohy č. 3 o zásobách, na ktoré je zriadené záložné právo </t>
  </si>
  <si>
    <t>047</t>
  </si>
  <si>
    <t>Zúčtovanie OP z dôvodu zániku opodstatnenosti</t>
  </si>
  <si>
    <t>I.</t>
  </si>
  <si>
    <t>Mesačný obrat
Dal</t>
  </si>
  <si>
    <t>Ost.služby- nedaňová položka</t>
  </si>
  <si>
    <t>01</t>
  </si>
  <si>
    <t>B.III.</t>
  </si>
  <si>
    <t>Výstup nadobud. tovaru z EÚ 19%</t>
  </si>
  <si>
    <t>221200</t>
  </si>
  <si>
    <t>31. Informácie k časti G. písm. m) prílohy č. 3 o majetku prenajatom formou finančného prenájmu</t>
  </si>
  <si>
    <t>Ostatný dlhodobý nehmotný majetok ( 019,01X ) - /079, 07X,091A/</t>
  </si>
  <si>
    <t>518220</t>
  </si>
  <si>
    <t>142</t>
  </si>
  <si>
    <t>Poč.stav k 1.1.
Dal</t>
  </si>
  <si>
    <t>121</t>
  </si>
  <si>
    <t>030</t>
  </si>
  <si>
    <t>Ost.služby- učni</t>
  </si>
  <si>
    <t>325900</t>
  </si>
  <si>
    <t>DHM – dlhodobý hmotný majetok</t>
  </si>
  <si>
    <t>Opravné položky k pohľadávkam (+/-) (547)</t>
  </si>
  <si>
    <t>Ostatné rezervy ( 459A, 45XA )</t>
  </si>
  <si>
    <t>Q.</t>
  </si>
  <si>
    <t>Tržby z pred.služ. - prenáj.miestn.</t>
  </si>
  <si>
    <t>321100</t>
  </si>
  <si>
    <t>Dlhové CP so splatnosťou do  jedného roka držané do splatnosti</t>
  </si>
  <si>
    <t xml:space="preserve">19. Informácie k časti F. písm. y) prílohy č. 3 o krátkodobom finančnom majetku, na ktorý bolo zriadené záložné právo </t>
  </si>
  <si>
    <t>Dlhodobé bankové úvery ( 461A, 46XA )</t>
  </si>
  <si>
    <t>Neobežný majetok r. 003+r.011+r.021</t>
  </si>
  <si>
    <t>Goodwill (015) - /075,091A/</t>
  </si>
  <si>
    <t>A. VII.</t>
  </si>
  <si>
    <t>Materiál ( 112, 119, 11X ) - / 191, 19X /</t>
  </si>
  <si>
    <t>Vyfakturované nároky za vykonanú prácu na zákazkovej výrobe</t>
  </si>
  <si>
    <t>Ost.služby- odvoz a likv.odpadu</t>
  </si>
  <si>
    <t>Dlhodobé pôžičky</t>
  </si>
  <si>
    <t>261</t>
  </si>
  <si>
    <t>09</t>
  </si>
  <si>
    <t>321200</t>
  </si>
  <si>
    <t>033</t>
  </si>
  <si>
    <t>Mesačný obrat
Má dať</t>
  </si>
  <si>
    <t>042</t>
  </si>
  <si>
    <t>Ostatné záväzky v rámci podielovej účasti okrem záväzkov voči prep.ÚJ  (471A, 47XA)</t>
  </si>
  <si>
    <t>028100</t>
  </si>
  <si>
    <t>Do splatnosti do jedného roka vrátane</t>
  </si>
  <si>
    <t>Vlastné akcie a vlastné obchodné podiely (252)</t>
  </si>
  <si>
    <t>17</t>
  </si>
  <si>
    <t>Názov účtu</t>
  </si>
  <si>
    <t>602100</t>
  </si>
  <si>
    <t>Dohodnutá cena  podkladového nástroja</t>
  </si>
  <si>
    <t>Spotr.mater.-prevádz.serv.slamky,sviečky</t>
  </si>
  <si>
    <t>43</t>
  </si>
  <si>
    <t>015</t>
  </si>
  <si>
    <t>Ost.služby- operatívny leasing</t>
  </si>
  <si>
    <t>Daň z nehnutelnosti</t>
  </si>
  <si>
    <t>110</t>
  </si>
  <si>
    <t>ZI – základné imanie</t>
  </si>
  <si>
    <t>Účty v bankách s dobou viazanosti dhšou ako 1 rok (22XA)</t>
  </si>
  <si>
    <t>29</t>
  </si>
  <si>
    <t>Ost.služby- prenáj.auta</t>
  </si>
  <si>
    <t>B. II.</t>
  </si>
  <si>
    <t>261100</t>
  </si>
  <si>
    <t>Goodwill</t>
  </si>
  <si>
    <t>345100</t>
  </si>
  <si>
    <t>081200</t>
  </si>
  <si>
    <t>124000</t>
  </si>
  <si>
    <t>073100</t>
  </si>
  <si>
    <t>095</t>
  </si>
  <si>
    <t>221500</t>
  </si>
  <si>
    <t>314</t>
  </si>
  <si>
    <t>073</t>
  </si>
  <si>
    <t>Tovar ( 132,133,13X,139 ) - /196,19X/</t>
  </si>
  <si>
    <t>Základné imanie - GAMA GOLD -nepeň.vklad</t>
  </si>
  <si>
    <t>Náklady vynaložené na obstaranie predaného tovaru ( 504, 507)</t>
  </si>
  <si>
    <t>479350</t>
  </si>
  <si>
    <t>Ost.dlh.záv.-pôžička Exxon Real</t>
  </si>
  <si>
    <t>Oprávky k stavbám - tenisové kurty HK</t>
  </si>
  <si>
    <t>23</t>
  </si>
  <si>
    <t>126</t>
  </si>
  <si>
    <t>343910</t>
  </si>
  <si>
    <t>548120</t>
  </si>
  <si>
    <t>Zmena stavu vnútroorganizačných zásob</t>
  </si>
  <si>
    <t>591</t>
  </si>
  <si>
    <t>072</t>
  </si>
  <si>
    <t>Suma istiny v príslušnej mene za bežné účtovné obdobie</t>
  </si>
  <si>
    <t>Začiatočný stav sociálneho fondu</t>
  </si>
  <si>
    <t>Pohľ.z obch.styku v rámci pod.účasti okrem pohľ.voči prep.ÚJ (311A,312A,313A,314A,315A,31XA)-/391A/</t>
  </si>
  <si>
    <t>341100</t>
  </si>
  <si>
    <t>Výsledok hospodárenia za účtovné obdobie po zdanení (+/-) (r.56 - r.57 - r.60)</t>
  </si>
  <si>
    <t>Podiel ÚJ na ZI v  %</t>
  </si>
  <si>
    <t>315</t>
  </si>
  <si>
    <t>Samost.HV a SHV - autá</t>
  </si>
  <si>
    <t>Zaokrúhlené
(brutto)</t>
  </si>
  <si>
    <t>Ostatné záväzky voči prepojeným ÚJ (361A,36XA,471A,47XA)</t>
  </si>
  <si>
    <t>Stavby - tenisové kurty pri HK 6 ks</t>
  </si>
  <si>
    <t>Spotreba materiálu</t>
  </si>
  <si>
    <t>040</t>
  </si>
  <si>
    <t>501200</t>
  </si>
  <si>
    <t>H.</t>
  </si>
  <si>
    <t>Prijaté preddavky</t>
  </si>
  <si>
    <t>Dlhodobý nehmotný majetok, na ktorý je zriadené záložné právo</t>
  </si>
  <si>
    <t>125</t>
  </si>
  <si>
    <t>N.</t>
  </si>
  <si>
    <t>Hodnota pohľadávky</t>
  </si>
  <si>
    <t>Tvorba sociálneho fondu na ťarchu nákladov</t>
  </si>
  <si>
    <t>Výnosy z nehnuteľnosti na predaj</t>
  </si>
  <si>
    <t>Dlhodobý hmotný majetok, na ktorý je zriadené záložné právo</t>
  </si>
  <si>
    <t>Pôžičky s dobou splatnosti najviac jeden rok</t>
  </si>
  <si>
    <t>066</t>
  </si>
  <si>
    <t>088</t>
  </si>
  <si>
    <t>081</t>
  </si>
  <si>
    <t>068</t>
  </si>
  <si>
    <t>Aktivácia vnútroorganizačných služieb</t>
  </si>
  <si>
    <t>1.c.</t>
  </si>
  <si>
    <t>Ost.služby- marketing,rekl.inzecia</t>
  </si>
  <si>
    <t>Účet</t>
  </si>
  <si>
    <t xml:space="preserve">Pohľadávky z obchodného styku </t>
  </si>
  <si>
    <t>538120</t>
  </si>
  <si>
    <t>Opravné položky k dlhodobému NM a dlhodobému HM ( 553 )</t>
  </si>
  <si>
    <t>28. Informácie k časti G. písm. i)  prílohy č. 3 o bankových úveroch, pôžičkách a krátkodobých finančných výpomociach</t>
  </si>
  <si>
    <t>20. Informácie k časti F. písm.  za) prílohy č. 3 o ocenení krátkodobého finančného  majetku, ku dňu ku ktorému sa zostavuje účtovná závierka reálnou hodnotou</t>
  </si>
  <si>
    <t>Obstarávaný dlhodobý nehmotný majetok  ( 041 ) - 093</t>
  </si>
  <si>
    <t>Tvorba</t>
  </si>
  <si>
    <t>Ostatné priame dane</t>
  </si>
  <si>
    <t>Obstaranie dlhodobého hmotného majetku</t>
  </si>
  <si>
    <t>58</t>
  </si>
  <si>
    <t>26</t>
  </si>
  <si>
    <t>421100</t>
  </si>
  <si>
    <t>010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</si>
  <si>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</si>
  <si>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Pohľadávky z obchodného styku súčet (r. 055 až r. 057)</t>
  </si>
  <si>
    <t>Tržby z pred.sl.prenájom, ostatné výnosy</t>
  </si>
  <si>
    <t>Poskytnuté preddavky na DHM</t>
  </si>
  <si>
    <t>Obstarávanie krátkodobého finančného majetku</t>
  </si>
  <si>
    <t xml:space="preserve">5. Informácie k časti F. písm. c) prílohy č. 3 o dlhodobom hmotnom majetku </t>
  </si>
  <si>
    <t>Nedokončená výroba a polotovary vlastnej výroby</t>
  </si>
  <si>
    <t>Aktivované náklady na vývoj (012) - /072,091A/</t>
  </si>
  <si>
    <t>44</t>
  </si>
  <si>
    <t>336</t>
  </si>
  <si>
    <t>Obchodné meno a sídlo spoločnosti, v ktorej má ÚJ umiestnený DFM</t>
  </si>
  <si>
    <t>Výstup služby-daň platí príjemca 19% EÚ</t>
  </si>
  <si>
    <t>048</t>
  </si>
  <si>
    <t>Tvorba OP</t>
  </si>
  <si>
    <t>031</t>
  </si>
  <si>
    <t>Účtovná hodnota DFM</t>
  </si>
  <si>
    <t>Spotreba plynu</t>
  </si>
  <si>
    <t>Použitie</t>
  </si>
  <si>
    <t>Poskytnuté preddavky na dlhodobý nehmotný majetok ( 051 ) - 095A</t>
  </si>
  <si>
    <t>343919</t>
  </si>
  <si>
    <t>Ostatné nákladové úroky ( 562A )</t>
  </si>
  <si>
    <t>006</t>
  </si>
  <si>
    <t>518100</t>
  </si>
  <si>
    <t>527200</t>
  </si>
  <si>
    <t/>
  </si>
  <si>
    <t>Dočasné rozdiely medzi účtovnou hodnotou majetku a daňovou základňou, z toho:</t>
  </si>
  <si>
    <t>Použité skratky:</t>
  </si>
  <si>
    <t>IX.</t>
  </si>
  <si>
    <t>136</t>
  </si>
  <si>
    <t>058</t>
  </si>
  <si>
    <t>Vplyv ocenenia na vlastné imanie</t>
  </si>
  <si>
    <t>Ostatné náklady na hosp.činnosť</t>
  </si>
  <si>
    <t>1.b.</t>
  </si>
  <si>
    <t>144</t>
  </si>
  <si>
    <t>transfer</t>
  </si>
  <si>
    <t>019</t>
  </si>
  <si>
    <t>261200</t>
  </si>
  <si>
    <t>511300</t>
  </si>
  <si>
    <t>391</t>
  </si>
  <si>
    <t xml:space="preserve">Účtovný zisk </t>
  </si>
  <si>
    <t>K.</t>
  </si>
  <si>
    <t>Spotreba surovín - nedaň.náklad</t>
  </si>
  <si>
    <t>Ost.služby- pranie a čisť.Hotela</t>
  </si>
  <si>
    <t>502300</t>
  </si>
  <si>
    <t>Základ dane</t>
  </si>
  <si>
    <t>518900</t>
  </si>
  <si>
    <t>Suma neuplatneného umorenia daňovej straty, nevyužitých daňových odpočtov a iných nárokov a odpočítateľných dočasných rozdielov, ku ktorým nebola účtovaná odložená daňová pohľadávka</t>
  </si>
  <si>
    <t>Spotr.mater.-PHM Mercedes</t>
  </si>
  <si>
    <t>Vstup tuzemsko 20%</t>
  </si>
  <si>
    <t>Ostatné pohľadávky</t>
  </si>
  <si>
    <t>Oprávky stavbám</t>
  </si>
  <si>
    <t>Aktivované náklady na vývoj</t>
  </si>
  <si>
    <t>Zásoby, na ktoré je zriadené záložné právo</t>
  </si>
  <si>
    <t>11. Informácie k časti F. písm. o) prílohy č. 3 o opravných položkách k zásobám</t>
  </si>
  <si>
    <t>602800</t>
  </si>
  <si>
    <t>082</t>
  </si>
  <si>
    <t>Účtovná hodnota</t>
  </si>
  <si>
    <t>Pohľadávky spolu</t>
  </si>
  <si>
    <t>53</t>
  </si>
  <si>
    <t>Emisný kurz</t>
  </si>
  <si>
    <t>07</t>
  </si>
  <si>
    <t>ostatné neaudítorské služby</t>
  </si>
  <si>
    <t xml:space="preserve">Celková daň z príjmov </t>
  </si>
  <si>
    <t>Ostatné realizovateľné CP</t>
  </si>
  <si>
    <t>Krátkodobé rezervy</t>
  </si>
  <si>
    <t>Samostatné hnuteľné veci a súbory hnuteľných vecí (022) -/082, 092A/</t>
  </si>
  <si>
    <t>1.a.</t>
  </si>
  <si>
    <t>Krátkodobý fin.maj.bez krátkod.fin.maj. v prepojených ÚJ (251A,253A,256A,257A,25XA) - /291A,29XA/</t>
  </si>
  <si>
    <t>094</t>
  </si>
  <si>
    <t>Iné záväzky</t>
  </si>
  <si>
    <t>547100</t>
  </si>
  <si>
    <t>Dlhové CP držané 
do splatnosti</t>
  </si>
  <si>
    <t>086</t>
  </si>
  <si>
    <t>551100</t>
  </si>
  <si>
    <t>089</t>
  </si>
  <si>
    <t>Ostatné fondy ( 427, 42X )</t>
  </si>
  <si>
    <t>343825</t>
  </si>
  <si>
    <t>092</t>
  </si>
  <si>
    <t>108</t>
  </si>
  <si>
    <t>XII.</t>
  </si>
  <si>
    <t>Náklady na sociálne poistenie ( 524, 525, 526 )</t>
  </si>
  <si>
    <t>Záväzky z obchodného styku voči prepojeným ÚJ (321A,322A,324A,325A,326A,32XA,475A,476A,478A,47XA)</t>
  </si>
  <si>
    <t>324800</t>
  </si>
  <si>
    <t>Daň z príjmov z bež. čin. - splatná</t>
  </si>
  <si>
    <t>548000</t>
  </si>
  <si>
    <t>Dary</t>
  </si>
  <si>
    <t>Náklady na precenenie cenných papierov a náklady na derivátové operácie (564,567)</t>
  </si>
  <si>
    <t>511</t>
  </si>
  <si>
    <t>044</t>
  </si>
  <si>
    <t>34</t>
  </si>
  <si>
    <t>V.</t>
  </si>
  <si>
    <t>Čistá hodnota zákazky (316A)</t>
  </si>
  <si>
    <t>Odložený daňový záväzok a pohľadávka</t>
  </si>
  <si>
    <t>DNM – dlhodobý nehmotný majetok</t>
  </si>
  <si>
    <t>Emisné kvóty (komodity)</t>
  </si>
  <si>
    <t>Náklady na zákazkovú výrobu</t>
  </si>
  <si>
    <t>Poskytnuté preddavky</t>
  </si>
  <si>
    <t>Spolu</t>
  </si>
  <si>
    <t>513100</t>
  </si>
  <si>
    <t>Zmena stavu vnútroorga-nizačných zásob vo výkaze ziskov a strát</t>
  </si>
  <si>
    <t>zdaniteľné</t>
  </si>
  <si>
    <t>Oprávky</t>
  </si>
  <si>
    <t>602350</t>
  </si>
  <si>
    <t>Ost.služby- software,doména</t>
  </si>
  <si>
    <t>343924</t>
  </si>
  <si>
    <t>Záväzky voči zamestnancom ( 331,333,33X,479A )</t>
  </si>
  <si>
    <t>Softvér</t>
  </si>
  <si>
    <t>481</t>
  </si>
  <si>
    <t>479650</t>
  </si>
  <si>
    <t xml:space="preserve">Tabuľka č. 1 </t>
  </si>
  <si>
    <t>Výsledok hospodárenia z hospodárskej činnosti (+/-) (r.02 - r. 10)</t>
  </si>
  <si>
    <t>B.III. 1.</t>
  </si>
  <si>
    <t>výpomoc</t>
  </si>
  <si>
    <t>B.  V. 1.</t>
  </si>
  <si>
    <t>Zvieratá ( 124 ) - /195/</t>
  </si>
  <si>
    <t>021100</t>
  </si>
  <si>
    <t>Odložená daň z príjmov</t>
  </si>
  <si>
    <t>Krátkodobé rezervy r.137 +r.138</t>
  </si>
  <si>
    <t>Ostatné záväzky</t>
  </si>
  <si>
    <t>Stav na začiatku účtovného obdobia</t>
  </si>
  <si>
    <t>Krátkodobé pohľadávky spolu</t>
  </si>
  <si>
    <t>Ostatné záväzky voči prepojeným ÚJ (471A,47XA)</t>
  </si>
  <si>
    <t>Odpisy dlhodob.nehmot.a hmot.majetku</t>
  </si>
  <si>
    <t>311100</t>
  </si>
  <si>
    <t>Zúčt. s inštitúciami SP</t>
  </si>
  <si>
    <t>Odpisy DHM</t>
  </si>
  <si>
    <t>Krátkodobé pohľadávky súčet (r. 054 + r. 058 až r. 065)</t>
  </si>
  <si>
    <t>Dlhodobý hmotný majetok</t>
  </si>
  <si>
    <t>710000</t>
  </si>
  <si>
    <t>Iné dlhodobé záväzky ( 336A, 372A, 474A, 47XA)</t>
  </si>
  <si>
    <t>Časové rozlíšenie súčet (r. 142 až r. 145)</t>
  </si>
  <si>
    <t>x</t>
  </si>
  <si>
    <t>107</t>
  </si>
  <si>
    <t>BS,110,S</t>
  </si>
  <si>
    <t>518701</t>
  </si>
  <si>
    <t>112210</t>
  </si>
  <si>
    <t>Obstaranie materiálu</t>
  </si>
  <si>
    <t>Mzdové náklady</t>
  </si>
  <si>
    <t>R.1.</t>
  </si>
  <si>
    <t>Skutočnosť v účtovnom 
období sledovanom</t>
  </si>
  <si>
    <t>Dlhodobý finančný majetok súčet (r. 022 až 032)</t>
  </si>
  <si>
    <t>032</t>
  </si>
  <si>
    <t>602510</t>
  </si>
  <si>
    <t>022</t>
  </si>
  <si>
    <t>Pozemky ( 031 ) - 092A</t>
  </si>
  <si>
    <t>138</t>
  </si>
  <si>
    <t>25. Informácie k časti F. písm. v) a časti G. písm. f) prílohy č. 3 o odloženej daňovej pohľadávke alebo o odloženom daňovom záväzku</t>
  </si>
  <si>
    <t>Materiál</t>
  </si>
  <si>
    <t>Ostatné výnosy z cenných papierov a podielov (665 A)</t>
  </si>
  <si>
    <t>Vyfakturované nároky za vykonanú prácu na zákazkovej výstavbe nehnuteľnosti určenej na predaj</t>
  </si>
  <si>
    <t>Zákonné sociálne poistenie</t>
  </si>
  <si>
    <t>Vstup tuzemsko samozdanenie 20%</t>
  </si>
  <si>
    <t>Iné záväzky ( 372A, 379A, 474A, 475A, 479A, 47XA )</t>
  </si>
  <si>
    <t>545</t>
  </si>
  <si>
    <t>061</t>
  </si>
  <si>
    <t>065</t>
  </si>
  <si>
    <t>002</t>
  </si>
  <si>
    <t>Daňové pohľadávky a dotácie ( 341,342,343,345,346,347 ) - /391A/</t>
  </si>
  <si>
    <t>Ostatné krátkodobé finančné výpomoci</t>
  </si>
  <si>
    <t>Záväzky so zostatkovou dobou splatnosti 
jeden rok až päť rokov</t>
  </si>
  <si>
    <t>Spotreba vodné, stočné</t>
  </si>
  <si>
    <t>Dlhodobé záväzky z derivátových operácií (373A, 377A)</t>
  </si>
  <si>
    <t>501100</t>
  </si>
  <si>
    <t>343922</t>
  </si>
  <si>
    <t>Sumár od začiatku zákazkovej výroby až 
do konca bežného účtovného obdobia</t>
  </si>
  <si>
    <t>518110</t>
  </si>
  <si>
    <t>Prijaté preddavky - záloha z recepcie</t>
  </si>
  <si>
    <t>Bežné účtovné obdobie</t>
  </si>
  <si>
    <t>Ost.služby- hot.a telef.okruh</t>
  </si>
  <si>
    <t>B. II. 1.</t>
  </si>
  <si>
    <t>060</t>
  </si>
  <si>
    <t>221300</t>
  </si>
  <si>
    <t>Záväzky po lehote splatnosti</t>
  </si>
  <si>
    <t>548</t>
  </si>
  <si>
    <t>Tržby za tovar</t>
  </si>
  <si>
    <t>Daň z príjmov splatná (591,595)</t>
  </si>
  <si>
    <t>51</t>
  </si>
  <si>
    <t>378</t>
  </si>
  <si>
    <t>Opravy a udržovanie</t>
  </si>
  <si>
    <t>viac ako päť rokov</t>
  </si>
  <si>
    <t>Prijaté preddavky tuzemsko</t>
  </si>
  <si>
    <t>Ostatné krátkodobé fin.výp.-pôžička</t>
  </si>
  <si>
    <t>Opravné položky</t>
  </si>
  <si>
    <t>XI.</t>
  </si>
  <si>
    <t>Vyradenie pôžičky z účtovníctva 
v účtovnom období</t>
  </si>
  <si>
    <t>8. Informácie k časti F. písm. i) prílohy č. 3 o štruktúre dlhodobého finančného majetku</t>
  </si>
  <si>
    <t>428100</t>
  </si>
  <si>
    <t>109</t>
  </si>
  <si>
    <t>Úroky  bankové</t>
  </si>
  <si>
    <t>Oceniteľné práva ( 014 ) - /074, 091A/</t>
  </si>
  <si>
    <t>014</t>
  </si>
  <si>
    <t>Emisné kvóty</t>
  </si>
  <si>
    <t>Daňový doklad k preddavku - základ</t>
  </si>
  <si>
    <t>Podielové CP a podiely 
v spoločnosti
s podstatným
vplyvom</t>
  </si>
  <si>
    <t>Kurzové zisky (663)</t>
  </si>
  <si>
    <t>45</t>
  </si>
  <si>
    <t>Nedokonč. výroba a polotovary (121,122, 12X) - /192,193,19X/</t>
  </si>
  <si>
    <t>Výsledok hospodárenia za účtovné obdobie po zdanení (+-)</t>
  </si>
  <si>
    <t>C.   1.</t>
  </si>
  <si>
    <t>Konečný zostatok sociálneho fondu</t>
  </si>
  <si>
    <t>326100</t>
  </si>
  <si>
    <t>Ostatné záväzky v rámci podielovej účasti okrem záväzkov voči prep.ÚJ  (361A,36XA,471A,47XA)</t>
  </si>
  <si>
    <t>Účtovné jednotky s podstatným vplyvom</t>
  </si>
  <si>
    <t>Dodávatelia zahraničie</t>
  </si>
  <si>
    <t>Pohľadávky voči spoločníkom,členom a združeniu (354A,355A,358A,35XA,398A) -/391A/</t>
  </si>
  <si>
    <t>568</t>
  </si>
  <si>
    <t>518702</t>
  </si>
  <si>
    <t>Dlhodobý finančný majetok</t>
  </si>
  <si>
    <t>59</t>
  </si>
  <si>
    <t>Obstarávaný DNM</t>
  </si>
  <si>
    <t>Ostatné výnosy z kratkodobého finančného majetku (666A)</t>
  </si>
  <si>
    <t>3.</t>
  </si>
  <si>
    <t>325100</t>
  </si>
  <si>
    <t>38</t>
  </si>
  <si>
    <t>Účty v bankách ( 221A, 22X +/-261 )</t>
  </si>
  <si>
    <t>042400</t>
  </si>
  <si>
    <t>145</t>
  </si>
  <si>
    <t>391100</t>
  </si>
  <si>
    <t>518</t>
  </si>
  <si>
    <t>Daňovo neuznané náklady</t>
  </si>
  <si>
    <t>Ostatné poplatky -mestské za smeti</t>
  </si>
  <si>
    <t>Ostatný DFM</t>
  </si>
  <si>
    <t>331100</t>
  </si>
  <si>
    <t>Tžby z predaja vlastných výrobkov ( 601 )</t>
  </si>
  <si>
    <t>431</t>
  </si>
  <si>
    <t>135</t>
  </si>
  <si>
    <t>Opravné položky k zásobám (+/-) (505)</t>
  </si>
  <si>
    <t>Ostatné krátkodobé fin.výp.- kofola</t>
  </si>
  <si>
    <t>021200</t>
  </si>
  <si>
    <t>Podiel ÚJ na hlasovacích právach v %</t>
  </si>
  <si>
    <t>Pôžička EXXON</t>
  </si>
  <si>
    <t>Základné imanie - GAMA GOLD - peň.vklad</t>
  </si>
  <si>
    <t>Zaokrúhlené
(netto)</t>
  </si>
  <si>
    <t>479400</t>
  </si>
  <si>
    <t>513</t>
  </si>
  <si>
    <t>Spotr.mater.-kvety,ikebany</t>
  </si>
  <si>
    <t>431000</t>
  </si>
  <si>
    <t>Druh obchodu</t>
  </si>
  <si>
    <t>114</t>
  </si>
  <si>
    <t>Výnosové úroky (r.40 + r.41)</t>
  </si>
  <si>
    <t>082501</t>
  </si>
  <si>
    <t>Tržby z pred.služ. - alko</t>
  </si>
  <si>
    <t>57</t>
  </si>
  <si>
    <t>Tržby za tovar</t>
  </si>
  <si>
    <t>Daňové záväzky a dotácie ( 341, 342, 343, 345, 346, 347, 34X )</t>
  </si>
  <si>
    <t>Ostatné fin. nákl. - provízia VISA</t>
  </si>
  <si>
    <t>Tabuľka č. 2</t>
  </si>
  <si>
    <t>472</t>
  </si>
  <si>
    <t>Pohľadávky voči dcérskej účtovnej jednotke a materskej účtovnej jednotke</t>
  </si>
  <si>
    <t>Výstup tuzemsko samozdanenie 20%</t>
  </si>
  <si>
    <t>111</t>
  </si>
  <si>
    <t>Stav  OP na začiatku účtovného obdobia</t>
  </si>
  <si>
    <t>Ost.dlh.záv.- pôžička Gama Gold</t>
  </si>
  <si>
    <t>Náklady budúcich období krátkodobé ( 381A,382A )</t>
  </si>
  <si>
    <t>1.  Informácie k časti A. písm. c) prílohy č. 3 o počte zamestnancov</t>
  </si>
  <si>
    <t>úradom Slovenskej republiky.</t>
  </si>
  <si>
    <t>Ostatné dane a poplatky</t>
  </si>
  <si>
    <t>poskytnutie služby</t>
  </si>
  <si>
    <t>Daň</t>
  </si>
  <si>
    <t xml:space="preserve">Ostatné realizovateľné CP a podiely  </t>
  </si>
  <si>
    <t>27. Informácie k časti G. písm. h) prílohy č. 3 o vydaných dlhopisoch</t>
  </si>
  <si>
    <t>Daň z pridanej hodnoty</t>
  </si>
  <si>
    <t>029</t>
  </si>
  <si>
    <t>Výstup tuzemsko 10%</t>
  </si>
  <si>
    <t>601</t>
  </si>
  <si>
    <t>Očakávané budúce obchody dosiaľ zmluvne nezabezpečené</t>
  </si>
  <si>
    <t>Bezprostredne predchádzajúce 
účtovné obdobie</t>
  </si>
  <si>
    <t>DIČ – daňové identifikačné číslo</t>
  </si>
  <si>
    <t>Obstarávaný dlhodobý finančný majetok ( 043 ) - /096A/</t>
  </si>
  <si>
    <t>Ostatné dlhodobé CP a podiely</t>
  </si>
  <si>
    <t>03</t>
  </si>
  <si>
    <t>Odložený daňový záväzok (481A)</t>
  </si>
  <si>
    <t>Poskytnuté preddavky na dlhodobý HM ( 052 ) - /095A/</t>
  </si>
  <si>
    <t xml:space="preserve">Čerpanie sociálneho fondu </t>
  </si>
  <si>
    <t>Hodnota pohľadávok, na ktoré sa zriadilo záložné právo</t>
  </si>
  <si>
    <t>Z nerozdeleného zisku minulých rokov</t>
  </si>
  <si>
    <t>513200</t>
  </si>
  <si>
    <t>29. Informácie k časti  G. písm. k) prílohy č. 3 o významných položkách derivátov za bežné účtovné obdobie</t>
  </si>
  <si>
    <t>Náklady na obstarávanie nehnuteľnosti  na predaj za účtovné obdobie</t>
  </si>
  <si>
    <t>Dátum splatnosti</t>
  </si>
  <si>
    <t>602200</t>
  </si>
  <si>
    <t>591100</t>
  </si>
  <si>
    <t>Ost.služby- dial.známky</t>
  </si>
  <si>
    <t>501160</t>
  </si>
  <si>
    <t>Poskytnuté preddavky na dlhod. fin. majetok ( 053 ) - /095A/</t>
  </si>
  <si>
    <t>X.</t>
  </si>
  <si>
    <t>Ostatné pokuty a penále</t>
  </si>
  <si>
    <t>518230</t>
  </si>
  <si>
    <t>Ostatné pohľadávky voči prepojeným ÚJ ( 351A )-/391A/</t>
  </si>
  <si>
    <t>Dlhodobé záväzky súčet (r. 103 + r. 107 až r. 117)</t>
  </si>
  <si>
    <t>Pozemky</t>
  </si>
  <si>
    <t>501130</t>
  </si>
  <si>
    <t>52</t>
  </si>
  <si>
    <t>X.1.</t>
  </si>
  <si>
    <t>Ost.dlh.záv.- GAMA GOLD</t>
  </si>
  <si>
    <t>Tabuľka č. 3</t>
  </si>
  <si>
    <t>Samostat. hnuteľné veci a súbory h. vecí</t>
  </si>
  <si>
    <t>Dlhodobé pohľadávky</t>
  </si>
  <si>
    <t>411310</t>
  </si>
  <si>
    <t>Názov syntetického účtu</t>
  </si>
  <si>
    <t>102</t>
  </si>
  <si>
    <t>Časové rozlíšenie súčet r. 075 až r.078</t>
  </si>
  <si>
    <t>025</t>
  </si>
  <si>
    <t>104</t>
  </si>
  <si>
    <t>Základné stádo a ťažné zvieratá</t>
  </si>
  <si>
    <t>O.</t>
  </si>
  <si>
    <t>Prvotné ocenenie</t>
  </si>
  <si>
    <t>Spotr.mater.-na údržbu</t>
  </si>
  <si>
    <t>324500</t>
  </si>
  <si>
    <t>Dotácie zo štátneho rozpočtu</t>
  </si>
  <si>
    <t>Spotr.mater.-čistiace potreby</t>
  </si>
  <si>
    <t>027</t>
  </si>
  <si>
    <t>Opravná položka k nadobudnut.majetku  ( +/-097, +/-098 )</t>
  </si>
  <si>
    <t>143</t>
  </si>
  <si>
    <t>Celkový obrat
Má dať</t>
  </si>
  <si>
    <t>005</t>
  </si>
  <si>
    <t>Ostatné nákl.na hosp.činn.-oblečenie</t>
  </si>
  <si>
    <t>341</t>
  </si>
  <si>
    <t>Zákonné rezervné fondy r. 088 + r. 089</t>
  </si>
  <si>
    <t>127</t>
  </si>
  <si>
    <t>M.</t>
  </si>
  <si>
    <t>Pohľadávky za upísané vlastné imanie ( /-/353 )</t>
  </si>
  <si>
    <t>SHV  nespl.limit - výp.technika</t>
  </si>
  <si>
    <t>Softvér - reštauračný program</t>
  </si>
  <si>
    <t>221</t>
  </si>
  <si>
    <t>117</t>
  </si>
  <si>
    <t>G.1.</t>
  </si>
  <si>
    <t>36</t>
  </si>
  <si>
    <t>501140</t>
  </si>
  <si>
    <t>41</t>
  </si>
  <si>
    <t>iné uisťovacie audítorské služby</t>
  </si>
  <si>
    <t>Obstaranie dlhodobého hmot.majetku</t>
  </si>
  <si>
    <t>Nevyfakturované dodávky</t>
  </si>
  <si>
    <t>Zásoby spolu</t>
  </si>
  <si>
    <t>daňové poradenstvo</t>
  </si>
  <si>
    <t>365</t>
  </si>
  <si>
    <t>602540</t>
  </si>
  <si>
    <t>429</t>
  </si>
  <si>
    <t>37</t>
  </si>
  <si>
    <t>Oceňovacie rozdiely z kapitalových účastnín ( +/- 415 )</t>
  </si>
  <si>
    <t>Zmluvy, ktoré sa neúčtujú na súvahových účtoch</t>
  </si>
  <si>
    <t>602400</t>
  </si>
  <si>
    <t xml:space="preserve">Zvieratá </t>
  </si>
  <si>
    <t>Zásoby súčet (r. 035 až r.040)</t>
  </si>
  <si>
    <t>Oceniteľné práva</t>
  </si>
  <si>
    <t>Ost.služby- sprostred.poplatky</t>
  </si>
  <si>
    <t>531</t>
  </si>
  <si>
    <t xml:space="preserve">7. Informácie k časti F. písm. m) prílohy č. 3 o dlhodobom finančnom majetku </t>
  </si>
  <si>
    <t>BS,015,B</t>
  </si>
  <si>
    <t>Dlhové CP držané do splatnosti spolu</t>
  </si>
  <si>
    <t>27</t>
  </si>
  <si>
    <t>Istina</t>
  </si>
  <si>
    <t>DFM – dlhodobý finančný majetok</t>
  </si>
  <si>
    <t>Výsledok hospodárenia pred  zdanením, z toho:</t>
  </si>
  <si>
    <t>S.</t>
  </si>
  <si>
    <t>Suma zadržanej platby</t>
  </si>
  <si>
    <t>Zmluvné pokuty,penále a úroky z omeškani</t>
  </si>
  <si>
    <t>Príjmy budúcich období krátkodobé ( 385A )</t>
  </si>
  <si>
    <t>544</t>
  </si>
  <si>
    <t>342</t>
  </si>
  <si>
    <t>19</t>
  </si>
  <si>
    <t>Neuhradená strata 2020</t>
  </si>
  <si>
    <t>Pestovateľské celky 
trvalých porastov</t>
  </si>
  <si>
    <t>08</t>
  </si>
  <si>
    <t>024</t>
  </si>
  <si>
    <t>Tržby z predaja služ. - žehlenie,pranie</t>
  </si>
  <si>
    <t>Oceňovacie rozdiely z precenenia súčet (r. 094 až r. 096)</t>
  </si>
  <si>
    <t>Ost.služby- prenájom,ost.nákady pref.</t>
  </si>
  <si>
    <t xml:space="preserve">22. Informácie k časti G. písm. a) tretiemu bodu prílohy č. 3 o rozdelení účtovného zisku alebo o vysporiadaní účtovnej straty </t>
  </si>
  <si>
    <t>Aktivácia (účtovná skupina 62)</t>
  </si>
  <si>
    <t>11.</t>
  </si>
  <si>
    <t>022501</t>
  </si>
  <si>
    <t>A K T Í V A</t>
  </si>
  <si>
    <t>Ostatné výnosy z hosp.činn.-zaokrúhlenie</t>
  </si>
  <si>
    <t>501700</t>
  </si>
  <si>
    <t>Predané cenné papiere a podiely (561)</t>
  </si>
  <si>
    <t>Záväzky z obchodného styku voči prepojeným ÚJ (321A,475A,476A)</t>
  </si>
  <si>
    <t>Poskytnuté  preddavky</t>
  </si>
  <si>
    <t>výsledok hospodárenia</t>
  </si>
  <si>
    <t>Záväzky z derivátových operácií (373A, 377A)</t>
  </si>
  <si>
    <t>501170</t>
  </si>
  <si>
    <t>Úhrada straty minulých období</t>
  </si>
  <si>
    <t>E.</t>
  </si>
  <si>
    <t>088100</t>
  </si>
  <si>
    <t>028200</t>
  </si>
  <si>
    <t>Stav na začiatku účtovného obdobia</t>
  </si>
  <si>
    <t>532</t>
  </si>
  <si>
    <t>48</t>
  </si>
  <si>
    <t>621</t>
  </si>
  <si>
    <t>Názov položky</t>
  </si>
  <si>
    <t>Dlhové CP na obchodovanie</t>
  </si>
  <si>
    <t>602310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</si>
  <si>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</si>
  <si>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472100</t>
  </si>
  <si>
    <t>504100</t>
  </si>
  <si>
    <t>Splatná daň z príjmov</t>
  </si>
  <si>
    <t>46</t>
  </si>
  <si>
    <t>Zvýšenie/ zníženie hodnoty (+/-)</t>
  </si>
  <si>
    <t>Dodávatelia</t>
  </si>
  <si>
    <t>*</t>
  </si>
  <si>
    <t>Netto v bežnom
účtovnom období</t>
  </si>
  <si>
    <t>Tvorba sociálneho fondu zo zisku</t>
  </si>
  <si>
    <t>IČO – identifikačné číslo organizácie</t>
  </si>
  <si>
    <t>Zaokrúhlené
(sledované)</t>
  </si>
  <si>
    <t>Ostatné výnosy z hospodárskej činnosti</t>
  </si>
  <si>
    <t>602000</t>
  </si>
  <si>
    <t>Odpisy o opravné položky dlhodobému NM a dlhodobému HM (r.22 + r.23)</t>
  </si>
  <si>
    <t>043</t>
  </si>
  <si>
    <t>527</t>
  </si>
  <si>
    <t>Iné pohľadávky (335A,336A,33XA,371A,374A,375A,378A)-/391A/</t>
  </si>
  <si>
    <t>137</t>
  </si>
  <si>
    <t>iný obchod</t>
  </si>
  <si>
    <t>Zákonné soc.nákl.-stravné do lim.</t>
  </si>
  <si>
    <t>kons. – konsolidovaný</t>
  </si>
  <si>
    <t>Príjmy budúcich období dlhodobé ( 385A )</t>
  </si>
  <si>
    <t>Krátkodobý  finančný majetok, na ktorý bolo zriadené záložné právo</t>
  </si>
  <si>
    <t>23. Informácie k časti G. písm. b) prílohy č. 3 o rezervách</t>
  </si>
  <si>
    <t>Podielové CP a podiely v DÚJ</t>
  </si>
  <si>
    <t>Tabuľka č. 1</t>
  </si>
  <si>
    <t>počet vedúcich zamestnancov</t>
  </si>
  <si>
    <t>Ostatné nákl. na hosp. činn. - nedaňové</t>
  </si>
  <si>
    <t xml:space="preserve">Spolu </t>
  </si>
  <si>
    <t>05</t>
  </si>
  <si>
    <t>Bez vplyvu na zaklad dane  - odpocitatel</t>
  </si>
  <si>
    <t>602500</t>
  </si>
  <si>
    <t>Krátkodobé pohľadávky</t>
  </si>
  <si>
    <t>Obežný majetok  r.034 + r.041 + r.053 + r.066 + r.071</t>
  </si>
  <si>
    <t>Iné pohľadávky</t>
  </si>
  <si>
    <t>343819</t>
  </si>
  <si>
    <t>J.</t>
  </si>
  <si>
    <t>Samost.hnuteľ. veci a súbory hnuteľ.vecí</t>
  </si>
  <si>
    <t>E.1.</t>
  </si>
  <si>
    <t>Tržby z predaja tovaru ( 604, 607 )</t>
  </si>
  <si>
    <t>4.  Informácie k časti F. písm. a) prílohy č. 3 o dlhodobom hmotnom majetku</t>
  </si>
  <si>
    <t>Suma istiny v príslušnej mene za bezprostredne predchádzajúce účtovné obdobie</t>
  </si>
  <si>
    <t>139</t>
  </si>
  <si>
    <t>predaj</t>
  </si>
  <si>
    <t>Tžby z predaja služieb ( 602, 606 )</t>
  </si>
  <si>
    <t>009</t>
  </si>
  <si>
    <t>Obstarávaný DHM</t>
  </si>
  <si>
    <t xml:space="preserve">Suma prijatých preddavkov </t>
  </si>
  <si>
    <t>602520</t>
  </si>
  <si>
    <t>A.III.</t>
  </si>
  <si>
    <t>518310</t>
  </si>
  <si>
    <t>Zostatok
Má dať</t>
  </si>
  <si>
    <t>134</t>
  </si>
  <si>
    <t>Hospodársky výsledok v schval. konaní</t>
  </si>
  <si>
    <t>501530</t>
  </si>
  <si>
    <t xml:space="preserve">Výnosy zo zákazkovej výstavby nehnuteľnosti určenej na predaj </t>
  </si>
  <si>
    <t>343810</t>
  </si>
  <si>
    <t>Predaný tovar</t>
  </si>
  <si>
    <t>479352</t>
  </si>
  <si>
    <t>602530</t>
  </si>
  <si>
    <t>Oprávky k samostat.hnut.veciam a súborom</t>
  </si>
  <si>
    <t>Pohľadávky  z obchodného styku</t>
  </si>
  <si>
    <t>479</t>
  </si>
  <si>
    <t>Výrobky</t>
  </si>
  <si>
    <t>082200</t>
  </si>
  <si>
    <t>Dlhodobé pôžičky</t>
    <r>
      <rPr>
        <rFont val="Arial"/>
        <family val="2"/>
        <color theme="1"/>
        <sz val="8"/>
      </rPr>
      <t xml:space="preserve"> </t>
    </r>
  </si>
  <si>
    <t>Ost.služby- tlač zo zariadenia</t>
  </si>
  <si>
    <t>Obstarávaný DFM na účely vykonania vplyvu v inej ÚJ</t>
  </si>
  <si>
    <t>111300</t>
  </si>
  <si>
    <t>Bezprostredne predchádzajúce účtovné obdobie</t>
  </si>
  <si>
    <t>568400</t>
  </si>
  <si>
    <t>Poskytnuté preddavky na DNM</t>
  </si>
  <si>
    <t>B.  I.</t>
  </si>
  <si>
    <t>Krátkodobý finančný majetok súčet (r.067 až r.070)</t>
  </si>
  <si>
    <t>Pôžičky v rámci podielovej účasti okrem prepojeným ÚJ (066A) - /096A/</t>
  </si>
  <si>
    <t>Bežné bankové úvery ( 221A, 231, 232, 23X, 461A, 46XA )</t>
  </si>
  <si>
    <t>648999</t>
  </si>
  <si>
    <t>Zúčtovanie s DÚ</t>
  </si>
  <si>
    <t>Iné záväzky - exekúcie v riešení</t>
  </si>
  <si>
    <t>úver, pôžička</t>
  </si>
  <si>
    <t>A.VIII.</t>
  </si>
  <si>
    <t>Tržby z pred.služ. - prenájom techniky</t>
  </si>
  <si>
    <t>518330</t>
  </si>
  <si>
    <t>24</t>
  </si>
  <si>
    <t>Nerozdelený zisk minulých rokov</t>
  </si>
  <si>
    <t>Zostatková hodnota</t>
  </si>
  <si>
    <t>023</t>
  </si>
  <si>
    <t>604100</t>
  </si>
  <si>
    <t>Výnosy budúcich období dlhodobé ( 384A )</t>
  </si>
  <si>
    <t>Pokladňa EUR</t>
  </si>
  <si>
    <t>Ostatné kapitálové fondy ( 413 )</t>
  </si>
  <si>
    <t>Hodnota predmetu</t>
  </si>
  <si>
    <t>A.  I. 1.</t>
  </si>
  <si>
    <t>Oprávky - chladnička</t>
  </si>
  <si>
    <t>381500</t>
  </si>
  <si>
    <t>Oprávky chladnička</t>
  </si>
  <si>
    <t>378100</t>
  </si>
  <si>
    <t>Za bezprostredne predchádzajúce účtovné obdobie</t>
  </si>
  <si>
    <t>Záväzky so zostatkovou dobou splatnosti do jedneho roka vrátane</t>
  </si>
  <si>
    <t>Finančný náklad</t>
  </si>
  <si>
    <t>Ostatný DHM</t>
  </si>
  <si>
    <t>Suma odloženej daňovej pohľadávky účtovanej ako náklad alebo výnos vyplývajúca zo zmeny sadzby dane z príjmov</t>
  </si>
  <si>
    <t>Náklady na zákazkovú výstavbu nehnuteľnosti určenej na predaj</t>
  </si>
  <si>
    <t>(6) V bode č. 46 sa kód druhu obchodu vyplňuje takto:</t>
  </si>
  <si>
    <t>Konečný zostatok</t>
  </si>
  <si>
    <t>Štatutárne fondy ( 423, 42X )</t>
  </si>
  <si>
    <t>501420</t>
  </si>
  <si>
    <t>502</t>
  </si>
  <si>
    <t>***</t>
  </si>
  <si>
    <t>Záväzky voči spoločníkom a združeniu ( 364, 365, 366, 367, 368, 398A, 478A, 479A)</t>
  </si>
  <si>
    <t>Bezprostred- 
ne predchádza-
júce účtovné obdobie</t>
  </si>
  <si>
    <t>Dlhové cen.papiere a ostatný dlhodobý finančný majetok ( 065A,069A,06XA ) - /096A/</t>
  </si>
  <si>
    <t>Záväzky r. 102 + r. 118 + r. 121 + r. 122 + r.136 + r. 139 + r. 140</t>
  </si>
  <si>
    <t>Ostatná tvorba sociálneho fondu</t>
  </si>
  <si>
    <t>C.</t>
  </si>
  <si>
    <t>429000</t>
  </si>
  <si>
    <t>Tržby z pred.služ. - prenáj.miest.vonk.</t>
  </si>
  <si>
    <t>Krátkodobé rezervy, z toho:</t>
  </si>
  <si>
    <t>Materiál na sklade - obaly, prepravky</t>
  </si>
  <si>
    <t>057</t>
  </si>
  <si>
    <t>562</t>
  </si>
  <si>
    <t>Tvorba 
OP</t>
  </si>
  <si>
    <t>Vlastné imanie r.081+r.085+r.086+r.087+r.090+r.093+r.097+r.100</t>
  </si>
  <si>
    <t>06</t>
  </si>
  <si>
    <t>Ostatný DNM</t>
  </si>
  <si>
    <t>Spotr.mater.-obaly,papier.cukr.</t>
  </si>
  <si>
    <t>Uplatnená daňová pohľadávka</t>
  </si>
  <si>
    <t>Celkový obrat
Dal</t>
  </si>
  <si>
    <t>Nerozdelený zisk minulých rokov 2019</t>
  </si>
  <si>
    <t>055</t>
  </si>
  <si>
    <t>Náklady na hospodársku činnosť spolu r.11+r.12+r.13+r.14+r15+r.20+r.21+r.24+r.25+r.26</t>
  </si>
  <si>
    <t>602600</t>
  </si>
  <si>
    <t>Krátkodobé bankové úvery - TTB</t>
  </si>
  <si>
    <t>Sociálne náklady ( 527, 528 )</t>
  </si>
  <si>
    <t>Aktivácia vnútropodnikových služieb</t>
  </si>
  <si>
    <t>096</t>
  </si>
  <si>
    <t>Ostatné rezervy (323A, 32X, 459A, 45XA)</t>
  </si>
  <si>
    <t>Prídel do zákonného rezervného fondu</t>
  </si>
  <si>
    <t>067</t>
  </si>
  <si>
    <t>C.  1.</t>
  </si>
  <si>
    <t>Ostatné dlhodobé zázäzky ( 479A, 47XA )</t>
  </si>
  <si>
    <t>30</t>
  </si>
  <si>
    <t>Suma odloženej dani z príjmov, ktorá sa vzťahuje na položky účtované priamo na účty vlastného imania bez účtovania na účty nákladov a výnosov</t>
  </si>
  <si>
    <t>Z. z., ktorou sa vydáva Štatistická klasifikácia ekonomických činností.</t>
  </si>
  <si>
    <t>XIII.</t>
  </si>
  <si>
    <t>021</t>
  </si>
  <si>
    <t>Tržby z pred.služ. - potraviny</t>
  </si>
  <si>
    <t>031000</t>
  </si>
  <si>
    <t>Začiatočný účet súvahový</t>
  </si>
  <si>
    <t>ÚJ – účtovná jednotka</t>
  </si>
  <si>
    <t>548130</t>
  </si>
  <si>
    <t>081100</t>
  </si>
  <si>
    <t>103</t>
  </si>
  <si>
    <t>518400</t>
  </si>
  <si>
    <t>112300</t>
  </si>
  <si>
    <t>Peniaze na ceste KASA</t>
  </si>
  <si>
    <t>Konečný účet súvahový</t>
  </si>
  <si>
    <t>Stav OP  na začiatku účtovného obdobia</t>
  </si>
  <si>
    <t>Výnosy z finančnej činnosti spolu r.30+r.31+r.35+r.39+r.42+r.43+r.44</t>
  </si>
  <si>
    <t>Ostatné finančné náklady</t>
  </si>
  <si>
    <t>Zákonný rezervný fond</t>
  </si>
  <si>
    <t>Ostatné pohľadávky v rámci konsolidovaného celku</t>
  </si>
  <si>
    <t>Prevod podielov na výsledku hospodárenia spoločníkom (+/-) (596)</t>
  </si>
  <si>
    <t>113</t>
  </si>
  <si>
    <t>Označenie</t>
  </si>
  <si>
    <t>133</t>
  </si>
  <si>
    <t>61</t>
  </si>
  <si>
    <t>Spotr.mater.-DDHHM</t>
  </si>
</sst>
</file>

<file path=xl/styles.xml><?xml version="1.0" encoding="utf-8"?>
<styleSheet xmlns="http://schemas.openxmlformats.org/spreadsheetml/2006/main">
  <numFmts count="2">
    <numFmt numFmtId="164" formatCode="#,##0.00\ [$€-1]"/>
    <numFmt numFmtId="165" formatCode="0.00"/>
  </numFmts>
  <fonts count="18">
    <font>
      <name val="Calibri"/>
      <family val="2"/>
      <color theme="1"/>
      <sz val="11"/>
      <scheme val="minor"/>
    </font>
    <font>
      <name val="Calibri"/>
      <family val="2"/>
      <color auto="1"/>
      <sz val="11"/>
      <scheme val="minor"/>
    </font>
    <font>
      <name val="Arial"/>
      <family val="2"/>
      <color auto="1"/>
      <sz val="10"/>
    </font>
    <font>
      <name val="Arial"/>
      <family val="2"/>
      <b/>
      <color theme="1"/>
      <sz val="8"/>
    </font>
    <font>
      <name val="Arial"/>
      <family val="2"/>
      <color theme="1"/>
      <sz val="8"/>
    </font>
    <font>
      <name val="Arial"/>
      <family val="2"/>
      <color theme="1"/>
      <sz val="11"/>
    </font>
    <font>
      <name val="Arial"/>
      <family val="2"/>
      <color rgb="FF000000"/>
      <sz val="8"/>
    </font>
    <font>
      <name val="Calibri"/>
      <family val="2"/>
      <b/>
      <color rgb="FFFF0000"/>
      <sz val="11"/>
      <scheme val="minor"/>
    </font>
    <font>
      <name val="Calibri"/>
      <family val="2"/>
      <b/>
      <color theme="1"/>
      <sz val="11"/>
      <scheme val="minor"/>
    </font>
    <font>
      <name val="Calibri"/>
      <family val="2"/>
      <color rgb="FF0070C0"/>
      <sz val="11"/>
      <scheme val="minor"/>
    </font>
    <font>
      <name val="Arial Narrow"/>
      <family val="2"/>
      <b/>
      <color theme="1"/>
      <sz val="11"/>
    </font>
    <font>
      <name val="Arial Narrow"/>
      <family val="2"/>
      <color theme="1"/>
      <sz val="11"/>
    </font>
    <font>
      <name val="Arial"/>
      <family val="2"/>
      <color auto="1"/>
      <sz val="8"/>
    </font>
    <font>
      <name val="Calibri"/>
      <family val="2"/>
      <color theme="3"/>
      <sz val="11"/>
      <scheme val="minor"/>
    </font>
    <font>
      <name val="Arial"/>
      <family val="2"/>
      <b/>
      <color theme="1"/>
      <sz val="10"/>
    </font>
    <font>
      <name val="Arial"/>
      <family val="2"/>
      <b/>
      <color rgb="FFFF0000"/>
      <sz val="8"/>
    </font>
    <font>
      <name val="Calibri"/>
      <family val="2"/>
      <color rgb="FFFF0000"/>
      <sz val="11"/>
      <scheme val="minor"/>
    </font>
    <font>
      <name val="Arial Narrow"/>
      <family val="2"/>
      <b/>
      <color theme="1"/>
      <sz val="10"/>
    </font>
  </fonts>
  <fills count="4">
    <fill>
      <patternFill patternType="none"/>
    </fill>
    <fill>
      <patternFill patternType="gray125"/>
    </fill>
    <fill>
      <patternFill patternType="solid">
        <fgColor theme="0"/>
        <bgColor auto="1" indexed="64"/>
      </patternFill>
    </fill>
    <fill>
      <patternFill patternType="solid">
        <fgColor theme="3" tint="0.79998168889431442"/>
        <bgColor auto="1" indexed="64"/>
      </patternFill>
    </fill>
  </fills>
  <borders count="49">
    <border outline="0">
      <left/>
      <right/>
      <top/>
      <bottom/>
      <diagonal/>
    </border>
    <border outline="0">
      <left style="thick">
        <color auto="1" indexed="64"/>
      </left>
      <right/>
      <top style="thick">
        <color auto="1" indexed="64"/>
      </top>
      <bottom style="thick">
        <color auto="1" indexed="64"/>
      </bottom>
      <diagonal/>
    </border>
    <border outline="0">
      <left/>
      <right style="thick">
        <color auto="1" indexed="64"/>
      </right>
      <top/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 style="thick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/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/>
      <top style="medium">
        <color auto="1" indexed="64"/>
      </top>
      <bottom style="thick">
        <color auto="1" indexed="64"/>
      </bottom>
      <diagonal/>
    </border>
    <border outline="0">
      <left/>
      <right style="medium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medium">
        <color auto="1" indexed="64"/>
      </bottom>
      <diagonal/>
    </border>
    <border outline="0">
      <left/>
      <right style="medium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thick">
        <color auto="1" indexed="64"/>
      </right>
      <top/>
      <bottom style="medium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/>
      <bottom/>
      <diagonal/>
    </border>
    <border outline="0">
      <left style="medium">
        <color auto="1" indexed="64"/>
      </left>
      <right style="thick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/>
      <top/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medium">
        <color auto="1" indexed="64"/>
      </right>
      <top/>
      <bottom style="thick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 style="medium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thick">
        <color auto="1" indexed="64"/>
      </top>
      <bottom/>
      <diagonal/>
    </border>
    <border outline="0">
      <left style="thick">
        <color auto="1" indexed="64"/>
      </left>
      <right/>
      <top style="medium">
        <color auto="1" indexed="64"/>
      </top>
      <bottom style="thick">
        <color auto="1" indexed="64"/>
      </bottom>
      <diagonal/>
    </border>
    <border outline="0">
      <left style="thick">
        <color auto="1" indexed="64"/>
      </left>
      <right style="thick">
        <color auto="1" indexed="64"/>
      </right>
      <top style="medium">
        <color auto="1" indexed="64"/>
      </top>
      <bottom/>
      <diagonal/>
    </border>
    <border outline="0">
      <left style="thick">
        <color auto="1" indexed="64"/>
      </left>
      <right/>
      <top/>
      <bottom style="medium">
        <color auto="1" indexed="64"/>
      </bottom>
      <diagonal/>
    </border>
    <border outline="0">
      <left style="thick">
        <color auto="1" indexed="64"/>
      </left>
      <right/>
      <top/>
      <bottom style="thick">
        <color auto="1" indexed="64"/>
      </bottom>
      <diagonal/>
    </border>
    <border outline="0">
      <left/>
      <right style="thick">
        <color auto="1" indexed="64"/>
      </right>
      <top/>
      <bottom/>
      <diagonal/>
    </border>
    <border outline="0">
      <left/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medium">
        <color auto="1" indexed="64"/>
      </bottom>
      <diagonal/>
    </border>
    <border outline="0">
      <left/>
      <right style="thick">
        <color auto="1" indexed="64"/>
      </right>
      <top style="medium">
        <color auto="1" indexed="64"/>
      </top>
      <bottom style="thick">
        <color auto="1" indexed="64"/>
      </bottom>
      <diagonal/>
    </border>
    <border outline="0">
      <left style="medium">
        <color auto="1" indexed="64"/>
      </left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/>
      <diagonal/>
    </border>
    <border outline="0">
      <left style="medium">
        <color auto="1" indexed="64"/>
      </left>
      <right style="thick">
        <color auto="1" indexed="64"/>
      </right>
      <top style="thick">
        <color auto="1" indexed="64"/>
      </top>
      <bottom style="medium">
        <color auto="1" indexed="64"/>
      </bottom>
      <diagonal/>
    </border>
    <border outline="0">
      <left/>
      <right style="medium">
        <color auto="1" indexed="64"/>
      </right>
      <top style="thick">
        <color auto="1" indexed="64"/>
      </top>
      <bottom style="thick">
        <color auto="1" indexed="64"/>
      </bottom>
      <diagonal/>
    </border>
    <border outline="0">
      <left/>
      <right/>
      <top style="thick">
        <color auto="1" indexed="64"/>
      </top>
      <bottom style="medium">
        <color auto="1" indexed="64"/>
      </bottom>
      <diagonal/>
    </border>
    <border outline="0">
      <left style="thick">
        <color auto="1" indexed="64"/>
      </left>
      <right/>
      <top style="thick">
        <color auto="1"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77">
    <xf numFmtId="0" fontId="0" fillId="0" borderId="0" xfId="0"/>
    <xf numFmtId="0" fontId="3" fillId="0" borderId="1" xfId="0" applyFont="1" applyBorder="1" applyAlignment="1">
      <alignment horizontal="left" vertical="center" textRotation="0" indent="0" relativeIndent="0" readingOrder="0"/>
    </xf>
    <xf numFmtId="0" fontId="4" fillId="0" borderId="0" xfId="0" applyFont="1" applyBorder="1"/>
    <xf numFmtId="9" fontId="4" fillId="0" borderId="2" xfId="1" applyFont="1" applyBorder="1" applyAlignment="1">
      <alignment horizontal="right" vertical="center" textRotation="0" indent="0" relativeIndent="0" readingOrder="0"/>
    </xf>
    <xf numFmtId="0" fontId="4" fillId="0" borderId="3" xfId="0" applyFont="1" applyFill="1" applyBorder="1" applyAlignment="1">
      <alignment horizontal="general" vertical="center" textRotation="0" wrapText="1" indent="0" relativeIndent="0" readingOrder="0"/>
    </xf>
    <xf numFmtId="0" fontId="4" fillId="2" borderId="3" xfId="0" applyFont="1" applyFill="1" applyBorder="1" applyAlignment="1">
      <alignment horizontal="general" vertical="center" textRotation="0" wrapText="1" indent="0" relativeIndent="0" readingOrder="0"/>
    </xf>
    <xf numFmtId="164" fontId="5" fillId="0" borderId="0" xfId="0" applyNumberFormat="1" applyFont="1" applyBorder="1"/>
    <xf numFmtId="0" fontId="4" fillId="2" borderId="0" xfId="0" applyFont="1" applyFill="1" applyAlignment="1">
      <alignment horizontal="general" vertical="center" textRotation="0" indent="0" relativeIndent="0" readingOrder="0"/>
    </xf>
    <xf numFmtId="0" fontId="3" fillId="0" borderId="4" xfId="0" applyFont="1" applyBorder="1" applyAlignment="1">
      <alignment horizontal="general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wrapText="1" indent="0" relativeIndent="0" readingOrder="0"/>
    </xf>
    <xf numFmtId="0" fontId="3" fillId="2" borderId="6" xfId="0" applyFont="1" applyFill="1" applyBorder="1" applyAlignment="1">
      <alignment horizontal="center" vertical="center" textRotation="0" indent="0" relativeIndent="0" readingOrder="0"/>
    </xf>
    <xf numFmtId="0" fontId="6" fillId="3" borderId="7" xfId="0" applyFont="1" applyFill="1" applyBorder="1" applyAlignment="1">
      <alignment horizontal="left" vertical="top" textRotation="0" wrapText="1" indent="0" relativeIndent="0" readingOrder="0"/>
    </xf>
    <xf numFmtId="14" fontId="4" fillId="0" borderId="8" xfId="0" applyNumberFormat="1" applyFont="1" applyBorder="1" applyAlignment="1">
      <alignment horizontal="right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indent="0" relativeIndent="0" readingOrder="0"/>
    </xf>
    <xf numFmtId="3" fontId="3" fillId="0" borderId="9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general" vertical="center" textRotation="0" indent="0" relativeIndent="0" readingOrder="0"/>
    </xf>
    <xf numFmtId="0" fontId="4" fillId="0" borderId="10" xfId="0" applyFont="1" applyBorder="1" applyAlignment="1">
      <alignment horizontal="general" vertical="center" textRotation="0" indent="0" relativeIndent="0" readingOrder="0"/>
    </xf>
    <xf numFmtId="0" fontId="3" fillId="0" borderId="10" xfId="0" applyFont="1" applyBorder="1" applyAlignment="1">
      <alignment horizontal="general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wrapText="1" indent="0" relativeIndent="0" readingOrder="0"/>
    </xf>
    <xf numFmtId="3" fontId="3" fillId="0" borderId="11" xfId="0" applyNumberFormat="1" applyFont="1" applyBorder="1" applyAlignment="1">
      <alignment horizontal="right" vertical="center" textRotation="0" indent="0" relativeIndent="0" readingOrder="0"/>
    </xf>
    <xf numFmtId="0" fontId="3" fillId="0" borderId="6" xfId="0" applyFont="1" applyBorder="1" applyAlignment="1">
      <alignment horizontal="general" vertical="center" textRotation="0" wrapText="1" indent="0" relativeIndent="0" readingOrder="0"/>
    </xf>
    <xf numFmtId="0" fontId="3" fillId="2" borderId="4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center" vertical="center" textRotation="0" indent="0" relativeIndent="0" readingOrder="0"/>
    </xf>
    <xf numFmtId="3" fontId="4" fillId="0" borderId="8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2" xfId="0" applyFont="1" applyFill="1" applyBorder="1" applyAlignment="1">
      <alignment horizontal="right" vertical="center" textRotation="0" indent="0" relativeIndent="0" readingOrder="0"/>
    </xf>
    <xf numFmtId="3" fontId="3" fillId="2" borderId="0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3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4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15" xfId="0" applyFont="1" applyBorder="1" applyAlignment="1">
      <alignment horizontal="general" vertical="center" textRotation="0" indent="0" relativeIndent="0" readingOrder="0"/>
    </xf>
    <xf numFmtId="0" fontId="3" fillId="0" borderId="16" xfId="0" applyFont="1" applyBorder="1" applyAlignment="1">
      <alignment horizontal="center" vertical="center" textRotation="0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8" xfId="0" applyNumberFormat="1" applyFont="1" applyFill="1" applyBorder="1" applyAlignment="1">
      <alignment horizontal="right" vertical="center" textRotation="0" wrapText="1" indent="0" relativeIndent="0" readingOrder="0"/>
    </xf>
    <xf numFmtId="0" fontId="4" fillId="0" borderId="11" xfId="0" applyFont="1" applyBorder="1" applyAlignment="1">
      <alignment horizontal="center" vertical="center" textRotation="0" wrapText="1" indent="0" relativeIndent="0" readingOrder="0"/>
    </xf>
    <xf numFmtId="0" fontId="3" fillId="0" borderId="19" xfId="0" applyFont="1" applyBorder="1" applyAlignment="1">
      <alignment horizontal="center" vertical="center" textRotation="0" wrapText="1" indent="0" relativeIndent="0" readingOrder="0"/>
    </xf>
    <xf numFmtId="0" fontId="4" fillId="2" borderId="5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indent="0" relativeIndent="0" readingOrder="0"/>
    </xf>
    <xf numFmtId="3" fontId="4" fillId="0" borderId="2" xfId="0" applyNumberFormat="1" applyFont="1" applyBorder="1" applyAlignment="1">
      <alignment horizontal="right" vertical="center" textRotation="0" indent="0" relativeIndent="0" readingOrder="0"/>
    </xf>
    <xf numFmtId="0" fontId="3" fillId="0" borderId="20" xfId="0" applyFont="1" applyBorder="1" applyAlignment="1">
      <alignment horizontal="general" vertical="center" textRotation="0" indent="0" relativeIndent="0" readingOrder="0"/>
    </xf>
    <xf numFmtId="0" fontId="4" fillId="0" borderId="20" xfId="0" applyFont="1" applyBorder="1" applyAlignment="1">
      <alignment horizontal="general" vertical="center" textRotation="0" wrapText="1" indent="0" relativeIndent="0" readingOrder="0"/>
    </xf>
    <xf numFmtId="0" fontId="7" fillId="2" borderId="0" xfId="0" applyFont="1" applyFill="1" applyAlignment="1">
      <alignment horizontal="center" vertical="bottom" textRotation="0" indent="0" relativeIndent="0" readingOrder="0"/>
    </xf>
    <xf numFmtId="0" fontId="8" fillId="0" borderId="0" xfId="0" applyFont="1"/>
    <xf numFmtId="3" fontId="3" fillId="2" borderId="6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wrapText="1" indent="0" relativeIndent="0" readingOrder="0"/>
    </xf>
    <xf numFmtId="0" fontId="9" fillId="0" borderId="0" xfId="0" applyFont="1"/>
    <xf numFmtId="0" fontId="3" fillId="2" borderId="21" xfId="0" applyFont="1" applyFill="1" applyBorder="1" applyAlignment="1">
      <alignment horizontal="center" vertical="center" textRotation="0" indent="0" relativeIndent="0" readingOrder="0"/>
    </xf>
    <xf numFmtId="3" fontId="4" fillId="0" borderId="22" xfId="0" applyNumberFormat="1" applyFont="1" applyBorder="1" applyAlignment="1">
      <alignment horizontal="right" vertical="center" textRotation="0" indent="0" relativeIndent="0" readingOrder="0"/>
    </xf>
    <xf numFmtId="0" fontId="10" fillId="0" borderId="0" xfId="0" applyFont="1" applyAlignment="1">
      <alignment horizontal="left" vertical="bottom" textRotation="0" indent="0" relativeIndent="0" readingOrder="0"/>
    </xf>
    <xf numFmtId="3" fontId="4" fillId="0" borderId="23" xfId="0" applyNumberFormat="1" applyFont="1" applyBorder="1" applyAlignment="1">
      <alignment horizontal="right" vertical="center" textRotation="0" indent="0" relativeIndent="0" readingOrder="0"/>
    </xf>
    <xf numFmtId="0" fontId="4" fillId="2" borderId="24" xfId="0" applyFont="1" applyFill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 applyAlignment="1">
      <alignment horizontal="left" vertical="center" textRotation="0" indent="0" relativeIndent="0" readingOrder="0"/>
    </xf>
    <xf numFmtId="0" fontId="3" fillId="0" borderId="0" xfId="0" applyFont="1" applyAlignment="1">
      <alignment horizontal="left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9" xfId="0" applyNumberFormat="1" applyFont="1" applyFill="1" applyBorder="1" applyAlignment="1">
      <alignment horizontal="right" vertical="center" textRotation="0" indent="0" relativeIndent="0" readingOrder="0"/>
    </xf>
    <xf numFmtId="49" fontId="6" fillId="3" borderId="7" xfId="0" applyNumberFormat="1" applyFont="1" applyFill="1" applyBorder="1" applyAlignment="1">
      <alignment horizontal="left" vertical="top" textRotation="0" wrapText="1" indent="0" relativeIndent="0" readingOrder="0"/>
    </xf>
    <xf numFmtId="0" fontId="3" fillId="0" borderId="4" xfId="0" applyFont="1" applyBorder="1" applyAlignment="1">
      <alignment horizontal="center" vertical="center" textRotation="0" wrapText="1" indent="0" relativeIndent="0" readingOrder="0"/>
    </xf>
    <xf numFmtId="0" fontId="0" fillId="0" borderId="7" xfId="0" applyBorder="1"/>
    <xf numFmtId="3" fontId="4" fillId="2" borderId="2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0" xfId="0" applyFont="1" applyAlignment="1">
      <alignment horizontal="general" vertical="center" textRotation="0" wrapText="1" indent="0" relativeIndent="0" readingOrder="0"/>
    </xf>
    <xf numFmtId="0" fontId="3" fillId="0" borderId="0" xfId="0" applyFont="1" applyAlignment="1">
      <alignment horizontal="general" vertical="center" textRotation="0" indent="0" relativeIndent="0" readingOrder="0"/>
    </xf>
    <xf numFmtId="0" fontId="0" fillId="2" borderId="0" xfId="0" applyFill="1" applyAlignment="1">
      <alignment horizontal="right" vertical="bottom" textRotation="0" indent="0" relativeIndent="0" readingOrder="0"/>
    </xf>
    <xf numFmtId="0" fontId="4" fillId="0" borderId="3" xfId="0" applyFont="1" applyBorder="1" applyAlignment="1">
      <alignment horizontal="general" vertical="center" textRotation="0" wrapText="1" indent="0" relativeIndent="0" readingOrder="0"/>
    </xf>
    <xf numFmtId="49" fontId="4" fillId="0" borderId="0" xfId="0" applyNumberFormat="1" applyFont="1" applyBorder="1"/>
    <xf numFmtId="0" fontId="4" fillId="0" borderId="26" xfId="0" applyFont="1" applyBorder="1" applyAlignment="1">
      <alignment horizontal="general" vertical="center" textRotation="0" wrapText="1" indent="0" relativeIndent="0" readingOrder="0"/>
    </xf>
    <xf numFmtId="3" fontId="3" fillId="2" borderId="2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23" xfId="0" applyNumberFormat="1" applyFont="1" applyFill="1" applyBorder="1" applyAlignment="1">
      <alignment horizontal="right" vertical="center" textRotation="0" wrapText="1" indent="0" relativeIndent="0" readingOrder="0"/>
    </xf>
    <xf numFmtId="0" fontId="8" fillId="2" borderId="0" xfId="0" applyFont="1" applyFill="1" applyAlignment="1">
      <alignment horizontal="center" vertical="bottom" textRotation="0" indent="0" relativeIndent="0" readingOrder="0"/>
    </xf>
    <xf numFmtId="9" fontId="4" fillId="0" borderId="5" xfId="1" applyFont="1" applyBorder="1" applyAlignment="1">
      <alignment horizontal="center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indent="0" relativeIndent="0" readingOrder="0"/>
    </xf>
    <xf numFmtId="0" fontId="4" fillId="2" borderId="2" xfId="0" applyFont="1" applyFill="1" applyBorder="1" applyAlignment="1">
      <alignment horizontal="center" vertical="center" textRotation="0" indent="0" relativeIndent="0" readingOrder="0"/>
    </xf>
    <xf numFmtId="0" fontId="4" fillId="0" borderId="20" xfId="0" applyFont="1" applyBorder="1" applyAlignment="1">
      <alignment horizontal="left" vertical="center" textRotation="0" indent="0" relativeIndent="0" readingOrder="0"/>
    </xf>
    <xf numFmtId="0" fontId="3" fillId="0" borderId="20" xfId="0" applyFont="1" applyBorder="1" applyAlignment="1">
      <alignment horizontal="left" vertical="center" textRotation="0" wrapText="1" indent="0" relativeIndent="0" readingOrder="0"/>
    </xf>
    <xf numFmtId="0" fontId="0" fillId="2" borderId="0" xfId="0" applyFill="1" applyAlignment="1">
      <alignment horizontal="general" vertical="bottom" textRotation="0" wrapText="1" indent="0" relativeIndent="0" readingOrder="0"/>
    </xf>
    <xf numFmtId="0" fontId="4" fillId="0" borderId="0" xfId="0" applyFont="1" applyBorder="1"/>
    <xf numFmtId="3" fontId="3" fillId="0" borderId="27" xfId="0" applyNumberFormat="1" applyFont="1" applyBorder="1" applyAlignment="1">
      <alignment horizontal="right" vertical="center" textRotation="0" indent="0" relativeIndent="0" readingOrder="0"/>
    </xf>
    <xf numFmtId="0" fontId="11" fillId="0" borderId="0" xfId="0" applyFont="1" applyAlignment="1">
      <alignment horizontal="left" vertical="bottom" textRotation="0" indent="0" relativeIndent="0" readingOrder="0"/>
    </xf>
    <xf numFmtId="0" fontId="10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20" xfId="0" applyFont="1" applyFill="1" applyBorder="1" applyAlignment="1">
      <alignment horizontal="general" vertical="center" textRotation="0" wrapText="1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0" xfId="0" applyFont="1" applyAlignment="1">
      <alignment horizontal="justify" vertical="bottom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indent="0" relativeIndent="0" readingOrder="0"/>
    </xf>
    <xf numFmtId="0" fontId="0" fillId="2" borderId="0" xfId="0" applyFill="1"/>
    <xf numFmtId="0" fontId="3" fillId="0" borderId="26" xfId="0" applyFont="1" applyBorder="1" applyAlignment="1">
      <alignment horizontal="center" vertical="center" textRotation="0" indent="0" relativeIndent="0" readingOrder="0"/>
    </xf>
    <xf numFmtId="9" fontId="4" fillId="0" borderId="9" xfId="1" applyFont="1" applyBorder="1" applyAlignment="1">
      <alignment horizontal="right" vertical="center" textRotation="0" indent="0" relativeIndent="0" readingOrder="0"/>
    </xf>
    <xf numFmtId="0" fontId="0" fillId="0" borderId="0" xfId="0" applyAlignment="1">
      <alignment horizontal="center" vertical="bottom" textRotation="0" indent="0" relativeIndent="0" readingOrder="0"/>
    </xf>
    <xf numFmtId="0" fontId="3" fillId="0" borderId="28" xfId="0" applyFont="1" applyBorder="1" applyAlignment="1">
      <alignment horizontal="general" vertical="center" textRotation="0" wrapText="1" indent="0" relativeIndent="0" readingOrder="0"/>
    </xf>
    <xf numFmtId="3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3" xfId="0" applyBorder="1"/>
    <xf numFmtId="49" fontId="5" fillId="0" borderId="0" xfId="0" applyNumberFormat="1" applyFont="1" applyBorder="1"/>
    <xf numFmtId="0" fontId="11" fillId="0" borderId="0" xfId="0" applyFont="1" applyAlignment="1">
      <alignment horizontal="justify" vertical="bottom" textRotation="0" indent="0" relativeIndent="0" readingOrder="0"/>
    </xf>
    <xf numFmtId="0" fontId="10" fillId="0" borderId="29" xfId="0" applyFont="1" applyBorder="1" applyAlignment="1">
      <alignment horizontal="left" vertical="bottom" textRotation="0" wrapText="1" indent="0" relativeIndent="0" readingOrder="0"/>
    </xf>
    <xf numFmtId="0" fontId="4" fillId="0" borderId="30" xfId="0" applyFont="1" applyBorder="1" applyAlignment="1">
      <alignment horizontal="general" vertical="center" textRotation="0" wrapText="1" indent="0" relativeIndent="0" readingOrder="0"/>
    </xf>
    <xf numFmtId="3" fontId="4" fillId="2" borderId="31" xfId="0" applyNumberFormat="1" applyFont="1" applyFill="1" applyBorder="1" applyAlignment="1">
      <alignment horizontal="right" vertical="center" textRotation="0" indent="0" relativeIndent="0" readingOrder="0"/>
    </xf>
    <xf numFmtId="3" fontId="4" fillId="0" borderId="17" xfId="0" applyNumberFormat="1" applyFont="1" applyBorder="1" applyAlignment="1">
      <alignment horizontal="right" vertical="center" textRotation="0" wrapText="1" indent="0" relativeIndent="0" readingOrder="0"/>
    </xf>
    <xf numFmtId="0" fontId="3" fillId="2" borderId="19" xfId="0" applyFont="1" applyFill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general" vertical="center" textRotation="0" wrapText="1" indent="0" relativeIndent="0" readingOrder="0"/>
    </xf>
    <xf numFmtId="0" fontId="10" fillId="0" borderId="0" xfId="0" applyFont="1"/>
    <xf numFmtId="3" fontId="3" fillId="0" borderId="18" xfId="0" applyNumberFormat="1" applyFont="1" applyBorder="1" applyAlignment="1">
      <alignment horizontal="right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indent="0" relativeIndent="0" readingOrder="0"/>
    </xf>
    <xf numFmtId="0" fontId="0" fillId="2" borderId="0" xfId="0" applyFont="1" applyFill="1"/>
    <xf numFmtId="0" fontId="3" fillId="2" borderId="0" xfId="0" applyFont="1" applyFill="1" applyAlignment="1">
      <alignment horizontal="right" vertical="center" textRotation="0" indent="0" relativeIndent="0" readingOrder="0"/>
    </xf>
    <xf numFmtId="0" fontId="4" fillId="2" borderId="9" xfId="0" applyFont="1" applyFill="1" applyBorder="1" applyAlignment="1">
      <alignment horizontal="center" vertical="center" textRotation="0" indent="0" relativeIndent="0" readingOrder="0"/>
    </xf>
    <xf numFmtId="0" fontId="3" fillId="0" borderId="32" xfId="0" applyFont="1" applyBorder="1" applyAlignment="1">
      <alignment horizontal="center" vertical="center" textRotation="0" wrapText="1" indent="0" relativeIndent="0" readingOrder="0"/>
    </xf>
    <xf numFmtId="3" fontId="4" fillId="0" borderId="33" xfId="0" applyNumberFormat="1" applyFont="1" applyBorder="1" applyAlignment="1">
      <alignment horizontal="right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indent="0" relativeIndent="0" readingOrder="0"/>
    </xf>
    <xf numFmtId="1" fontId="3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35" xfId="0" applyFont="1" applyBorder="1" applyAlignment="1">
      <alignment horizontal="general" vertical="center" textRotation="0" indent="0" relativeIndent="0" readingOrder="0"/>
    </xf>
    <xf numFmtId="0" fontId="10" fillId="2" borderId="0" xfId="0" applyFont="1" applyFill="1" applyAlignment="1">
      <alignment horizontal="left" vertical="bottom" textRotation="0" indent="0" relativeIndent="0" readingOrder="0"/>
    </xf>
    <xf numFmtId="0" fontId="4" fillId="0" borderId="24" xfId="0" applyFont="1" applyBorder="1" applyAlignment="1">
      <alignment horizontal="general" vertical="center" textRotation="0" wrapText="1" indent="0" relativeIndent="0" readingOrder="0"/>
    </xf>
    <xf numFmtId="0" fontId="4" fillId="0" borderId="0" xfId="0" applyFont="1" applyBorder="1" applyAlignment="1">
      <alignment horizontal="left" vertical="top" textRotation="0" indent="0" relativeIndent="0" readingOrder="0"/>
    </xf>
    <xf numFmtId="0" fontId="3" fillId="2" borderId="6" xfId="0" applyFont="1" applyFill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center" vertical="center" textRotation="0" indent="0" relativeIndent="0" readingOrder="0"/>
    </xf>
    <xf numFmtId="3" fontId="4" fillId="0" borderId="9" xfId="0" applyNumberFormat="1" applyFont="1" applyBorder="1" applyAlignment="1">
      <alignment horizontal="right" vertical="center" textRotation="0" wrapText="1" indent="0" relativeIndent="0" readingOrder="0"/>
    </xf>
    <xf numFmtId="3" fontId="3" fillId="0" borderId="9" xfId="0" applyNumberFormat="1" applyFont="1" applyBorder="1" applyAlignment="1">
      <alignment horizontal="right" vertical="center" textRotation="0" indent="0" relativeIndent="0" readingOrder="0"/>
    </xf>
    <xf numFmtId="0" fontId="3" fillId="0" borderId="1" xfId="0" applyFont="1" applyBorder="1" applyAlignment="1">
      <alignment horizontal="general" vertical="center" textRotation="0" wrapText="1" indent="0" relativeIndent="0" readingOrder="0"/>
    </xf>
    <xf numFmtId="0" fontId="3" fillId="0" borderId="36" xfId="0" applyFont="1" applyBorder="1" applyAlignment="1">
      <alignment horizontal="center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3" fillId="2" borderId="4" xfId="0" applyFont="1" applyFill="1" applyBorder="1" applyAlignment="1">
      <alignment horizontal="center" vertical="center" textRotation="0" wrapText="1" indent="0" relativeIndent="0" readingOrder="0"/>
    </xf>
    <xf numFmtId="3" fontId="4" fillId="2" borderId="2" xfId="0" applyNumberFormat="1" applyFont="1" applyFill="1" applyBorder="1" applyAlignment="1">
      <alignment horizontal="center" vertical="center" textRotation="0" indent="0" relativeIndent="0" readingOrder="0"/>
    </xf>
    <xf numFmtId="0" fontId="4" fillId="2" borderId="4" xfId="0" applyFont="1" applyFill="1" applyBorder="1" applyAlignment="1">
      <alignment horizontal="general" vertical="center" textRotation="0" wrapText="1" indent="0" relativeIndent="0" readingOrder="0"/>
    </xf>
    <xf numFmtId="0" fontId="0" fillId="0" borderId="0" xfId="0" applyBorder="1"/>
    <xf numFmtId="3" fontId="4" fillId="0" borderId="25" xfId="0" applyNumberFormat="1" applyFont="1" applyBorder="1" applyAlignment="1">
      <alignment horizontal="right" vertical="center" textRotation="0" indent="0" relativeIndent="0" readingOrder="0"/>
    </xf>
    <xf numFmtId="0" fontId="4" fillId="0" borderId="37" xfId="0" applyFont="1" applyBorder="1" applyAlignment="1">
      <alignment horizontal="general" vertical="center" textRotation="0" wrapText="1" indent="0" relativeIndent="0" readingOrder="0"/>
    </xf>
    <xf numFmtId="0" fontId="4" fillId="0" borderId="36" xfId="0" applyFont="1" applyBorder="1" applyAlignment="1">
      <alignment horizontal="general" vertical="center" textRotation="0" wrapText="1" indent="0" relativeIndent="0" readingOrder="0"/>
    </xf>
    <xf numFmtId="0" fontId="4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indent="0" relativeIndent="0" readingOrder="0"/>
    </xf>
    <xf numFmtId="9" fontId="12" fillId="2" borderId="2" xfId="1" applyFont="1" applyFill="1" applyBorder="1" applyAlignment="1">
      <alignment horizontal="right" vertical="center" textRotation="0" indent="0" relativeIndent="0" readingOrder="0"/>
    </xf>
    <xf numFmtId="0" fontId="4" fillId="2" borderId="6" xfId="0" applyFont="1" applyFill="1" applyBorder="1" applyAlignment="1">
      <alignment horizontal="general" vertical="center" textRotation="0" wrapText="1" indent="0" relativeIndent="0" readingOrder="0"/>
    </xf>
    <xf numFmtId="0" fontId="7" fillId="0" borderId="0" xfId="0" applyFont="1"/>
    <xf numFmtId="3" fontId="3" fillId="2" borderId="1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indent="0" relativeIndent="0" readingOrder="0"/>
    </xf>
    <xf numFmtId="3" fontId="3" fillId="0" borderId="12" xfId="0" applyNumberFormat="1" applyFont="1" applyBorder="1" applyAlignment="1">
      <alignment horizontal="right" vertical="center" textRotation="0" wrapText="1" indent="0" relativeIndent="0" readingOrder="0"/>
    </xf>
    <xf numFmtId="0" fontId="4" fillId="0" borderId="8" xfId="0" applyFont="1" applyBorder="1" applyAlignment="1">
      <alignment horizontal="center" vertical="center" textRotation="0" indent="0" relativeIndent="0" readingOrder="0"/>
    </xf>
    <xf numFmtId="0" fontId="13" fillId="2" borderId="0" xfId="0" applyFont="1" applyFill="1"/>
    <xf numFmtId="3" fontId="4" fillId="2" borderId="8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38" xfId="0" applyFont="1" applyBorder="1" applyAlignment="1">
      <alignment horizontal="general" vertical="center" textRotation="0" wrapText="1" indent="0" relativeIndent="0" readingOrder="0"/>
    </xf>
    <xf numFmtId="0" fontId="4" fillId="0" borderId="32" xfId="0" applyFont="1" applyBorder="1" applyAlignment="1">
      <alignment horizontal="general" vertical="center" textRotation="0" wrapText="1" indent="0" relativeIndent="0" readingOrder="0"/>
    </xf>
    <xf numFmtId="3" fontId="4" fillId="0" borderId="2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0" xfId="0" applyFont="1" applyBorder="1" applyAlignment="1">
      <alignment horizontal="general" vertical="center" textRotation="0" wrapText="1" indent="0" relativeIndent="0" readingOrder="0"/>
    </xf>
    <xf numFmtId="3" fontId="3" fillId="0" borderId="2" xfId="0" applyNumberFormat="1" applyFont="1" applyBorder="1" applyAlignment="1">
      <alignment horizontal="right" vertical="center" textRotation="0" indent="0" relativeIndent="0" readingOrder="0"/>
    </xf>
    <xf numFmtId="0" fontId="3" fillId="2" borderId="21" xfId="0" applyFont="1" applyFill="1" applyBorder="1" applyAlignment="1">
      <alignment horizontal="center" vertical="center" textRotation="0" wrapText="1" indent="0" relativeIndent="0" readingOrder="0"/>
    </xf>
    <xf numFmtId="3" fontId="3" fillId="0" borderId="22" xfId="0" applyNumberFormat="1" applyFont="1" applyBorder="1" applyAlignment="1">
      <alignment horizontal="right" vertical="center" textRotation="0" indent="0" relativeIndent="0" readingOrder="0"/>
    </xf>
    <xf numFmtId="3" fontId="4" fillId="0" borderId="39" xfId="0" applyNumberFormat="1" applyFont="1" applyBorder="1" applyAlignment="1">
      <alignment horizontal="righ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indent="0" relativeIndent="0" readingOrder="0"/>
    </xf>
    <xf numFmtId="0" fontId="14" fillId="0" borderId="0" xfId="0" applyFont="1" applyAlignment="1">
      <alignment horizontal="general" vertical="center" textRotation="0" indent="0" relativeIndent="0" readingOrder="0"/>
    </xf>
    <xf numFmtId="164" fontId="4" fillId="0" borderId="0" xfId="0" applyNumberFormat="1" applyFont="1" applyBorder="1" applyAlignment="1">
      <alignment horizontal="right" vertical="top" textRotation="0" indent="0" relativeIndent="0" readingOrder="0"/>
    </xf>
    <xf numFmtId="0" fontId="11" fillId="2" borderId="0" xfId="0" applyFont="1" applyFill="1"/>
    <xf numFmtId="3" fontId="4" fillId="2" borderId="41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0" borderId="9" xfId="0" applyNumberFormat="1" applyFont="1" applyBorder="1" applyAlignment="1">
      <alignment horizontal="center" vertical="center" textRotation="0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2" xfId="0" applyFont="1" applyFill="1" applyBorder="1" applyAlignment="1">
      <alignment horizontal="center" vertical="center" textRotation="0" indent="0" relativeIndent="0" readingOrder="0"/>
    </xf>
    <xf numFmtId="3" fontId="3" fillId="0" borderId="31" xfId="0" applyNumberFormat="1" applyFont="1" applyBorder="1" applyAlignment="1">
      <alignment horizontal="right" vertical="center" textRotation="0" wrapText="1" indent="0" relativeIndent="0" readingOrder="0"/>
    </xf>
    <xf numFmtId="0" fontId="3" fillId="0" borderId="26" xfId="0" applyFont="1" applyBorder="1" applyAlignment="1">
      <alignment horizontal="general" vertical="center" textRotation="0" wrapText="1" indent="0" relativeIndent="0" readingOrder="0"/>
    </xf>
    <xf numFmtId="165" fontId="4" fillId="0" borderId="0" xfId="0" applyNumberFormat="1" applyFont="1" applyBorder="1" applyAlignment="1">
      <alignment horizontal="right" vertical="top" textRotation="0" indent="0" relativeIndent="0" readingOrder="0"/>
    </xf>
    <xf numFmtId="0" fontId="4" fillId="2" borderId="4" xfId="0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indent="0" relativeIndent="0" readingOrder="0"/>
    </xf>
    <xf numFmtId="0" fontId="4" fillId="0" borderId="0" xfId="0" applyFont="1" applyAlignment="1">
      <alignment horizontal="general" vertical="center" textRotation="0" indent="0" relativeIndent="0" readingOrder="0"/>
    </xf>
    <xf numFmtId="49" fontId="5" fillId="0" borderId="0" xfId="0" applyNumberFormat="1" applyFont="1" applyBorder="1"/>
    <xf numFmtId="0" fontId="0" fillId="2" borderId="0" xfId="0" applyFont="1" applyFill="1" applyAlignment="1">
      <alignment horizontal="right" vertical="center" textRotation="0" wrapText="1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3" fillId="0" borderId="16" xfId="0" applyFont="1" applyBorder="1" applyAlignment="1">
      <alignment horizontal="right" vertical="center" textRotation="0" indent="0" relativeIndent="0" readingOrder="0"/>
    </xf>
    <xf numFmtId="0" fontId="4" fillId="2" borderId="5" xfId="0" applyFont="1" applyFill="1" applyBorder="1" applyAlignment="1">
      <alignment horizontal="center" vertical="center" textRotation="0" indent="0" relativeIndent="0" readingOrder="0"/>
    </xf>
    <xf numFmtId="3" fontId="4" fillId="2" borderId="1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12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5" xfId="1" applyFont="1" applyBorder="1" applyAlignment="1">
      <alignment horizontal="right" vertical="center" textRotation="0" indent="0" relativeIndent="0" readingOrder="0"/>
    </xf>
    <xf numFmtId="3" fontId="15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40" xfId="0" applyFont="1" applyBorder="1" applyAlignment="1">
      <alignment horizontal="center" vertical="center" textRotation="0" wrapText="1" indent="0" relativeIndent="0" readingOrder="0"/>
    </xf>
    <xf numFmtId="3" fontId="15" fillId="2" borderId="0" xfId="0" applyNumberFormat="1" applyFont="1" applyFill="1" applyBorder="1" applyAlignment="1">
      <alignment horizontal="center" vertical="center" textRotation="0" wrapText="1" indent="0" relativeIndent="0" readingOrder="0"/>
    </xf>
    <xf numFmtId="164" fontId="6" fillId="3" borderId="7" xfId="0" applyNumberFormat="1" applyFont="1" applyFill="1" applyBorder="1" applyAlignment="1">
      <alignment horizontal="right" vertical="top" textRotation="0" wrapText="1" indent="0" relativeIndent="0" readingOrder="0"/>
    </xf>
    <xf numFmtId="0" fontId="4" fillId="0" borderId="22" xfId="0" applyFont="1" applyBorder="1" applyAlignment="1">
      <alignment horizontal="center" vertical="center" textRotation="0" wrapText="1" indent="0" relativeIndent="0" readingOrder="0"/>
    </xf>
    <xf numFmtId="0" fontId="4" fillId="0" borderId="9" xfId="0" applyFont="1" applyBorder="1" applyAlignment="1">
      <alignment horizontal="right" vertical="center" textRotation="0" indent="0" relativeIndent="0" readingOrder="0"/>
    </xf>
    <xf numFmtId="0" fontId="3" fillId="0" borderId="39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general" vertical="center" textRotation="0" wrapText="1" indent="0" relativeIndent="0" readingOrder="0"/>
    </xf>
    <xf numFmtId="164" fontId="4" fillId="0" borderId="0" xfId="0" applyNumberFormat="1" applyFont="1" applyBorder="1"/>
    <xf numFmtId="0" fontId="4" fillId="0" borderId="4" xfId="0" applyFont="1" applyBorder="1" applyAlignment="1">
      <alignment horizontal="general" vertical="center" textRotation="0" wrapText="1" indent="0" relativeIndent="0" readingOrder="0"/>
    </xf>
    <xf numFmtId="0" fontId="3" fillId="0" borderId="4" xfId="0" applyFont="1" applyBorder="1" applyAlignment="1">
      <alignment horizontal="general" vertical="center" textRotation="0" indent="0" relativeIndent="0" readingOrder="0"/>
    </xf>
    <xf numFmtId="3" fontId="4" fillId="0" borderId="5" xfId="0" applyNumberFormat="1" applyFont="1" applyBorder="1" applyAlignment="1">
      <alignment horizontal="center" vertical="center" textRotation="0" wrapText="1" indent="0" relativeIndent="0" readingOrder="0"/>
    </xf>
    <xf numFmtId="0" fontId="3" fillId="0" borderId="42" xfId="0" applyFont="1" applyBorder="1" applyAlignment="1">
      <alignment horizontal="right" vertical="center" textRotation="0" indent="0" relativeIndent="0" readingOrder="0"/>
    </xf>
    <xf numFmtId="3" fontId="4" fillId="0" borderId="43" xfId="0" applyNumberFormat="1" applyFont="1" applyBorder="1" applyAlignment="1">
      <alignment horizontal="right" vertical="center" textRotation="0" indent="0" relativeIndent="0" readingOrder="0"/>
    </xf>
    <xf numFmtId="3" fontId="4" fillId="0" borderId="13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3" xfId="0" applyNumberFormat="1" applyFont="1" applyBorder="1" applyAlignment="1">
      <alignment horizontal="right" vertical="center" textRotation="0" indent="0" relativeIndent="0" readingOrder="0"/>
    </xf>
    <xf numFmtId="0" fontId="3" fillId="0" borderId="26" xfId="0" applyFont="1" applyBorder="1" applyAlignment="1">
      <alignment horizontal="center" vertical="center" textRotation="0" wrapText="1" indent="0" relativeIndent="0" readingOrder="0"/>
    </xf>
    <xf numFmtId="3" fontId="4" fillId="2" borderId="39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2" borderId="1" xfId="0" applyFont="1" applyFill="1" applyBorder="1" applyAlignment="1">
      <alignment horizontal="center" vertical="center" textRotation="0" indent="0" relativeIndent="0" readingOrder="0"/>
    </xf>
    <xf numFmtId="3" fontId="4" fillId="2" borderId="3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0" borderId="0" xfId="0" applyAlignment="1">
      <alignment horizontal="general" vertical="bottom" textRotation="0" wrapText="1" indent="0" relativeIndent="0" readingOrder="0"/>
    </xf>
    <xf numFmtId="0" fontId="4" fillId="0" borderId="10" xfId="0" applyFont="1" applyBorder="1" applyAlignment="1">
      <alignment horizontal="general" vertical="center" textRotation="0" wrapText="1" indent="0" relativeIndent="0" readingOrder="0"/>
    </xf>
    <xf numFmtId="0" fontId="3" fillId="0" borderId="10" xfId="0" applyFont="1" applyBorder="1" applyAlignment="1">
      <alignment horizontal="general" vertical="center" textRotation="0" indent="0" relativeIndent="0" readingOrder="0"/>
    </xf>
    <xf numFmtId="165" fontId="4" fillId="0" borderId="0" xfId="0" applyNumberFormat="1" applyFont="1" applyBorder="1"/>
    <xf numFmtId="3" fontId="4" fillId="2" borderId="27" xfId="0" applyNumberFormat="1" applyFont="1" applyFill="1" applyBorder="1" applyAlignment="1">
      <alignment horizontal="right" vertical="center" textRotation="0" indent="0" relativeIndent="0" readingOrder="0"/>
    </xf>
    <xf numFmtId="9" fontId="4" fillId="0" borderId="8" xfId="1" applyFont="1" applyBorder="1" applyAlignment="1">
      <alignment horizontal="right" vertical="center" textRotation="0" indent="0" relativeIndent="0" readingOrder="0"/>
    </xf>
    <xf numFmtId="0" fontId="3" fillId="0" borderId="15" xfId="0" applyFont="1" applyBorder="1" applyAlignment="1">
      <alignment horizontal="center" vertical="center" textRotation="0" wrapText="1" indent="0" relativeIndent="0" readingOrder="0"/>
    </xf>
    <xf numFmtId="0" fontId="4" fillId="0" borderId="6" xfId="0" applyFont="1" applyBorder="1" applyAlignment="1">
      <alignment horizontal="general" vertical="center" textRotation="0" wrapText="1" indent="0" relativeIndent="0" readingOrder="0"/>
    </xf>
    <xf numFmtId="0" fontId="3" fillId="0" borderId="6" xfId="0" applyFont="1" applyBorder="1" applyAlignment="1">
      <alignment horizontal="general" vertical="center" textRotation="0" indent="0" relativeIndent="0" readingOrder="0"/>
    </xf>
    <xf numFmtId="0" fontId="5" fillId="0" borderId="0" xfId="0" applyFont="1" applyBorder="1"/>
    <xf numFmtId="3" fontId="4" fillId="0" borderId="8" xfId="0" applyNumberFormat="1" applyFont="1" applyBorder="1" applyAlignment="1">
      <alignment horizontal="right" vertical="center" textRotation="0" indent="0" relativeIndent="0" readingOrder="0"/>
    </xf>
    <xf numFmtId="3" fontId="3" fillId="2" borderId="31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12" xfId="0" applyFont="1" applyBorder="1" applyAlignment="1">
      <alignment horizontal="center" vertical="center" textRotation="0" wrapText="1" indent="0" relativeIndent="0" readingOrder="0"/>
    </xf>
    <xf numFmtId="0" fontId="4" fillId="0" borderId="10" xfId="0" applyFont="1" applyBorder="1" applyAlignment="1">
      <alignment horizontal="left" vertical="center" textRotation="0" indent="0" relativeIndent="0" readingOrder="0"/>
    </xf>
    <xf numFmtId="0" fontId="3" fillId="0" borderId="1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center" vertical="center" textRotation="0" wrapText="1" indent="0" relativeIndent="0" readingOrder="0"/>
    </xf>
    <xf numFmtId="0" fontId="4" fillId="2" borderId="0" xfId="0" applyFont="1" applyFill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bottom" textRotation="0" indent="0" relativeIndent="0" readingOrder="0"/>
    </xf>
    <xf numFmtId="0" fontId="0" fillId="2" borderId="0" xfId="0" applyFont="1" applyFill="1" applyAlignment="1">
      <alignment horizontal="right" vertical="bottom" textRotation="0" wrapText="1" indent="0" relativeIndent="0" readingOrder="0"/>
    </xf>
    <xf numFmtId="0" fontId="4" fillId="2" borderId="44" xfId="0" applyFont="1" applyFill="1" applyBorder="1" applyAlignment="1">
      <alignment horizontal="right" vertical="center" textRotation="0" wrapText="1" indent="0" relativeIndent="0" readingOrder="0"/>
    </xf>
    <xf numFmtId="0" fontId="4" fillId="3" borderId="7" xfId="0" applyFont="1" applyFill="1" applyBorder="1"/>
    <xf numFmtId="9" fontId="4" fillId="0" borderId="12" xfId="1" applyFont="1" applyBorder="1" applyAlignment="1">
      <alignment horizontal="right" vertical="center" textRotation="0" indent="0" relativeIndent="0" readingOrder="0"/>
    </xf>
    <xf numFmtId="0" fontId="8" fillId="2" borderId="0" xfId="0" applyFont="1" applyFill="1" applyAlignment="1">
      <alignment horizontal="right" vertical="center" textRotation="0" wrapText="1" indent="0" relativeIndent="0" readingOrder="0"/>
    </xf>
    <xf numFmtId="0" fontId="4" fillId="0" borderId="15" xfId="0" applyFont="1" applyBorder="1" applyAlignment="1">
      <alignment horizontal="general" vertical="center" textRotation="0" wrapText="1" indent="0" relativeIndent="0" readingOrder="0"/>
    </xf>
    <xf numFmtId="0" fontId="3" fillId="0" borderId="34" xfId="0" applyFont="1" applyBorder="1" applyAlignment="1">
      <alignment horizontal="center" vertical="center" textRotation="0" wrapText="1" indent="0" relativeIndent="0" readingOrder="0"/>
    </xf>
    <xf numFmtId="0" fontId="4" fillId="0" borderId="0" xfId="0" applyFont="1"/>
    <xf numFmtId="0" fontId="3" fillId="0" borderId="38" xfId="0" applyFont="1" applyBorder="1" applyAlignment="1">
      <alignment horizontal="center" vertical="center" textRotation="0" wrapText="1" indent="0" relativeIndent="0" readingOrder="0"/>
    </xf>
    <xf numFmtId="3" fontId="4" fillId="2" borderId="17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17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45" xfId="0" applyNumberFormat="1" applyFont="1" applyFill="1" applyBorder="1" applyAlignment="1">
      <alignment horizontal="right" vertical="center" textRotation="0" wrapText="1" indent="0" relativeIndent="0" readingOrder="0"/>
    </xf>
    <xf numFmtId="164" fontId="5" fillId="0" borderId="0" xfId="0" applyNumberFormat="1" applyFont="1" applyBorder="1"/>
    <xf numFmtId="0" fontId="3" fillId="0" borderId="19" xfId="0" applyFont="1" applyBorder="1" applyAlignment="1">
      <alignment horizontal="center" vertical="center" textRotation="0" indent="0" relativeIndent="0" readingOrder="0"/>
    </xf>
    <xf numFmtId="0" fontId="4" fillId="0" borderId="31" xfId="0" applyFont="1" applyBorder="1" applyAlignment="1">
      <alignment horizontal="right" vertical="center" textRotation="0" wrapText="1" indent="0" relativeIndent="0" readingOrder="0"/>
    </xf>
    <xf numFmtId="0" fontId="4" fillId="2" borderId="2" xfId="0" applyFont="1" applyFill="1" applyBorder="1" applyAlignment="1">
      <alignment horizontal="right" vertical="center" textRotation="0" indent="0" relativeIndent="0" readingOrder="0"/>
    </xf>
    <xf numFmtId="0" fontId="4" fillId="0" borderId="9" xfId="0" applyFont="1" applyBorder="1" applyAlignment="1">
      <alignment horizontal="center" vertical="center" textRotation="0" wrapText="1" indent="0" relativeIndent="0" readingOrder="0"/>
    </xf>
    <xf numFmtId="0" fontId="16" fillId="2" borderId="0" xfId="0" applyFont="1" applyFill="1" applyAlignment="1">
      <alignment horizontal="center" vertical="bottom" textRotation="0" indent="0" relativeIndent="0" readingOrder="0"/>
    </xf>
    <xf numFmtId="3" fontId="4" fillId="0" borderId="5" xfId="0" applyNumberFormat="1" applyFont="1" applyBorder="1" applyAlignment="1">
      <alignment horizontal="right" vertical="center" textRotation="0" indent="0" relativeIndent="0" readingOrder="0"/>
    </xf>
    <xf numFmtId="3" fontId="3" fillId="0" borderId="5" xfId="0" applyNumberFormat="1" applyFont="1" applyBorder="1" applyAlignment="1">
      <alignment horizontal="right" vertical="center" textRotation="0" wrapText="1" indent="0" relativeIndent="0" readingOrder="0"/>
    </xf>
    <xf numFmtId="165" fontId="5" fillId="0" borderId="0" xfId="0" applyNumberFormat="1" applyFont="1" applyBorder="1"/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0" fontId="3" fillId="0" borderId="6" xfId="0" applyFont="1" applyBorder="1" applyAlignment="1">
      <alignment horizontal="center" vertical="center" textRotation="0" indent="0" relativeIndent="0" readingOrder="0"/>
    </xf>
    <xf numFmtId="0" fontId="16" fillId="2" borderId="0" xfId="0" applyFont="1" applyFill="1"/>
    <xf numFmtId="0" fontId="4" fillId="2" borderId="1" xfId="0" applyFont="1" applyFill="1" applyBorder="1" applyAlignment="1">
      <alignment horizontal="general" vertical="center" textRotation="0" wrapText="1" indent="0" relativeIndent="0" readingOrder="0"/>
    </xf>
    <xf numFmtId="3" fontId="4" fillId="2" borderId="9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10" xfId="0" applyFont="1" applyFill="1" applyBorder="1" applyAlignment="1">
      <alignment horizontal="general" vertical="center" textRotation="0" wrapText="1" indent="0" relativeIndent="0" readingOrder="0"/>
    </xf>
    <xf numFmtId="0" fontId="3" fillId="0" borderId="1" xfId="0" applyFont="1" applyBorder="1" applyAlignment="1">
      <alignment horizontal="center" vertical="center" textRotation="0" wrapText="1" indent="0" relativeIndent="0" readingOrder="0"/>
    </xf>
    <xf numFmtId="3" fontId="4" fillId="0" borderId="12" xfId="0" applyNumberFormat="1" applyFont="1" applyBorder="1" applyAlignment="1">
      <alignment horizontal="right" vertical="center" textRotation="0" wrapText="1" indent="0" relativeIndent="0" readingOrder="0"/>
    </xf>
    <xf numFmtId="3" fontId="3" fillId="0" borderId="12" xfId="0" applyNumberFormat="1" applyFont="1" applyBorder="1" applyAlignment="1">
      <alignment horizontal="right" vertical="center" textRotation="0" indent="0" relativeIndent="0" readingOrder="0"/>
    </xf>
    <xf numFmtId="0" fontId="3" fillId="0" borderId="4" xfId="0" applyFont="1" applyBorder="1" applyAlignment="1">
      <alignment horizontal="center" vertical="center" textRotation="0" indent="0" relativeIndent="0" readingOrder="0"/>
    </xf>
    <xf numFmtId="0" fontId="3" fillId="2" borderId="16" xfId="0" applyFont="1" applyFill="1" applyBorder="1" applyAlignment="1">
      <alignment horizontal="right" vertical="center" textRotation="0" indent="0" relativeIndent="0" readingOrder="0"/>
    </xf>
    <xf numFmtId="49" fontId="4" fillId="0" borderId="0" xfId="0" applyNumberFormat="1" applyFont="1" applyBorder="1" applyAlignment="1">
      <alignment horizontal="left" vertical="top" textRotation="0" indent="0" relativeIndent="0" readingOrder="0"/>
    </xf>
    <xf numFmtId="0" fontId="0" fillId="2" borderId="0" xfId="0" applyFont="1" applyFill="1" applyAlignment="1">
      <alignment horizontal="right" vertical="bottom" textRotation="0" indent="0" relativeIndent="0" readingOrder="0"/>
    </xf>
    <xf numFmtId="3" fontId="4" fillId="2" borderId="24" xfId="0" applyNumberFormat="1" applyFont="1" applyFill="1" applyBorder="1" applyAlignment="1">
      <alignment horizontal="right" vertical="center" textRotation="0" wrapText="1" indent="0" relativeIndent="0" readingOrder="0"/>
    </xf>
    <xf numFmtId="0" fontId="0" fillId="2" borderId="0" xfId="0" applyFill="1" applyBorder="1"/>
    <xf numFmtId="0" fontId="3" fillId="2" borderId="39" xfId="0" applyFont="1" applyFill="1" applyBorder="1" applyAlignment="1">
      <alignment horizontal="center" vertical="center" textRotation="0" wrapText="1" indent="0" relativeIndent="0" readingOrder="0"/>
    </xf>
    <xf numFmtId="0" fontId="3" fillId="2" borderId="42" xfId="0" applyFont="1" applyFill="1" applyBorder="1" applyAlignment="1">
      <alignment horizontal="right" vertical="center" textRotation="0" indent="0" relativeIndent="0" readingOrder="0"/>
    </xf>
    <xf numFmtId="3" fontId="4" fillId="2" borderId="46" xfId="0" applyNumberFormat="1" applyFont="1" applyFill="1" applyBorder="1" applyAlignment="1">
      <alignment horizontal="right" vertical="center" textRotation="0" indent="0" relativeIndent="0" readingOrder="0"/>
    </xf>
    <xf numFmtId="0" fontId="3" fillId="0" borderId="47" xfId="0" applyFont="1" applyBorder="1" applyAlignment="1">
      <alignment horizontal="center" vertical="center" textRotation="0" wrapText="1" indent="0" relativeIndent="0" readingOrder="0"/>
    </xf>
    <xf numFmtId="0" fontId="3" fillId="2" borderId="26" xfId="0" applyFont="1" applyFill="1" applyBorder="1" applyAlignment="1">
      <alignment horizontal="center" vertical="center" textRotation="0" wrapText="1" indent="0" relativeIndent="0" readingOrder="0"/>
    </xf>
    <xf numFmtId="0" fontId="4" fillId="0" borderId="20" xfId="0" applyFont="1" applyBorder="1" applyAlignment="1">
      <alignment horizontal="left" vertical="center" textRotation="0" wrapText="1" indent="0" relativeIndent="0" readingOrder="0"/>
    </xf>
    <xf numFmtId="0" fontId="3" fillId="0" borderId="20" xfId="0" applyFont="1" applyBorder="1" applyAlignment="1">
      <alignment horizontal="left" vertical="center" textRotation="0" indent="0" relativeIndent="0" readingOrder="0"/>
    </xf>
    <xf numFmtId="3" fontId="4" fillId="0" borderId="40" xfId="0" applyNumberFormat="1" applyFont="1" applyBorder="1" applyAlignment="1">
      <alignment horizontal="right" vertical="center" textRotation="0" wrapText="1" indent="0" relativeIndent="0" readingOrder="0"/>
    </xf>
    <xf numFmtId="3" fontId="3" fillId="0" borderId="40" xfId="0" applyNumberFormat="1" applyFont="1" applyBorder="1" applyAlignment="1">
      <alignment horizontal="right" vertical="center" textRotation="0" indent="0" relativeIndent="0" readingOrder="0"/>
    </xf>
    <xf numFmtId="0" fontId="13" fillId="0" borderId="0" xfId="0" applyFont="1"/>
    <xf numFmtId="9" fontId="4" fillId="0" borderId="9" xfId="1" applyFont="1" applyBorder="1" applyAlignment="1">
      <alignment horizontal="center" vertical="center" textRotation="0" wrapText="1" indent="0" relativeIndent="0" readingOrder="0"/>
    </xf>
    <xf numFmtId="0" fontId="4" fillId="0" borderId="5" xfId="0" applyFont="1" applyBorder="1" applyAlignment="1">
      <alignment horizontal="right" vertical="center" textRotation="0" indent="0" relativeIndent="0" readingOrder="0"/>
    </xf>
    <xf numFmtId="0" fontId="3" fillId="2" borderId="6" xfId="0" applyFont="1" applyFill="1" applyBorder="1" applyAlignment="1">
      <alignment horizontal="right" vertical="center" textRotation="0" wrapText="1" indent="0" relativeIndent="0" readingOrder="0"/>
    </xf>
    <xf numFmtId="164" fontId="4" fillId="0" borderId="0" xfId="0" applyNumberFormat="1" applyFont="1" applyBorder="1"/>
    <xf numFmtId="0" fontId="17" fillId="0" borderId="0" xfId="0" applyFont="1" applyAlignment="1">
      <alignment horizontal="left" vertical="bottom" textRotation="0" wrapText="1" indent="0" relativeIndent="0" readingOrder="0"/>
    </xf>
    <xf numFmtId="3" fontId="4" fillId="2" borderId="2" xfId="0" applyNumberFormat="1" applyFont="1" applyFill="1" applyBorder="1" applyAlignment="1">
      <alignment horizontal="right" vertical="center" textRotation="0" indent="0" relativeIndent="0" readingOrder="0"/>
    </xf>
    <xf numFmtId="3" fontId="3" fillId="2" borderId="2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0" borderId="31" xfId="0" applyNumberFormat="1" applyFont="1" applyBorder="1" applyAlignment="1">
      <alignment horizontal="right" vertical="center" textRotation="0" indent="0" relativeIndent="0" readingOrder="0"/>
    </xf>
    <xf numFmtId="0" fontId="4" fillId="2" borderId="12" xfId="0" applyFont="1" applyFill="1" applyBorder="1" applyAlignment="1">
      <alignment horizontal="center" vertical="center" textRotation="0" indent="0" relativeIndent="0" readingOrder="0"/>
    </xf>
    <xf numFmtId="3" fontId="4" fillId="2" borderId="5" xfId="0" applyNumberFormat="1" applyFont="1" applyFill="1" applyBorder="1" applyAlignment="1">
      <alignment horizontal="right" vertical="center" textRotation="0" wrapText="1" indent="0" relativeIndent="0" readingOrder="0"/>
    </xf>
    <xf numFmtId="3" fontId="3" fillId="2" borderId="5" xfId="0" applyNumberFormat="1" applyFont="1" applyFill="1" applyBorder="1" applyAlignment="1">
      <alignment horizontal="right" vertical="center" textRotation="0" indent="0" relativeIndent="0" readingOrder="0"/>
    </xf>
    <xf numFmtId="0" fontId="4" fillId="0" borderId="28" xfId="0" applyFont="1" applyBorder="1" applyAlignment="1">
      <alignment horizontal="general" vertical="center" textRotation="0" wrapText="1" indent="0" relativeIndent="0" readingOrder="0"/>
    </xf>
    <xf numFmtId="3" fontId="4" fillId="2" borderId="22" xfId="0" applyNumberFormat="1" applyFont="1" applyFill="1" applyBorder="1" applyAlignment="1">
      <alignment horizontal="right" vertical="center" textRotation="0" indent="0" relativeIndent="0" readingOrder="0"/>
    </xf>
    <xf numFmtId="0" fontId="3" fillId="2" borderId="20" xfId="0" applyFont="1" applyFill="1" applyBorder="1" applyAlignment="1">
      <alignment horizontal="center" vertical="center" textRotation="0" wrapText="1" indent="0" relativeIndent="0" readingOrder="0"/>
    </xf>
    <xf numFmtId="3" fontId="3" fillId="2" borderId="22" xfId="0" applyNumberFormat="1" applyFont="1" applyFill="1" applyBorder="1" applyAlignment="1">
      <alignment horizontal="right" vertical="center" textRotation="0" wrapText="1" indent="0" relativeIndent="0" readingOrder="0"/>
    </xf>
    <xf numFmtId="0" fontId="3" fillId="0" borderId="21" xfId="0" applyFont="1" applyBorder="1" applyAlignment="1">
      <alignment horizontal="center" vertical="center" textRotation="0" wrapText="1" indent="0" relativeIndent="0" readingOrder="0"/>
    </xf>
    <xf numFmtId="49" fontId="4" fillId="0" borderId="0" xfId="0" applyNumberFormat="1" applyFont="1" applyBorder="1"/>
    <xf numFmtId="0" fontId="3" fillId="2" borderId="34" xfId="0" applyFont="1" applyFill="1" applyBorder="1" applyAlignment="1">
      <alignment horizontal="center" vertical="center" textRotation="0" wrapText="1" indent="0" relativeIndent="0" readingOrder="0"/>
    </xf>
    <xf numFmtId="0" fontId="5" fillId="0" borderId="0" xfId="0" applyFont="1" applyBorder="1"/>
    <xf numFmtId="3" fontId="4" fillId="0" borderId="17" xfId="0" applyNumberFormat="1" applyFont="1" applyBorder="1" applyAlignment="1">
      <alignment horizontal="right" vertical="center" textRotation="0" indent="0" relativeIndent="0" readingOrder="0"/>
    </xf>
    <xf numFmtId="0" fontId="3" fillId="0" borderId="48" xfId="0" applyFont="1" applyBorder="1" applyAlignment="1">
      <alignment horizontal="center" vertical="center" textRotation="0" wrapText="1" indent="0" relativeIndent="0" readingOrder="0"/>
    </xf>
    <xf numFmtId="0" fontId="4" fillId="2" borderId="26" xfId="0" applyFont="1" applyFill="1" applyBorder="1" applyAlignment="1">
      <alignment horizontal="general" vertical="center" textRotation="0" wrapText="1" indent="0" relativeIndent="0" readingOrder="0"/>
    </xf>
    <xf numFmtId="0" fontId="11" fillId="0" borderId="0" xfId="0" applyFont="1"/>
  </cellXfs>
  <cellStyles count="3">
    <cellStyle name="Normal" xfId="0" builtinId="0" iLevel="255"/>
    <cellStyle name="Percent" xfId="1" builtinId="5" iLevel="255" customBuiltin="1"/>
    <cellStyle name="Normálna 2" xfId="2" iLevel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worksheet" Target="worksheets/sheet2.xml" Id="rId2" /><Relationship Type="http://schemas.openxmlformats.org/officeDocument/2006/relationships/worksheet" Target="worksheets/sheet3.xml" Id="rId3" /><Relationship Type="http://schemas.openxmlformats.org/officeDocument/2006/relationships/worksheet" Target="worksheets/sheet4.xml" Id="rId4" /><Relationship Type="http://schemas.openxmlformats.org/officeDocument/2006/relationships/worksheet" Target="worksheets/sheet5.xml" Id="rId5" /><Relationship Type="http://schemas.openxmlformats.org/officeDocument/2006/relationships/worksheet" Target="worksheets/sheet6.xml" Id="rId6" /><Relationship Type="http://schemas.openxmlformats.org/officeDocument/2006/relationships/worksheet" Target="worksheets/sheet7.xml" Id="rId7" /><Relationship Type="http://schemas.openxmlformats.org/officeDocument/2006/relationships/worksheet" Target="worksheets/sheet8.xml" Id="rId8" /><Relationship Type="http://schemas.openxmlformats.org/officeDocument/2006/relationships/worksheet" Target="worksheets/sheet9.xml" Id="rId9" /><Relationship Type="http://schemas.openxmlformats.org/officeDocument/2006/relationships/worksheet" Target="worksheets/sheet10.xml" Id="rId10" /><Relationship Type="http://schemas.openxmlformats.org/officeDocument/2006/relationships/worksheet" Target="worksheets/sheet11.xml" Id="rId11" /><Relationship Type="http://schemas.openxmlformats.org/officeDocument/2006/relationships/worksheet" Target="worksheets/sheet12.xml" Id="rId12" /><Relationship Type="http://schemas.openxmlformats.org/officeDocument/2006/relationships/worksheet" Target="worksheets/sheet13.xml" Id="rId13" /><Relationship Type="http://schemas.openxmlformats.org/officeDocument/2006/relationships/worksheet" Target="worksheets/sheet14.xml" Id="rId14" /><Relationship Type="http://schemas.openxmlformats.org/officeDocument/2006/relationships/worksheet" Target="worksheets/sheet15.xml" Id="rId15" /><Relationship Type="http://schemas.openxmlformats.org/officeDocument/2006/relationships/worksheet" Target="worksheets/sheet16.xml" Id="rId16" /><Relationship Type="http://schemas.openxmlformats.org/officeDocument/2006/relationships/worksheet" Target="worksheets/sheet17.xml" Id="rId17" /><Relationship Type="http://schemas.openxmlformats.org/officeDocument/2006/relationships/worksheet" Target="worksheets/sheet18.xml" Id="rId18" /><Relationship Type="http://schemas.openxmlformats.org/officeDocument/2006/relationships/worksheet" Target="worksheets/sheet19.xml" Id="rId19" /><Relationship Type="http://schemas.openxmlformats.org/officeDocument/2006/relationships/worksheet" Target="worksheets/sheet20.xml" Id="rId20" /><Relationship Type="http://schemas.openxmlformats.org/officeDocument/2006/relationships/worksheet" Target="worksheets/sheet21.xml" Id="rId21" /><Relationship Type="http://schemas.openxmlformats.org/officeDocument/2006/relationships/worksheet" Target="worksheets/sheet22.xml" Id="rId22" /><Relationship Type="http://schemas.openxmlformats.org/officeDocument/2006/relationships/worksheet" Target="worksheets/sheet23.xml" Id="rId23" /><Relationship Type="http://schemas.openxmlformats.org/officeDocument/2006/relationships/worksheet" Target="worksheets/sheet24.xml" Id="rId24" /><Relationship Type="http://schemas.openxmlformats.org/officeDocument/2006/relationships/worksheet" Target="worksheets/sheet25.xml" Id="rId25" /><Relationship Type="http://schemas.openxmlformats.org/officeDocument/2006/relationships/worksheet" Target="worksheets/sheet26.xml" Id="rId26" /><Relationship Type="http://schemas.openxmlformats.org/officeDocument/2006/relationships/worksheet" Target="worksheets/sheet27.xml" Id="rId27" /><Relationship Type="http://schemas.openxmlformats.org/officeDocument/2006/relationships/worksheet" Target="worksheets/sheet28.xml" Id="rId28" /><Relationship Type="http://schemas.openxmlformats.org/officeDocument/2006/relationships/worksheet" Target="worksheets/sheet29.xml" Id="rId29" /><Relationship Type="http://schemas.openxmlformats.org/officeDocument/2006/relationships/worksheet" Target="worksheets/sheet30.xml" Id="rId30" /><Relationship Type="http://schemas.openxmlformats.org/officeDocument/2006/relationships/worksheet" Target="worksheets/sheet31.xml" Id="rId31" /><Relationship Type="http://schemas.openxmlformats.org/officeDocument/2006/relationships/worksheet" Target="worksheets/sheet32.xml" Id="rId32" /><Relationship Type="http://schemas.openxmlformats.org/officeDocument/2006/relationships/worksheet" Target="worksheets/sheet33.xml" Id="rId33" /><Relationship Type="http://schemas.openxmlformats.org/officeDocument/2006/relationships/worksheet" Target="worksheets/sheet34.xml" Id="rId34" /><Relationship Type="http://schemas.openxmlformats.org/officeDocument/2006/relationships/worksheet" Target="worksheets/sheet35.xml" Id="rId35" /><Relationship Type="http://schemas.openxmlformats.org/officeDocument/2006/relationships/worksheet" Target="worksheets/sheet36.xml" Id="rId36" /><Relationship Type="http://schemas.openxmlformats.org/officeDocument/2006/relationships/worksheet" Target="worksheets/sheet37.xml" Id="rId37" /><Relationship Type="http://schemas.openxmlformats.org/officeDocument/2006/relationships/worksheet" Target="worksheets/sheet38.xml" Id="rId38" /><Relationship Type="http://schemas.openxmlformats.org/officeDocument/2006/relationships/worksheet" Target="worksheets/sheet39.xml" Id="rId39" /><Relationship Type="http://schemas.openxmlformats.org/officeDocument/2006/relationships/worksheet" Target="worksheets/sheet40.xml" Id="rId40" /><Relationship Type="http://schemas.openxmlformats.org/officeDocument/2006/relationships/worksheet" Target="worksheets/sheet41.xml" Id="rId41" /><Relationship Type="http://schemas.openxmlformats.org/officeDocument/2006/relationships/worksheet" Target="worksheets/sheet42.xml" Id="rId42" /><Relationship Type="http://schemas.openxmlformats.org/officeDocument/2006/relationships/worksheet" Target="worksheets/sheet43.xml" Id="rId43" /><Relationship Type="http://schemas.openxmlformats.org/officeDocument/2006/relationships/worksheet" Target="worksheets/sheet44.xml" Id="rId44" /><Relationship Type="http://schemas.openxmlformats.org/officeDocument/2006/relationships/worksheet" Target="worksheets/sheet45.xml" Id="rId45" /><Relationship Type="http://schemas.openxmlformats.org/officeDocument/2006/relationships/worksheet" Target="worksheets/sheet46.xml" Id="rId46" /><Relationship Type="http://schemas.openxmlformats.org/officeDocument/2006/relationships/worksheet" Target="worksheets/sheet47.xml" Id="rId47" /><Relationship Type="http://schemas.openxmlformats.org/officeDocument/2006/relationships/worksheet" Target="worksheets/sheet48.xml" Id="rId48" /><Relationship Type="http://schemas.openxmlformats.org/officeDocument/2006/relationships/worksheet" Target="worksheets/sheet49.xml" Id="rId49" /><Relationship Type="http://schemas.openxmlformats.org/officeDocument/2006/relationships/worksheet" Target="worksheets/sheet50.xml" Id="rId50" /><Relationship Type="http://schemas.openxmlformats.org/officeDocument/2006/relationships/worksheet" Target="worksheets/sheet51.xml" Id="rId51" /><Relationship Type="http://schemas.openxmlformats.org/officeDocument/2006/relationships/worksheet" Target="worksheets/sheet52.xml" Id="rId52" /><Relationship Type="http://schemas.openxmlformats.org/officeDocument/2006/relationships/worksheet" Target="worksheets/sheet53.xml" Id="rId53" /><Relationship Type="http://schemas.openxmlformats.org/officeDocument/2006/relationships/styles" Target="styles.xml" Id="rId54" /><Relationship Type="http://schemas.openxmlformats.org/officeDocument/2006/relationships/theme" Target="theme/theme1.xml" Id="rId55" /><Relationship Type="http://schemas.openxmlformats.org/officeDocument/2006/relationships/sharedStrings" Target="sharedStrings.xml" Id="rId5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37"/>
  <sheetViews>
    <sheetView showGridLines="0" topLeftCell="A31" zoomScaleNormal="100" zoomScaleSheetLayoutView="100" zoomScalePageLayoutView="100" workbookViewId="0"/>
  </sheetViews>
  <sheetFormatPr defaultRowHeight="12"/>
  <cols>
    <col min="1" max="1" width="22" customWidth="1"/>
    <col min="2" max="2" width="21.5546875" customWidth="1"/>
    <col min="3" max="16384" width="8.88671875"/>
  </cols>
  <sheetData>
    <row r="1">
      <c r="A1" t="s">
        <v>430</v>
      </c>
    </row>
    <row r="2">
      <c r="A2" t="s">
        <v>139</v>
      </c>
    </row>
    <row r="3">
      <c r="A3" t="s">
        <v>1086</v>
      </c>
    </row>
    <row r="4">
      <c r="A4" t="s">
        <v>513</v>
      </c>
    </row>
    <row r="5">
      <c r="A5" t="s">
        <v>471</v>
      </c>
    </row>
    <row r="6">
      <c r="A6" t="s">
        <v>1367</v>
      </c>
    </row>
    <row r="7">
      <c r="A7" t="s">
        <v>55</v>
      </c>
    </row>
    <row r="8">
      <c r="A8" t="s">
        <v>40</v>
      </c>
    </row>
    <row r="9">
      <c r="A9" t="s">
        <v>235</v>
      </c>
    </row>
    <row r="10">
      <c r="A10" t="s">
        <v>1327</v>
      </c>
    </row>
    <row r="11">
      <c r="A11" s="41" t="s">
        <v>384</v>
      </c>
      <c r="B11" s="41" t="s">
        <v>1068</v>
      </c>
    </row>
    <row r="12">
      <c r="A12" s="164">
        <v>1</v>
      </c>
      <c r="B12" s="57" t="s">
        <v>316</v>
      </c>
    </row>
    <row r="13">
      <c r="A13" s="164">
        <v>2</v>
      </c>
      <c r="B13" s="57" t="s">
        <v>1267</v>
      </c>
    </row>
    <row r="14">
      <c r="A14" s="164">
        <v>3</v>
      </c>
      <c r="B14" s="57" t="s">
        <v>1088</v>
      </c>
    </row>
    <row r="15">
      <c r="A15" s="164">
        <v>4</v>
      </c>
      <c r="B15" s="57" t="s">
        <v>76</v>
      </c>
    </row>
    <row r="16">
      <c r="A16" s="164">
        <v>5</v>
      </c>
      <c r="B16" s="57" t="s">
        <v>232</v>
      </c>
    </row>
    <row r="17">
      <c r="A17" s="164">
        <v>6</v>
      </c>
      <c r="B17" s="57" t="s">
        <v>865</v>
      </c>
    </row>
    <row r="18">
      <c r="A18" s="164">
        <v>7</v>
      </c>
      <c r="B18" s="57" t="s">
        <v>41</v>
      </c>
    </row>
    <row r="19">
      <c r="A19" s="164">
        <v>8</v>
      </c>
      <c r="B19" s="57" t="s">
        <v>1303</v>
      </c>
    </row>
    <row r="20">
      <c r="A20" s="164">
        <v>9</v>
      </c>
      <c r="B20" s="57" t="s">
        <v>943</v>
      </c>
    </row>
    <row r="21">
      <c r="A21" s="164">
        <v>10</v>
      </c>
      <c r="B21" s="57" t="s">
        <v>419</v>
      </c>
    </row>
    <row r="22">
      <c r="A22" s="164">
        <v>11</v>
      </c>
      <c r="B22" s="57" t="s">
        <v>1242</v>
      </c>
    </row>
    <row r="24">
      <c r="A24" t="s">
        <v>857</v>
      </c>
    </row>
    <row r="25">
      <c r="A25" t="s">
        <v>1244</v>
      </c>
    </row>
    <row r="26">
      <c r="A26" t="s">
        <v>685</v>
      </c>
    </row>
    <row r="27">
      <c r="A27" t="s">
        <v>1183</v>
      </c>
    </row>
    <row r="28">
      <c r="A28" t="s">
        <v>722</v>
      </c>
    </row>
    <row r="29">
      <c r="A29" t="s">
        <v>1098</v>
      </c>
    </row>
    <row r="30">
      <c r="A30" t="s">
        <v>924</v>
      </c>
    </row>
    <row r="31">
      <c r="A31" t="s">
        <v>440</v>
      </c>
    </row>
    <row r="32">
      <c r="A32" t="s">
        <v>1233</v>
      </c>
    </row>
    <row r="33">
      <c r="A33" t="s">
        <v>147</v>
      </c>
    </row>
    <row r="34">
      <c r="A34" t="s">
        <v>241</v>
      </c>
    </row>
    <row r="35">
      <c r="A35" t="s">
        <v>1373</v>
      </c>
    </row>
    <row r="36">
      <c r="A36" t="s">
        <v>136</v>
      </c>
    </row>
    <row r="37">
      <c r="A37" t="s">
        <v>758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1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8"/>
  <sheetViews>
    <sheetView showGridLines="0" zoomScaleNormal="100" zoomScaleSheetLayoutView="100" zoomScalePageLayoutView="100" workbookViewId="0"/>
  </sheetViews>
  <sheetFormatPr defaultRowHeight="12"/>
  <cols>
    <col min="1" max="1" width="17.109375" customWidth="1"/>
    <col min="2" max="2" width="12.44140625" customWidth="1"/>
    <col min="3" max="7" width="11.44140625" customWidth="1"/>
    <col min="8" max="16384" width="8.88671875"/>
  </cols>
  <sheetData>
    <row r="1" thickBot="1">
      <c r="A1" s="47" t="s">
        <v>285</v>
      </c>
    </row>
    <row r="2" ht="74.25" customHeight="1" thickTop="1" thickBot="1">
      <c r="A2" s="229" t="s">
        <v>902</v>
      </c>
      <c r="B2" s="229" t="s">
        <v>571</v>
      </c>
      <c r="C2" s="50" t="s">
        <v>950</v>
      </c>
      <c r="D2" s="229" t="s">
        <v>672</v>
      </c>
      <c r="E2" s="229" t="s">
        <v>344</v>
      </c>
      <c r="F2" s="50" t="s">
        <v>42</v>
      </c>
      <c r="G2" s="229" t="s">
        <v>0</v>
      </c>
    </row>
    <row r="3" ht="27" customHeight="1" thickTop="1" thickBot="1">
      <c r="A3" s="191" t="s">
        <v>661</v>
      </c>
      <c r="B3" s="33"/>
      <c r="C3" s="24"/>
      <c r="D3" s="24"/>
      <c r="E3" s="24"/>
      <c r="F3" s="24"/>
      <c r="G3" s="251">
        <f>SUM(C3:F3)</f>
        <v>0</v>
      </c>
    </row>
    <row r="4" thickBot="1">
      <c r="A4" s="191" t="s">
        <v>309</v>
      </c>
      <c r="B4" s="174"/>
      <c r="C4" s="43"/>
      <c r="D4" s="43"/>
      <c r="E4" s="43"/>
      <c r="F4" s="43"/>
      <c r="G4" s="141">
        <f>SUM(C4:F4)</f>
        <v>0</v>
      </c>
    </row>
    <row r="5" thickBot="1">
      <c r="A5" s="191" t="s">
        <v>124</v>
      </c>
      <c r="B5" s="174"/>
      <c r="C5" s="43"/>
      <c r="D5" s="43"/>
      <c r="E5" s="43"/>
      <c r="F5" s="43"/>
      <c r="G5" s="141">
        <f>SUM(C5:F5)</f>
        <v>0</v>
      </c>
    </row>
    <row r="6" ht="27" customHeight="1" thickBot="1">
      <c r="A6" s="191" t="s">
        <v>746</v>
      </c>
      <c r="B6" s="174"/>
      <c r="C6" s="43"/>
      <c r="D6" s="43"/>
      <c r="E6" s="43"/>
      <c r="F6" s="43"/>
      <c r="G6" s="141">
        <f>SUM(C6:F6)</f>
        <v>0</v>
      </c>
    </row>
    <row r="7" ht="27" customHeight="1" thickBot="1">
      <c r="A7" s="142" t="s">
        <v>1180</v>
      </c>
      <c r="B7" s="222" t="s">
        <v>962</v>
      </c>
      <c r="C7" s="14"/>
      <c r="D7" s="14"/>
      <c r="E7" s="14"/>
      <c r="F7" s="14"/>
      <c r="G7" s="69">
        <f>SUMIF(HK!A:A,"065*",HK!K:K)-SUMIF(HK!A:A,"065*",HK!L:L)</f>
        <v>0</v>
      </c>
      <c r="J7" s="172"/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20.44140625" customWidth="1"/>
    <col min="2" max="6" width="13.33203125" customWidth="1"/>
    <col min="7" max="7" width="17.5546875" customWidth="1"/>
    <col min="8" max="16384" width="8.88671875"/>
  </cols>
  <sheetData>
    <row r="1" thickBot="1">
      <c r="A1" s="47" t="s">
        <v>144</v>
      </c>
    </row>
    <row r="2" ht="58.5" customHeight="1" thickTop="1" thickBot="1">
      <c r="A2" s="229" t="s">
        <v>737</v>
      </c>
      <c r="B2" s="50" t="s">
        <v>950</v>
      </c>
      <c r="C2" s="229" t="s">
        <v>672</v>
      </c>
      <c r="D2" s="229" t="s">
        <v>344</v>
      </c>
      <c r="E2" s="229" t="s">
        <v>1015</v>
      </c>
      <c r="F2" s="50" t="s">
        <v>459</v>
      </c>
    </row>
    <row r="3" ht="27" customHeight="1" thickTop="1" thickBot="1">
      <c r="A3" s="191" t="s">
        <v>661</v>
      </c>
      <c r="B3" s="43"/>
      <c r="C3" s="43"/>
      <c r="D3" s="43"/>
      <c r="E3" s="43"/>
      <c r="F3" s="141">
        <f>SUM(B3:E3)</f>
        <v>0</v>
      </c>
    </row>
    <row r="4" ht="27" customHeight="1" thickBot="1">
      <c r="A4" s="191" t="s">
        <v>224</v>
      </c>
      <c r="B4" s="43"/>
      <c r="C4" s="43"/>
      <c r="D4" s="43"/>
      <c r="E4" s="43"/>
      <c r="F4" s="141">
        <f>SUM(B4:E4)</f>
        <v>0</v>
      </c>
    </row>
    <row r="5" ht="27" customHeight="1" thickBot="1">
      <c r="A5" s="191" t="s">
        <v>26</v>
      </c>
      <c r="B5" s="43"/>
      <c r="C5" s="43"/>
      <c r="D5" s="43"/>
      <c r="E5" s="43"/>
      <c r="F5" s="141">
        <f>SUM(B5:E5)</f>
        <v>0</v>
      </c>
    </row>
    <row r="6" ht="27" customHeight="1" thickBot="1">
      <c r="A6" s="191" t="s">
        <v>746</v>
      </c>
      <c r="B6" s="43"/>
      <c r="C6" s="43"/>
      <c r="D6" s="43"/>
      <c r="E6" s="43"/>
      <c r="F6" s="141">
        <f>SUM(B6:E6)</f>
        <v>0</v>
      </c>
    </row>
    <row r="7" ht="27" customHeight="1" thickBot="1">
      <c r="A7" s="142" t="s">
        <v>699</v>
      </c>
      <c r="B7" s="14">
        <f>SUM(B3:B6)</f>
        <v>0</v>
      </c>
      <c r="C7" s="14">
        <f>SUM(C3:C6)</f>
        <v>0</v>
      </c>
      <c r="D7" s="14">
        <f>SUM(D3:D6)</f>
        <v>0</v>
      </c>
      <c r="E7" s="14">
        <f>SUM(E3:E6)</f>
        <v>0</v>
      </c>
      <c r="F7" s="135">
        <f>SUM(F3:F6)</f>
        <v>0</v>
      </c>
    </row>
    <row r="8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H13"/>
  <sheetViews>
    <sheetView showGridLines="0" zoomScaleNormal="100" zoomScaleSheetLayoutView="100" zoomScalePageLayoutView="100" workbookViewId="0"/>
  </sheetViews>
  <sheetFormatPr defaultRowHeight="12"/>
  <cols>
    <col min="1" max="1" width="18.5546875" customWidth="1"/>
    <col min="2" max="6" width="13.5546875" customWidth="1"/>
    <col min="7" max="7" width="17.5546875" customWidth="1"/>
    <col min="8" max="16384" width="8.88671875"/>
  </cols>
  <sheetData>
    <row r="1">
      <c r="A1" s="47" t="s">
        <v>884</v>
      </c>
    </row>
    <row r="2" thickBot="1">
      <c r="A2" s="276" t="s">
        <v>1249</v>
      </c>
    </row>
    <row r="3" thickTop="1" thickBot="1">
      <c r="A3" s="214" t="s">
        <v>158</v>
      </c>
      <c r="B3" s="235" t="s">
        <v>998</v>
      </c>
      <c r="C3" s="56"/>
      <c r="D3" s="56"/>
      <c r="E3" s="56"/>
      <c r="F3" s="50"/>
    </row>
    <row r="4" ht="60" customHeight="1" thickTop="1" thickBot="1">
      <c r="A4" s="205"/>
      <c r="B4" s="205" t="s">
        <v>1082</v>
      </c>
      <c r="C4" s="202" t="s">
        <v>1345</v>
      </c>
      <c r="D4" s="205" t="s">
        <v>162</v>
      </c>
      <c r="E4" s="202" t="s">
        <v>519</v>
      </c>
      <c r="F4" s="205" t="s">
        <v>560</v>
      </c>
    </row>
    <row r="5" ht="23.25" customHeight="1" thickTop="1" thickBot="1">
      <c r="A5" s="191" t="s">
        <v>978</v>
      </c>
      <c r="B5" s="153">
        <f>SUMIF(HK!A:A,"191*",HK!D:D)-SUMIF(HK!A:A,"191*",HK!C:C)</f>
        <v>0</v>
      </c>
      <c r="C5" s="43"/>
      <c r="D5" s="43"/>
      <c r="E5" s="43"/>
      <c r="F5" s="153">
        <f>SUMIF(HK!A:A,"191*",HK!L:L)-SUMIF(HK!A:A,"191*",HK!K:K)</f>
        <v>0</v>
      </c>
      <c r="H5" s="172"/>
    </row>
    <row r="6" thickBot="1">
      <c r="A6" s="191" t="s">
        <v>837</v>
      </c>
      <c r="B6" s="153">
        <f>SUMIF(HK!A:A,"192*",HK!D:D)-SUMIF(HK!A:A,"192*",HK!C:C)+SUMIF(HK!A:A,"193*",HK!D:D)-SUMIF(HK!A:A,"193*",HK!C:C)</f>
        <v>0</v>
      </c>
      <c r="C6" s="43"/>
      <c r="D6" s="43"/>
      <c r="E6" s="43"/>
      <c r="F6" s="153">
        <f>SUMIF(HK!A:A,"192*",HK!L:L)-SUMIF(HK!A:A,"192*",HK!K:K)+SUMIF(HK!A:A,"193*",HK!L:L)-SUMIF(HK!A:A,"193*",HK!K:K)</f>
        <v>0</v>
      </c>
      <c r="H6" s="172"/>
    </row>
    <row r="7" ht="23.25" customHeight="1" thickBot="1">
      <c r="A7" s="191" t="s">
        <v>1287</v>
      </c>
      <c r="B7" s="153">
        <f>SUMIF(HK!A:A,"194*",HK!D:D)-SUMIF(HK!A:A,"194*",HK!C:C)</f>
        <v>0</v>
      </c>
      <c r="C7" s="263"/>
      <c r="D7" s="263"/>
      <c r="E7" s="263"/>
      <c r="F7" s="153">
        <f>SUMIF(HK!A:A,"194*",HK!L:L)-SUMIF(HK!A:A,"194*",HK!K:K)</f>
        <v>0</v>
      </c>
      <c r="H7" s="172"/>
    </row>
    <row r="8" ht="23.25" customHeight="1" thickBot="1">
      <c r="A8" s="191" t="s">
        <v>1173</v>
      </c>
      <c r="B8" s="153">
        <f>SUMIF(HK!A:A,"195*",HK!D:D)-SUMIF(HK!A:A,"195*",HK!C:C)</f>
        <v>0</v>
      </c>
      <c r="C8" s="263"/>
      <c r="D8" s="263"/>
      <c r="E8" s="263"/>
      <c r="F8" s="153">
        <f>SUMIF(HK!A:A,"195*",HK!L:L)-SUMIF(HK!A:A,"195*",HK!K:K)</f>
        <v>0</v>
      </c>
      <c r="H8" s="172"/>
    </row>
    <row r="9" ht="23.25" customHeight="1" thickBot="1">
      <c r="A9" s="191" t="s">
        <v>102</v>
      </c>
      <c r="B9" s="153">
        <f>SUMIF(HK!A:A,"196*",HK!D:D)-SUMIF(HK!A:A,"196*",HK!C:C)</f>
        <v>0</v>
      </c>
      <c r="C9" s="263"/>
      <c r="D9" s="263"/>
      <c r="E9" s="263"/>
      <c r="F9" s="153">
        <f>SUMIF(HK!A:A,"196*",HK!L:L)-SUMIF(HK!A:A,"196*",HK!K:K)</f>
        <v>0</v>
      </c>
      <c r="H9" s="172"/>
    </row>
    <row r="10" ht="23.25" customHeight="1" thickBot="1">
      <c r="A10" s="191" t="s">
        <v>63</v>
      </c>
      <c r="B10" s="181"/>
      <c r="C10" s="181"/>
      <c r="D10" s="181"/>
      <c r="E10" s="181"/>
      <c r="F10" s="141">
        <f>SUM(B10:E10)</f>
        <v>0</v>
      </c>
    </row>
    <row r="11" ht="23.25" customHeight="1" thickBot="1">
      <c r="A11" s="191" t="s">
        <v>386</v>
      </c>
      <c r="B11" s="181"/>
      <c r="C11" s="181"/>
      <c r="D11" s="181"/>
      <c r="E11" s="181"/>
      <c r="F11" s="141">
        <f>SUM(B11:E11)</f>
        <v>0</v>
      </c>
    </row>
    <row r="12" ht="23.25" customHeight="1" thickBot="1">
      <c r="A12" s="142" t="s">
        <v>1164</v>
      </c>
      <c r="B12" s="14">
        <f>SUM(B5:B11)</f>
        <v>0</v>
      </c>
      <c r="C12" s="14">
        <f>SUM(C5:C11)</f>
        <v>0</v>
      </c>
      <c r="D12" s="14">
        <f>SUM(D5:D11)</f>
        <v>0</v>
      </c>
      <c r="E12" s="14">
        <f>SUM(E5:E11)</f>
        <v>0</v>
      </c>
      <c r="F12" s="135">
        <f>SUM(F5:F11)</f>
        <v>0</v>
      </c>
    </row>
    <row r="13" thickTop="1">
      <c r="A13" s="276"/>
    </row>
  </sheetData>
  <sheetCalcPr fullCalcOnLoad="1"/>
  <mergeCells count="2">
    <mergeCell ref="B3:F3"/>
    <mergeCell ref="A3:A4"/>
  </mergeCells>
  <printOptions/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2"/>
  <cols>
    <col min="1" max="1" width="44.44140625" customWidth="1"/>
    <col min="2" max="2" width="42.109375" customWidth="1"/>
    <col min="3" max="3" width="19.109375" customWidth="1"/>
    <col min="4" max="4" width="15.44140625" customWidth="1"/>
    <col min="5" max="5" width="14.5546875" customWidth="1"/>
    <col min="6" max="6" width="13.5546875" customWidth="1"/>
    <col min="7" max="7" width="17.5546875" customWidth="1"/>
    <col min="8" max="16384" width="8.88671875"/>
  </cols>
  <sheetData>
    <row r="1">
      <c r="A1" s="47" t="s">
        <v>884</v>
      </c>
    </row>
    <row r="2">
      <c r="A2" s="276"/>
    </row>
    <row r="3" thickBot="1">
      <c r="A3" s="276" t="s">
        <v>1077</v>
      </c>
    </row>
    <row r="4" ht="24" customHeight="1" thickTop="1" thickBot="1">
      <c r="A4" s="214" t="s">
        <v>63</v>
      </c>
      <c r="B4" s="34" t="s">
        <v>192</v>
      </c>
    </row>
    <row r="5" thickTop="1" thickBot="1">
      <c r="A5" s="213" t="s">
        <v>1109</v>
      </c>
      <c r="B5" s="251"/>
    </row>
    <row r="6" ht="24.75" customHeight="1" thickBot="1">
      <c r="A6" s="39" t="s">
        <v>628</v>
      </c>
      <c r="B6" s="236"/>
    </row>
    <row r="7" thickTop="1">
      <c r="A7" s="82"/>
      <c r="B7" s="215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1" width="44.44140625" customWidth="1"/>
    <col min="2" max="2" width="42.109375" customWidth="1"/>
    <col min="3" max="3" width="19.109375" customWidth="1"/>
    <col min="4" max="16384" width="8.88671875"/>
  </cols>
  <sheetData>
    <row r="1" thickBot="1">
      <c r="A1" s="47" t="s">
        <v>703</v>
      </c>
    </row>
    <row r="2" thickTop="1" thickBot="1">
      <c r="A2" s="214" t="s">
        <v>158</v>
      </c>
      <c r="B2" s="34" t="s">
        <v>163</v>
      </c>
    </row>
    <row r="3" ht="24" customHeight="1" thickTop="1" thickBot="1">
      <c r="A3" s="213" t="s">
        <v>883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4"/>
  <sheetViews>
    <sheetView showGridLines="0" zoomScaleNormal="100" zoomScaleSheetLayoutView="100" zoomScalePageLayoutView="100" workbookViewId="0"/>
  </sheetViews>
  <sheetFormatPr defaultRowHeight="12"/>
  <cols>
    <col min="1" max="1" width="22.109375" customWidth="1"/>
    <col min="2" max="4" width="21.44140625" customWidth="1"/>
    <col min="5" max="16384" width="8.88671875"/>
  </cols>
  <sheetData>
    <row r="1">
      <c r="A1" s="47" t="s">
        <v>588</v>
      </c>
    </row>
    <row r="2" thickBot="1">
      <c r="A2" s="276" t="s">
        <v>1249</v>
      </c>
    </row>
    <row r="3" ht="45" customHeight="1" thickTop="1" thickBot="1">
      <c r="A3" s="229" t="s">
        <v>553</v>
      </c>
      <c r="B3" s="50" t="s">
        <v>565</v>
      </c>
      <c r="C3" s="50" t="s">
        <v>1321</v>
      </c>
      <c r="D3" s="50" t="s">
        <v>995</v>
      </c>
    </row>
    <row r="4" ht="20.25" customHeight="1" thickTop="1" thickBot="1">
      <c r="A4" s="191" t="s">
        <v>624</v>
      </c>
      <c r="B4" s="153">
        <f>SUMIF(HK!A:A,"606*",HK!L:L)-SUMIF(HK!A:A,"606*",HK!K:K)</f>
        <v>0</v>
      </c>
      <c r="C4" s="153">
        <f>SUMIF(HKM!A:A,"606*",HKM!L:L)-SUMIF(HKM!A:A,"606*",HKM!K:K)</f>
        <v>0</v>
      </c>
      <c r="D4" s="141"/>
      <c r="G4" s="172"/>
    </row>
    <row r="5" ht="20.25" customHeight="1" thickBot="1">
      <c r="A5" s="191" t="s">
        <v>926</v>
      </c>
      <c r="B5" s="141"/>
      <c r="C5" s="141"/>
      <c r="D5" s="141"/>
    </row>
    <row r="6" ht="20.25" customHeight="1" thickBot="1">
      <c r="A6" s="39" t="s">
        <v>342</v>
      </c>
      <c r="B6" s="236"/>
      <c r="C6" s="236"/>
      <c r="D6" s="236">
        <f>D4+D5</f>
        <v>0</v>
      </c>
    </row>
    <row r="7" thickTop="1">
      <c r="A7" s="59"/>
      <c r="B7" s="161"/>
      <c r="C7" s="161"/>
      <c r="D7" s="161"/>
    </row>
    <row r="8">
      <c r="A8" s="59"/>
      <c r="B8" s="161"/>
      <c r="C8" s="161"/>
      <c r="D8" s="161"/>
    </row>
    <row r="9" thickBot="1">
      <c r="A9" s="59" t="s">
        <v>1126</v>
      </c>
      <c r="B9" s="161"/>
      <c r="C9" s="161"/>
      <c r="D9" s="161"/>
    </row>
    <row r="10" ht="45" customHeight="1" thickTop="1" thickBot="1">
      <c r="A10" s="229" t="s">
        <v>553</v>
      </c>
      <c r="B10" s="50" t="s">
        <v>565</v>
      </c>
      <c r="C10" s="50" t="s">
        <v>1321</v>
      </c>
      <c r="D10" s="50" t="s">
        <v>8</v>
      </c>
    </row>
    <row r="11" thickTop="1" thickBot="1">
      <c r="A11" s="191" t="s">
        <v>1279</v>
      </c>
      <c r="B11" s="141"/>
      <c r="C11" s="141"/>
      <c r="D11" s="141"/>
    </row>
    <row r="12" thickBot="1">
      <c r="A12" s="191" t="s">
        <v>1326</v>
      </c>
      <c r="B12" s="141"/>
      <c r="C12" s="141"/>
      <c r="D12" s="141"/>
    </row>
    <row r="13" thickBot="1">
      <c r="A13" s="39" t="s">
        <v>342</v>
      </c>
      <c r="B13" s="236">
        <f>B11+B12</f>
        <v>0</v>
      </c>
      <c r="C13" s="236">
        <f>C11+C12</f>
        <v>0</v>
      </c>
      <c r="D13" s="236">
        <f>D11+D12</f>
        <v>0</v>
      </c>
    </row>
    <row r="14" thickTop="1">
      <c r="A14" s="7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7"/>
  <sheetViews>
    <sheetView showGridLines="0" zoomScaleNormal="100" zoomScaleSheetLayoutView="100" zoomScalePageLayoutView="100" workbookViewId="0"/>
  </sheetViews>
  <sheetFormatPr defaultRowHeight="12"/>
  <cols>
    <col min="1" max="1" width="28.6640625" customWidth="1"/>
    <col min="2" max="3" width="28.88671875" customWidth="1"/>
    <col min="4" max="4" width="36.5546875" customWidth="1"/>
    <col min="5" max="16384" width="8.88671875"/>
  </cols>
  <sheetData>
    <row r="1">
      <c r="A1" s="47" t="s">
        <v>588</v>
      </c>
    </row>
    <row r="2">
      <c r="A2" s="276"/>
    </row>
    <row r="3" thickBot="1">
      <c r="A3" s="161" t="s">
        <v>1077</v>
      </c>
      <c r="B3" s="161"/>
      <c r="C3" s="161"/>
    </row>
    <row r="4" ht="45" customHeight="1" thickTop="1" thickBot="1">
      <c r="A4" s="229" t="s">
        <v>83</v>
      </c>
      <c r="B4" s="50" t="s">
        <v>646</v>
      </c>
      <c r="C4" s="50" t="s">
        <v>518</v>
      </c>
    </row>
    <row r="5" thickTop="1" thickBot="1">
      <c r="A5" s="191" t="s">
        <v>735</v>
      </c>
      <c r="B5" s="141"/>
      <c r="C5" s="141"/>
    </row>
    <row r="6" thickBot="1">
      <c r="A6" s="191" t="s">
        <v>248</v>
      </c>
      <c r="B6" s="141"/>
      <c r="C6" s="141"/>
    </row>
    <row r="7" ht="20.25" customHeight="1" thickBot="1">
      <c r="A7" s="191" t="s">
        <v>1271</v>
      </c>
      <c r="B7" s="141"/>
      <c r="C7" s="141"/>
    </row>
    <row r="8" ht="20.25" customHeight="1" thickBot="1">
      <c r="A8" s="39" t="s">
        <v>1186</v>
      </c>
      <c r="B8" s="236"/>
      <c r="C8" s="236"/>
    </row>
    <row r="9" thickTop="1">
      <c r="A9" s="161"/>
      <c r="B9" s="161"/>
      <c r="C9" s="161"/>
    </row>
    <row r="10">
      <c r="A10" s="51"/>
      <c r="B10" s="161"/>
      <c r="C10" s="161"/>
    </row>
    <row r="11" thickBot="1">
      <c r="A11" s="51" t="s">
        <v>621</v>
      </c>
      <c r="B11" s="161"/>
      <c r="C11" s="161"/>
    </row>
    <row r="12" ht="45" customHeight="1" thickTop="1" thickBot="1">
      <c r="A12" s="229" t="s">
        <v>434</v>
      </c>
      <c r="B12" s="50" t="s">
        <v>646</v>
      </c>
      <c r="C12" s="50" t="s">
        <v>8</v>
      </c>
    </row>
    <row r="13" thickTop="1" thickBot="1">
      <c r="A13" s="191" t="s">
        <v>980</v>
      </c>
      <c r="B13" s="141"/>
      <c r="C13" s="141"/>
    </row>
    <row r="14" thickBot="1">
      <c r="A14" s="191" t="s">
        <v>248</v>
      </c>
      <c r="B14" s="141"/>
      <c r="C14" s="141"/>
    </row>
    <row r="15" ht="20.25" customHeight="1" thickBot="1">
      <c r="A15" s="191" t="s">
        <v>129</v>
      </c>
      <c r="B15" s="141"/>
      <c r="C15" s="141"/>
    </row>
    <row r="16" ht="20.25" customHeight="1" thickBot="1">
      <c r="A16" s="39" t="s">
        <v>1186</v>
      </c>
      <c r="B16" s="236"/>
      <c r="C16" s="236"/>
    </row>
    <row r="1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K10"/>
  <sheetViews>
    <sheetView showGridLines="0" zoomScaleNormal="100" zoomScaleSheetLayoutView="100" zoomScalePageLayoutView="100" workbookViewId="0"/>
  </sheetViews>
  <sheetFormatPr defaultRowHeight="12"/>
  <cols>
    <col min="1" max="1" width="25.33203125" customWidth="1"/>
    <col min="2" max="6" width="12.109375" customWidth="1"/>
    <col min="7" max="16384" width="8.88671875"/>
  </cols>
  <sheetData>
    <row r="1" thickBot="1">
      <c r="A1" s="47" t="s">
        <v>27</v>
      </c>
    </row>
    <row r="2" thickTop="1" thickBot="1">
      <c r="A2" s="214" t="s">
        <v>514</v>
      </c>
      <c r="B2" s="235" t="s">
        <v>998</v>
      </c>
      <c r="C2" s="56"/>
      <c r="D2" s="56"/>
      <c r="E2" s="56"/>
      <c r="F2" s="50"/>
    </row>
    <row r="3" ht="62.25" customHeight="1" thickTop="1" thickBot="1">
      <c r="A3" s="205"/>
      <c r="B3" s="186" t="s">
        <v>23</v>
      </c>
      <c r="C3" s="176" t="s">
        <v>57</v>
      </c>
      <c r="D3" s="186" t="s">
        <v>162</v>
      </c>
      <c r="E3" s="176" t="s">
        <v>519</v>
      </c>
      <c r="F3" s="186" t="s">
        <v>560</v>
      </c>
    </row>
    <row r="4" s="190" customFormat="1" ht="33" customHeight="1" thickTop="1" thickBot="1">
      <c r="A4" s="126" t="s">
        <v>818</v>
      </c>
      <c r="B4" s="89">
        <f>SUMIF(SUAM!C:C,"042",SUAM!E:E)+SUMIF(SUAM!C:C,"054",SUAM!E:E)</f>
        <v>0</v>
      </c>
      <c r="C4" s="31"/>
      <c r="D4" s="31"/>
      <c r="E4" s="31"/>
      <c r="F4" s="218">
        <f>SUMIF(SUA!C:C,"042",SUA!E:E)+SUMIF(SUA!C:C,"054",SUA!E:E)</f>
        <v>0</v>
      </c>
      <c r="G4" s="208"/>
      <c r="H4" s="208"/>
      <c r="I4" s="26"/>
      <c r="K4" s="253"/>
    </row>
    <row r="5" s="190" customFormat="1" ht="33" customHeight="1" thickBot="1">
      <c r="A5" s="126" t="s">
        <v>1079</v>
      </c>
      <c r="B5" s="32">
        <f>SUMIF(SUAM!C:C,"047",SUAM!E:E)+SUMIF(SUAM!C:C,"059",SUAM!E:E)</f>
        <v>0</v>
      </c>
      <c r="C5" s="263"/>
      <c r="D5" s="263"/>
      <c r="E5" s="263"/>
      <c r="F5" s="153">
        <f>SUMIF(SUA!C:C,"047",SUA!E:E)+SUMIF(SUA!C:C,"059",SUA!E:E)</f>
        <v>0</v>
      </c>
      <c r="G5" s="208"/>
      <c r="H5" s="208"/>
      <c r="I5" s="26"/>
      <c r="K5" s="253"/>
    </row>
    <row r="6" s="190" customFormat="1" ht="33" customHeight="1" thickBot="1">
      <c r="A6" s="126" t="s">
        <v>1385</v>
      </c>
      <c r="B6" s="32">
        <f>SUMIF(SUAM!C:C,"048",SUAM!E:E)+SUMIF(SUAM!C:C,"060",SUAM!E:E)</f>
        <v>0</v>
      </c>
      <c r="C6" s="263"/>
      <c r="D6" s="263"/>
      <c r="E6" s="263"/>
      <c r="F6" s="153">
        <f>SUMIF(SUA!C:C,"048",SUA!E:E)+SUMIF(SUA!C:C,"060",SUA!E:E)</f>
        <v>0</v>
      </c>
      <c r="G6" s="208"/>
      <c r="H6" s="208"/>
      <c r="I6" s="26"/>
      <c r="K6" s="253"/>
    </row>
    <row r="7" s="190" customFormat="1" ht="33" customHeight="1" thickBot="1">
      <c r="A7" s="126" t="s">
        <v>114</v>
      </c>
      <c r="B7" s="32">
        <f>SUMIF(SUAM!C:C,"049",SUAM!E:E)+SUMIF(SUAM!C:C,"061",SUAM!E:E)</f>
        <v>0</v>
      </c>
      <c r="C7" s="263"/>
      <c r="D7" s="263"/>
      <c r="E7" s="263"/>
      <c r="F7" s="153">
        <f>SUMIF(SUA!C:C,"049",SUA!E:E)+SUMIF(SUA!C:C,"061",SUA!E:E)</f>
        <v>0</v>
      </c>
      <c r="G7" s="208"/>
      <c r="H7" s="208"/>
      <c r="I7" s="26"/>
      <c r="K7" s="253"/>
    </row>
    <row r="8" s="190" customFormat="1" ht="33" customHeight="1" thickBot="1">
      <c r="A8" s="126" t="s">
        <v>1258</v>
      </c>
      <c r="B8" s="32">
        <f>SUMIF(SUAM!C:C,"051",SUAM!E:E)+SUMIF(SUAM!C:C,"062",SUAM!E:E)+SUMIF(SUAM!C:C,"063",SUAM!E:E)</f>
        <v>0</v>
      </c>
      <c r="C8" s="263"/>
      <c r="D8" s="263"/>
      <c r="E8" s="263"/>
      <c r="F8" s="153">
        <f>SUMIF(SUA!C:C,"051",SUA!E:E)+SUMIF(SUA!C:C,"062",SUA!E:E)+SUMIF(SUA!C:C,"063",SUA!E:E)</f>
        <v>0</v>
      </c>
      <c r="G8" s="208"/>
      <c r="H8" s="208"/>
      <c r="I8" s="26"/>
      <c r="K8" s="253"/>
    </row>
    <row r="9" s="190" customFormat="1" ht="33" customHeight="1" thickBot="1">
      <c r="A9" s="139" t="s">
        <v>888</v>
      </c>
      <c r="B9" s="100">
        <f>SUM(D4:D8)</f>
        <v>0</v>
      </c>
      <c r="C9" s="227"/>
      <c r="D9" s="227"/>
      <c r="E9" s="227"/>
      <c r="F9" s="227">
        <f>SUM(F4:F8)</f>
        <v>0</v>
      </c>
    </row>
    <row r="10" thickTop="1"/>
  </sheetData>
  <sheetCalcPr fullCalcOnLoad="1"/>
  <mergeCells count="2">
    <mergeCell ref="B2:F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2"/>
  <cols>
    <col min="1" max="1" width="25.88671875" customWidth="1"/>
    <col min="2" max="4" width="20.109375" customWidth="1"/>
    <col min="5" max="6" width="20.44140625" customWidth="1"/>
    <col min="7" max="16384" width="8.88671875"/>
  </cols>
  <sheetData>
    <row r="1">
      <c r="A1" s="47" t="s">
        <v>468</v>
      </c>
    </row>
    <row r="2" thickBot="1">
      <c r="A2" s="276" t="s">
        <v>1249</v>
      </c>
    </row>
    <row r="3" ht="22.5" customHeight="1" thickTop="1" thickBot="1">
      <c r="A3" s="214" t="s">
        <v>1220</v>
      </c>
      <c r="B3" s="34" t="s">
        <v>444</v>
      </c>
      <c r="C3" s="34" t="s">
        <v>590</v>
      </c>
      <c r="D3" s="34" t="s">
        <v>888</v>
      </c>
    </row>
    <row r="4" ht="22.5" customHeight="1" thickTop="1" thickBot="1">
      <c r="A4" s="118" t="s">
        <v>1128</v>
      </c>
      <c r="B4" s="8"/>
      <c r="C4" s="8"/>
      <c r="D4" s="21"/>
    </row>
    <row r="5" ht="22.5" customHeight="1" thickTop="1" thickBot="1">
      <c r="A5" s="191" t="s">
        <v>1285</v>
      </c>
      <c r="B5" s="43"/>
      <c r="C5" s="43"/>
      <c r="D5" s="260">
        <f>SUMIF(SUA!C:C,"042",SUA!F:F)</f>
        <v>0</v>
      </c>
      <c r="E5" s="241"/>
      <c r="F5" s="26"/>
    </row>
    <row r="6" ht="22.5" customHeight="1" thickBot="1">
      <c r="A6" s="191" t="s">
        <v>1079</v>
      </c>
      <c r="B6" s="43"/>
      <c r="C6" s="43"/>
      <c r="D6" s="260">
        <f>SUMIF(SUA!C:C,"047",SUA!F:F)</f>
        <v>0</v>
      </c>
      <c r="E6" s="241"/>
      <c r="F6" s="26"/>
    </row>
    <row r="7" ht="22.5" customHeight="1" thickBot="1">
      <c r="A7" s="191" t="s">
        <v>1385</v>
      </c>
      <c r="B7" s="43"/>
      <c r="C7" s="43"/>
      <c r="D7" s="260">
        <f>SUMIF(SUA!C:C,"048",SUA!F:F)</f>
        <v>0</v>
      </c>
      <c r="E7" s="241"/>
      <c r="F7" s="26"/>
    </row>
    <row r="8" ht="22.5" customHeight="1" thickBot="1">
      <c r="A8" s="191" t="s">
        <v>114</v>
      </c>
      <c r="B8" s="43"/>
      <c r="C8" s="43"/>
      <c r="D8" s="260">
        <f>SUMIF(SUA!C:C,"049",SUA!F:F)</f>
        <v>0</v>
      </c>
      <c r="E8" s="241"/>
      <c r="F8" s="26"/>
    </row>
    <row r="9" ht="22.5" customHeight="1" thickBot="1">
      <c r="A9" s="191" t="s">
        <v>1258</v>
      </c>
      <c r="B9" s="43"/>
      <c r="C9" s="43"/>
      <c r="D9" s="260">
        <f>SUMIF(SUA!C:C,"051",SUA!F:F)</f>
        <v>0</v>
      </c>
      <c r="E9" s="241"/>
      <c r="F9" s="26"/>
    </row>
    <row r="10" ht="22.5" customHeight="1" thickBot="1">
      <c r="A10" s="142" t="s">
        <v>294</v>
      </c>
      <c r="B10" s="14">
        <f>SUM(B5:B9)</f>
        <v>0</v>
      </c>
      <c r="C10" s="14">
        <f>SUM(C5:C9)</f>
        <v>0</v>
      </c>
      <c r="D10" s="69">
        <f>SUM(D5:D9)</f>
        <v>0</v>
      </c>
      <c r="E10" s="241"/>
      <c r="F10" s="241"/>
    </row>
    <row r="11" ht="22.5" customHeight="1" thickTop="1" thickBot="1">
      <c r="A11" s="118" t="s">
        <v>1256</v>
      </c>
      <c r="B11" s="8"/>
      <c r="C11" s="8"/>
      <c r="D11" s="256"/>
      <c r="E11" s="241"/>
      <c r="F11" s="241"/>
    </row>
    <row r="12" ht="22.5" customHeight="1" thickTop="1" thickBot="1">
      <c r="A12" s="191" t="s">
        <v>230</v>
      </c>
      <c r="B12" s="43"/>
      <c r="C12" s="43"/>
      <c r="D12" s="260">
        <f>SUMIF(SUA!C:C,"054",SUA!F:F)</f>
        <v>0</v>
      </c>
      <c r="E12" s="241"/>
      <c r="F12" s="26"/>
    </row>
    <row r="13" ht="22.5" customHeight="1" thickBot="1">
      <c r="A13" s="191" t="s">
        <v>1079</v>
      </c>
      <c r="B13" s="43"/>
      <c r="C13" s="43"/>
      <c r="D13" s="260">
        <f>SUMIF(SUA!C:C,"059",SUA!F:F)</f>
        <v>0</v>
      </c>
      <c r="E13" s="241"/>
      <c r="F13" s="26"/>
    </row>
    <row r="14" ht="22.5" customHeight="1" thickBot="1">
      <c r="A14" s="191" t="s">
        <v>1385</v>
      </c>
      <c r="B14" s="43"/>
      <c r="C14" s="43"/>
      <c r="D14" s="260">
        <f>SUMIF(SUA!C:C,"060",SUA!F:F)</f>
        <v>0</v>
      </c>
      <c r="E14" s="241"/>
      <c r="F14" s="26"/>
    </row>
    <row r="15" ht="22.5" customHeight="1" thickBot="1">
      <c r="A15" s="191" t="s">
        <v>114</v>
      </c>
      <c r="B15" s="43"/>
      <c r="C15" s="43"/>
      <c r="D15" s="260">
        <f>SUMIF(SUA!C:C,"061",SUA!F:F)</f>
        <v>0</v>
      </c>
      <c r="E15" s="241"/>
      <c r="F15" s="26"/>
    </row>
    <row r="16" ht="22.5" customHeight="1" thickBot="1">
      <c r="A16" s="191" t="s">
        <v>532</v>
      </c>
      <c r="B16" s="43"/>
      <c r="C16" s="43"/>
      <c r="D16" s="260">
        <f>SUMIF(SUA!C:C,"062",SUA!F:F)</f>
        <v>0</v>
      </c>
      <c r="E16" s="241"/>
      <c r="F16" s="26"/>
    </row>
    <row r="17" ht="22.5" customHeight="1" thickBot="1">
      <c r="A17" s="191" t="s">
        <v>178</v>
      </c>
      <c r="B17" s="43"/>
      <c r="C17" s="43"/>
      <c r="D17" s="260">
        <f>SUMIF(SUA!C:C,"063",SUA!F:F)</f>
        <v>0</v>
      </c>
      <c r="E17" s="241"/>
      <c r="F17" s="26"/>
    </row>
    <row r="18" ht="22.5" customHeight="1" thickBot="1">
      <c r="A18" s="191" t="s">
        <v>1258</v>
      </c>
      <c r="B18" s="43"/>
      <c r="C18" s="43"/>
      <c r="D18" s="260">
        <f>SUMIF(SUA!C:C,"065",SUA!F:F)</f>
        <v>0</v>
      </c>
      <c r="E18" s="241"/>
      <c r="F18" s="26"/>
    </row>
    <row r="19" ht="22.5" customHeight="1" thickBot="1">
      <c r="A19" s="142" t="s">
        <v>951</v>
      </c>
      <c r="B19" s="14">
        <f>SUM(B12:B18)</f>
        <v>0</v>
      </c>
      <c r="C19" s="14">
        <f>SUM(C12:C18)</f>
        <v>0</v>
      </c>
      <c r="D19" s="135">
        <f>SUM(D12:D18)</f>
        <v>0</v>
      </c>
    </row>
    <row r="20" thickTop="1">
      <c r="A20" s="92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F5"/>
  <sheetViews>
    <sheetView showGridLines="0" zoomScaleNormal="100" zoomScaleSheetLayoutView="100" zoomScalePageLayoutView="100" workbookViewId="0"/>
  </sheetViews>
  <sheetFormatPr defaultRowHeight="12"/>
  <cols>
    <col min="1" max="1" width="32.44140625" customWidth="1"/>
    <col min="2" max="3" width="27" customWidth="1"/>
    <col min="4" max="4" width="20.109375" customWidth="1"/>
    <col min="5" max="6" width="20.44140625" customWidth="1"/>
    <col min="7" max="16384" width="8.88671875"/>
  </cols>
  <sheetData>
    <row r="1" thickBot="1">
      <c r="A1" s="93" t="s">
        <v>212</v>
      </c>
      <c r="B1" s="93"/>
      <c r="C1" s="93"/>
    </row>
    <row r="2" thickTop="1" thickBot="1">
      <c r="A2" s="214" t="s">
        <v>54</v>
      </c>
      <c r="B2" s="274" t="s">
        <v>998</v>
      </c>
      <c r="C2" s="34"/>
    </row>
    <row r="3" thickTop="1" thickBot="1">
      <c r="A3" s="205"/>
      <c r="B3" s="34" t="s">
        <v>1315</v>
      </c>
      <c r="C3" s="229" t="s">
        <v>805</v>
      </c>
    </row>
    <row r="4" thickTop="1" thickBot="1">
      <c r="A4" s="213" t="s">
        <v>597</v>
      </c>
      <c r="B4" s="24"/>
      <c r="C4" s="251"/>
    </row>
    <row r="5" thickBot="1">
      <c r="A5" s="191" t="s">
        <v>1105</v>
      </c>
      <c r="B5" s="9" t="s">
        <v>962</v>
      </c>
      <c r="C5" s="141"/>
    </row>
  </sheetData>
  <sheetCalcPr fullCalcOnLoad="1"/>
  <mergeCells count="3">
    <mergeCell ref="A1:C1"/>
    <mergeCell ref="A2:A3"/>
    <mergeCell ref="B2:C2"/>
  </mergeCells>
  <printOptions/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6"/>
  <sheetViews>
    <sheetView showGridLines="0" zoomScaleNormal="100" zoomScaleSheetLayoutView="100" zoomScalePageLayoutView="100" workbookViewId="0"/>
  </sheetViews>
  <sheetFormatPr defaultRowHeight="12"/>
  <cols>
    <col min="1" max="1" width="33.33203125" customWidth="1"/>
    <col min="2" max="3" width="26.109375" customWidth="1"/>
    <col min="4" max="16384" width="8.88671875"/>
  </cols>
  <sheetData>
    <row r="1" thickBot="1">
      <c r="A1" s="47" t="s">
        <v>1085</v>
      </c>
    </row>
    <row r="2" ht="21.75" customHeight="1" thickTop="1" thickBot="1">
      <c r="A2" s="214" t="s">
        <v>553</v>
      </c>
      <c r="B2" s="34" t="s">
        <v>998</v>
      </c>
      <c r="C2" s="34" t="s">
        <v>1293</v>
      </c>
    </row>
    <row r="3" ht="22.5" customHeight="1" thickTop="1" thickBot="1">
      <c r="A3" s="213" t="s">
        <v>145</v>
      </c>
      <c r="B3" s="251"/>
      <c r="C3" s="251"/>
    </row>
    <row r="4" ht="22.5" customHeight="1" thickBot="1">
      <c r="A4" s="191" t="s">
        <v>572</v>
      </c>
      <c r="B4" s="141"/>
      <c r="C4" s="141"/>
    </row>
    <row r="5" ht="22.5" customHeight="1" thickBot="1">
      <c r="A5" s="39" t="s">
        <v>1250</v>
      </c>
      <c r="B5" s="236"/>
      <c r="C5" s="236"/>
    </row>
    <row r="6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9"/>
  <sheetViews>
    <sheetView showGridLines="0" zoomScaleNormal="100" zoomScaleSheetLayoutView="100" zoomScalePageLayoutView="100" workbookViewId="0"/>
  </sheetViews>
  <sheetFormatPr defaultRowHeight="12"/>
  <cols>
    <col min="1" max="1" width="32.44140625" customWidth="1"/>
    <col min="2" max="3" width="27" customWidth="1"/>
    <col min="4" max="6" width="20.44140625" customWidth="1"/>
    <col min="7" max="16384" width="8.88671875"/>
  </cols>
  <sheetData>
    <row r="1">
      <c r="A1" s="47" t="s">
        <v>694</v>
      </c>
    </row>
    <row r="2" thickBot="1">
      <c r="A2" s="77" t="s">
        <v>940</v>
      </c>
    </row>
    <row r="3" thickTop="1" thickBot="1">
      <c r="A3" s="214" t="s">
        <v>1220</v>
      </c>
      <c r="B3" s="34" t="s">
        <v>998</v>
      </c>
      <c r="C3" s="34" t="s">
        <v>1293</v>
      </c>
    </row>
    <row r="4" thickTop="1" thickBot="1">
      <c r="A4" s="140" t="s">
        <v>85</v>
      </c>
      <c r="B4" s="133">
        <f>SUMIF(SUA!C:C,"072",SUA!F:F)</f>
        <v>0</v>
      </c>
      <c r="C4" s="219">
        <f>SUMIF(SUA!C:C,"072",SUA!G:G)</f>
        <v>0</v>
      </c>
    </row>
    <row r="5" thickBot="1">
      <c r="A5" s="126" t="s">
        <v>127</v>
      </c>
      <c r="B5" s="268">
        <f>SUMIF(SUA!C:C,"073",SUA!F:F)-(SUMIF(HK!A:A,"261*",HK!K:K)+SUMIF(HK!A:A,"261*",HK!L:L))</f>
        <v>0</v>
      </c>
      <c r="C5" s="65">
        <f>SUMIF(SUA!C:C,"073",SUA!G:G)-(SUMIF(HK!A:A,"261*",HK!C:C)+SUMIF(HK!A:A,"261*",HK!D:D))</f>
        <v>0</v>
      </c>
    </row>
    <row r="6" thickBot="1">
      <c r="A6" s="126" t="s">
        <v>491</v>
      </c>
      <c r="B6" s="268">
        <f>SUMIF(SUA!C:C,"030",SUA!F:F)</f>
        <v>0</v>
      </c>
      <c r="C6" s="65">
        <f>SUMIF(SUA!C:C,"030",SUA!G:G)</f>
        <v>0</v>
      </c>
    </row>
    <row r="7" thickBot="1">
      <c r="A7" s="126" t="s">
        <v>156</v>
      </c>
      <c r="B7" s="268">
        <f>SUMIF(HK!A:A,"261*",HK!K:K)-SUMIF(HK!A:A,"261*",HK!L:L)</f>
        <v>0</v>
      </c>
      <c r="C7" s="65">
        <f>SUMIF(HK!A:A,"261*",HK!C:C)-SUMIF(HK!A:A,"261*",HK!D:D)</f>
        <v>0</v>
      </c>
    </row>
    <row r="8" thickBot="1">
      <c r="A8" s="139" t="s">
        <v>928</v>
      </c>
      <c r="B8" s="156">
        <f>SUM(B4:B7)</f>
        <v>0</v>
      </c>
      <c r="C8" s="135">
        <f>SUM(C4:C7)</f>
        <v>0</v>
      </c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3"/>
  <sheetViews>
    <sheetView showGridLines="0" zoomScaleNormal="100" zoomScaleSheetLayoutView="100" zoomScalePageLayoutView="100" workbookViewId="0"/>
  </sheetViews>
  <sheetFormatPr defaultRowHeight="12"/>
  <cols>
    <col min="1" max="1" width="24.5546875" customWidth="1"/>
    <col min="2" max="5" width="15.44140625" customWidth="1"/>
    <col min="6" max="6" width="20.44140625" customWidth="1"/>
    <col min="7" max="16384" width="8.88671875"/>
  </cols>
  <sheetData>
    <row r="1">
      <c r="A1" s="47" t="s">
        <v>694</v>
      </c>
    </row>
    <row r="2" thickBot="1">
      <c r="A2" s="77" t="s">
        <v>1077</v>
      </c>
    </row>
    <row r="3" thickTop="1" thickBot="1">
      <c r="A3" s="214" t="s">
        <v>403</v>
      </c>
      <c r="B3" s="235" t="s">
        <v>998</v>
      </c>
      <c r="C3" s="56"/>
      <c r="D3" s="56"/>
      <c r="E3" s="50"/>
    </row>
    <row r="4" ht="18" customHeight="1" thickTop="1">
      <c r="A4" s="186"/>
      <c r="B4" s="186" t="s">
        <v>1216</v>
      </c>
      <c r="C4" s="186" t="s">
        <v>266</v>
      </c>
      <c r="D4" s="186" t="s">
        <v>413</v>
      </c>
      <c r="E4" s="186" t="s">
        <v>459</v>
      </c>
    </row>
    <row r="5" ht="17.25" customHeight="1" thickBot="1">
      <c r="A5" s="205"/>
      <c r="B5" s="205"/>
      <c r="C5" s="205"/>
      <c r="D5" s="205"/>
      <c r="E5" s="205"/>
    </row>
    <row r="6" ht="21.75" customHeight="1" thickTop="1" thickBot="1">
      <c r="A6" s="191" t="s">
        <v>497</v>
      </c>
      <c r="B6" s="153">
        <f>SUMIF(HK!A:A,"251*",HK!C:C)-SUMIF(HK!A:A,"251*",HK!D:D)</f>
        <v>0</v>
      </c>
      <c r="C6" s="263"/>
      <c r="D6" s="263"/>
      <c r="E6" s="260">
        <f>SUMIF(HK!A:A,"251*",HK!K:K)-SUMIF(HK!A:A,"251*",HK!L:L)</f>
        <v>0</v>
      </c>
      <c r="F6" s="241"/>
      <c r="G6" s="26"/>
    </row>
    <row r="7" ht="21.75" customHeight="1" thickBot="1">
      <c r="A7" s="191" t="s">
        <v>1221</v>
      </c>
      <c r="B7" s="153">
        <f>SUMIF(HK!A:A,"253*",HK!C:C)-SUMIF(HK!A:A,"253*",HK!D:D)</f>
        <v>0</v>
      </c>
      <c r="C7" s="263"/>
      <c r="D7" s="263"/>
      <c r="E7" s="260">
        <f>SUMIF(HK!A:A,"253*",HK!K:K)-SUMIF(HK!A:A,"253*",HK!L:L)</f>
        <v>0</v>
      </c>
      <c r="F7" s="241"/>
      <c r="G7" s="26"/>
    </row>
    <row r="8" ht="21.75" customHeight="1" thickBot="1">
      <c r="A8" s="191" t="s">
        <v>1022</v>
      </c>
      <c r="B8" s="153"/>
      <c r="C8" s="263"/>
      <c r="D8" s="263"/>
      <c r="E8" s="260"/>
      <c r="F8" s="241"/>
      <c r="G8" s="241"/>
    </row>
    <row r="9" ht="21.75" customHeight="1" thickBot="1">
      <c r="A9" s="191" t="s">
        <v>728</v>
      </c>
      <c r="B9" s="153">
        <f>SUMIF(HK!A:A,"256*",HK!C:C)-SUMIF(HK!A:A,"256*",HK!D:D)</f>
        <v>0</v>
      </c>
      <c r="C9" s="263"/>
      <c r="D9" s="263"/>
      <c r="E9" s="260">
        <f>SUMIF(HK!A:A,"256*",HK!K:K)-SUMIF(HK!A:A,"256*",HK!L:L)</f>
        <v>0</v>
      </c>
      <c r="F9" s="241"/>
      <c r="G9" s="26"/>
    </row>
    <row r="10" ht="21.75" customHeight="1" thickBot="1">
      <c r="A10" s="191" t="s">
        <v>894</v>
      </c>
      <c r="B10" s="153">
        <f>SUMIF(HK!A:A,"257*",HK!C:C)-SUMIF(HK!A:A,"257*",HK!D:D)</f>
        <v>0</v>
      </c>
      <c r="C10" s="263"/>
      <c r="D10" s="263"/>
      <c r="E10" s="260">
        <f>SUMIF(HK!A:A,"257*",HK!K:K)-SUMIF(HK!A:A,"257*",HK!L:L)</f>
        <v>0</v>
      </c>
      <c r="F10" s="241"/>
      <c r="G10" s="26"/>
    </row>
    <row r="11" ht="21.75" customHeight="1" thickBot="1">
      <c r="A11" s="191" t="s">
        <v>835</v>
      </c>
      <c r="B11" s="153">
        <f>SUMIF(HK!A:A,"259*",HK!C:C)-SUMIF(HK!A:A,"259*",HK!D:D)</f>
        <v>0</v>
      </c>
      <c r="C11" s="263"/>
      <c r="D11" s="263"/>
      <c r="E11" s="260">
        <f>SUMIF(HK!A:A,"259*",HK!K:K)-SUMIF(HK!A:A,"259*",HK!L:L)</f>
        <v>0</v>
      </c>
      <c r="F11" s="241"/>
      <c r="G11" s="26"/>
    </row>
    <row r="12" ht="21.75" customHeight="1" thickBot="1">
      <c r="A12" s="142" t="s">
        <v>223</v>
      </c>
      <c r="B12" s="14">
        <f>SUM(B6:B11)</f>
        <v>0</v>
      </c>
      <c r="C12" s="14">
        <f>SUM(C6:C11)</f>
        <v>0</v>
      </c>
      <c r="D12" s="14">
        <f>SUM(D6:D11)</f>
        <v>0</v>
      </c>
      <c r="E12" s="135">
        <f>SUM(E6:E11)</f>
        <v>0</v>
      </c>
    </row>
    <row r="13" thickTop="1"/>
  </sheetData>
  <sheetCalcPr fullCalcOnLoad="1"/>
  <mergeCells count="6">
    <mergeCell ref="A3:A5"/>
    <mergeCell ref="B3:E3"/>
    <mergeCell ref="B4:B5"/>
    <mergeCell ref="C4:C5"/>
    <mergeCell ref="D4:D5"/>
    <mergeCell ref="E4:E5"/>
  </mergeCells>
  <printOptions/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0"/>
  <sheetViews>
    <sheetView showGridLines="0" zoomScaleNormal="100" zoomScaleSheetLayoutView="100" zoomScalePageLayoutView="100" workbookViewId="0"/>
  </sheetViews>
  <sheetFormatPr defaultRowHeight="12"/>
  <cols>
    <col min="1" max="1" width="21.44140625" customWidth="1"/>
    <col min="2" max="6" width="13" customWidth="1"/>
    <col min="7" max="16384" width="8.88671875"/>
  </cols>
  <sheetData>
    <row r="1" ht="33.75" customHeight="1" thickBot="1">
      <c r="A1" s="93" t="s">
        <v>617</v>
      </c>
      <c r="B1" s="93"/>
      <c r="C1" s="93"/>
      <c r="D1" s="93"/>
      <c r="E1" s="93"/>
      <c r="F1" s="93"/>
      <c r="G1" s="190"/>
    </row>
    <row r="2" ht="55.5" customHeight="1" thickTop="1" thickBot="1">
      <c r="A2" s="229" t="s">
        <v>164</v>
      </c>
      <c r="B2" s="229" t="s">
        <v>1381</v>
      </c>
      <c r="C2" s="229" t="s">
        <v>844</v>
      </c>
      <c r="D2" s="229" t="s">
        <v>705</v>
      </c>
      <c r="E2" s="229" t="s">
        <v>519</v>
      </c>
      <c r="F2" s="229" t="s">
        <v>264</v>
      </c>
    </row>
    <row r="3" ht="23.25" customHeight="1" thickTop="1" thickBot="1">
      <c r="A3" s="17" t="s">
        <v>894</v>
      </c>
      <c r="B3" s="153">
        <f>SUMIF(SUAM!C:C,"069",SUAM!E:E)</f>
        <v>0</v>
      </c>
      <c r="C3" s="154"/>
      <c r="D3" s="154"/>
      <c r="E3" s="154"/>
      <c r="F3" s="81">
        <f>SUMIF(SUA!C:C,"069",SUA!E:E)</f>
        <v>0</v>
      </c>
      <c r="G3" s="241"/>
      <c r="H3" s="26"/>
      <c r="J3" s="253"/>
    </row>
    <row r="4" ht="23.25" customHeight="1" thickBot="1">
      <c r="A4" s="191" t="s">
        <v>835</v>
      </c>
      <c r="B4" s="153">
        <f>SUMIF(SUAM!C:C,"070",SUAM!E:E)</f>
        <v>0</v>
      </c>
      <c r="C4" s="154"/>
      <c r="D4" s="154"/>
      <c r="E4" s="154"/>
      <c r="F4" s="81">
        <f>SUMIF(SUA!C:C,"070",SUA!E:E)</f>
        <v>0</v>
      </c>
      <c r="G4" s="241"/>
      <c r="H4" s="26"/>
      <c r="J4" s="253"/>
    </row>
    <row r="5" ht="23.25" customHeight="1" thickBot="1">
      <c r="A5" s="142" t="s">
        <v>223</v>
      </c>
      <c r="B5" s="117">
        <f>SUM(B3:B4)</f>
        <v>0</v>
      </c>
      <c r="C5" s="117">
        <f>SUM(C3:C4)</f>
        <v>0</v>
      </c>
      <c r="D5" s="117">
        <f>SUM(D3:D4)</f>
        <v>0</v>
      </c>
      <c r="E5" s="117">
        <f>SUM(E3:E4)</f>
        <v>0</v>
      </c>
      <c r="F5" s="237">
        <f>SUM(B5:E5)</f>
        <v>0</v>
      </c>
    </row>
    <row r="6" thickTop="1"/>
    <row r="10">
      <c r="B10" s="161"/>
    </row>
  </sheetData>
  <sheetCalcPr fullCalcOnLoad="1"/>
  <mergeCells count="1">
    <mergeCell ref="A1:F1"/>
  </mergeCells>
  <printOptions/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ht="31.5" customHeight="1" thickBot="1">
      <c r="A1" s="93" t="s">
        <v>729</v>
      </c>
      <c r="B1" s="93"/>
      <c r="C1" s="190"/>
    </row>
    <row r="2" thickTop="1" thickBot="1">
      <c r="A2" s="108" t="s">
        <v>1220</v>
      </c>
      <c r="B2" s="221" t="s">
        <v>163</v>
      </c>
    </row>
    <row r="3" thickTop="1" thickBot="1">
      <c r="A3" s="213" t="s">
        <v>1246</v>
      </c>
      <c r="B3" s="147"/>
    </row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8"/>
  <sheetViews>
    <sheetView showGridLines="0" zoomScaleNormal="100" zoomScaleSheetLayoutView="100" zoomScalePageLayoutView="100" workbookViewId="0"/>
  </sheetViews>
  <sheetFormatPr defaultRowHeight="12"/>
  <cols>
    <col min="1" max="1" width="26.109375" customWidth="1"/>
    <col min="2" max="4" width="20.109375" customWidth="1"/>
    <col min="5" max="16384" width="8.88671875"/>
  </cols>
  <sheetData>
    <row r="1" s="190" customFormat="1" ht="36.75" customHeight="1" thickBot="1">
      <c r="A1" s="93" t="s">
        <v>822</v>
      </c>
      <c r="B1" s="93"/>
      <c r="C1" s="93"/>
      <c r="D1" s="93"/>
    </row>
    <row r="2" ht="44.25" customHeight="1" thickTop="1" thickBot="1">
      <c r="A2" s="120" t="s">
        <v>164</v>
      </c>
      <c r="B2" s="50" t="s">
        <v>1228</v>
      </c>
      <c r="C2" s="50" t="s">
        <v>568</v>
      </c>
      <c r="D2" s="50" t="s">
        <v>861</v>
      </c>
    </row>
    <row r="3" thickTop="1" thickBot="1">
      <c r="A3" s="17" t="s">
        <v>497</v>
      </c>
      <c r="B3" s="226"/>
      <c r="C3" s="226"/>
      <c r="D3" s="37"/>
    </row>
    <row r="4" thickBot="1">
      <c r="A4" s="17" t="s">
        <v>1221</v>
      </c>
      <c r="B4" s="226"/>
      <c r="C4" s="226"/>
      <c r="D4" s="37"/>
    </row>
    <row r="5" thickBot="1">
      <c r="A5" s="17" t="s">
        <v>925</v>
      </c>
      <c r="B5" s="226"/>
      <c r="C5" s="226"/>
      <c r="D5" s="37"/>
    </row>
    <row r="6" thickBot="1">
      <c r="A6" s="17" t="s">
        <v>894</v>
      </c>
      <c r="B6" s="226"/>
      <c r="C6" s="226"/>
      <c r="D6" s="37"/>
    </row>
    <row r="7" ht="26.25" customHeight="1" thickBot="1">
      <c r="A7" s="73" t="s">
        <v>223</v>
      </c>
      <c r="B7" s="13"/>
      <c r="C7" s="13"/>
      <c r="D7" s="134"/>
    </row>
    <row r="8" thickTop="1"/>
  </sheetData>
  <sheetCalcPr fullCalcOnLoad="1"/>
  <mergeCells count="1">
    <mergeCell ref="A1:D1"/>
  </mergeCells>
  <printOptions/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14.44140625" customWidth="1"/>
    <col min="2" max="7" width="12" customWidth="1"/>
    <col min="8" max="16384" width="8.88671875"/>
  </cols>
  <sheetData>
    <row r="1" thickBot="1">
      <c r="A1" s="47" t="s">
        <v>209</v>
      </c>
    </row>
    <row r="2" ht="36.75" customHeight="1" thickTop="1" thickBot="1">
      <c r="A2" s="108" t="s">
        <v>553</v>
      </c>
      <c r="B2" s="129" t="s">
        <v>998</v>
      </c>
      <c r="C2" s="238"/>
      <c r="D2" s="230"/>
      <c r="E2" s="235" t="s">
        <v>1097</v>
      </c>
      <c r="F2" s="56"/>
      <c r="G2" s="50"/>
    </row>
    <row r="3" thickTop="1" thickBot="1">
      <c r="A3" s="85"/>
      <c r="B3" s="129" t="s">
        <v>67</v>
      </c>
      <c r="C3" s="238"/>
      <c r="D3" s="230"/>
      <c r="E3" s="129" t="s">
        <v>67</v>
      </c>
      <c r="F3" s="238"/>
      <c r="G3" s="230"/>
    </row>
    <row r="4" thickTop="1" thickBot="1">
      <c r="A4" s="102"/>
      <c r="B4" s="202" t="s">
        <v>506</v>
      </c>
      <c r="C4" s="202" t="s">
        <v>115</v>
      </c>
      <c r="D4" s="202" t="s">
        <v>1010</v>
      </c>
      <c r="E4" s="202" t="s">
        <v>506</v>
      </c>
      <c r="F4" s="202" t="s">
        <v>115</v>
      </c>
      <c r="G4" s="202" t="s">
        <v>1010</v>
      </c>
    </row>
    <row r="5" ht="16.5" customHeight="1" thickTop="1" thickBot="1">
      <c r="A5" s="17" t="s">
        <v>1182</v>
      </c>
      <c r="B5" s="226"/>
      <c r="C5" s="226"/>
      <c r="D5" s="226"/>
      <c r="E5" s="226"/>
      <c r="F5" s="226"/>
      <c r="G5" s="37"/>
    </row>
    <row r="6" thickBot="1">
      <c r="A6" s="17" t="s">
        <v>222</v>
      </c>
      <c r="B6" s="226"/>
      <c r="C6" s="226"/>
      <c r="D6" s="226"/>
      <c r="E6" s="226"/>
      <c r="F6" s="226"/>
      <c r="G6" s="37"/>
    </row>
    <row r="7" thickBot="1">
      <c r="A7" s="38" t="s">
        <v>928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A2:A4"/>
    <mergeCell ref="B2:D2"/>
    <mergeCell ref="E2:G2"/>
    <mergeCell ref="B3:D3"/>
    <mergeCell ref="E3:G3"/>
  </mergeCells>
  <printOptions/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7"/>
  <sheetViews>
    <sheetView showGridLines="0" zoomScaleNormal="100" zoomScaleSheetLayoutView="100" zoomScalePageLayoutView="100" workbookViewId="0"/>
  </sheetViews>
  <sheetFormatPr defaultRowHeight="12"/>
  <cols>
    <col min="1" max="1" width="41" customWidth="1"/>
    <col min="2" max="2" width="45.44140625" customWidth="1"/>
    <col min="3" max="7" width="12" customWidth="1"/>
    <col min="8" max="16384" width="8.88671875"/>
  </cols>
  <sheetData>
    <row r="1" ht="16.5" customHeight="1">
      <c r="A1" s="78" t="s">
        <v>1199</v>
      </c>
      <c r="B1" s="78"/>
    </row>
    <row r="2" thickBot="1">
      <c r="A2" s="161" t="s">
        <v>1249</v>
      </c>
      <c r="B2" s="161"/>
    </row>
    <row r="3" thickTop="1" thickBot="1">
      <c r="A3" s="120" t="s">
        <v>1220</v>
      </c>
      <c r="B3" s="230" t="s">
        <v>1293</v>
      </c>
    </row>
    <row r="4" thickTop="1" thickBot="1">
      <c r="A4" s="38" t="s">
        <v>870</v>
      </c>
      <c r="B4" s="25">
        <f>IF(SUMIF(SUP!C:C,"100",SUP!E:E)&gt; 0,SUMIF(SUP!C:C,"100",SUP!E:E), 0)</f>
        <v>0</v>
      </c>
    </row>
    <row r="5" thickTop="1" thickBot="1">
      <c r="A5" s="38" t="s">
        <v>656</v>
      </c>
      <c r="B5" s="155" t="s">
        <v>998</v>
      </c>
    </row>
    <row r="6" thickTop="1" thickBot="1">
      <c r="A6" s="17" t="s">
        <v>1361</v>
      </c>
      <c r="B6" s="259"/>
    </row>
    <row r="7" thickBot="1">
      <c r="A7" s="17" t="s">
        <v>287</v>
      </c>
      <c r="B7" s="259"/>
    </row>
    <row r="8" thickBot="1">
      <c r="A8" s="17" t="s">
        <v>60</v>
      </c>
      <c r="B8" s="259"/>
    </row>
    <row r="9" thickBot="1">
      <c r="A9" s="17" t="s">
        <v>277</v>
      </c>
      <c r="B9" s="259"/>
    </row>
    <row r="10" thickBot="1">
      <c r="A10" s="17" t="s">
        <v>1212</v>
      </c>
      <c r="B10" s="259"/>
    </row>
    <row r="11" thickBot="1">
      <c r="A11" s="17" t="s">
        <v>485</v>
      </c>
      <c r="B11" s="259"/>
    </row>
    <row r="12" thickBot="1">
      <c r="A12" s="17" t="s">
        <v>479</v>
      </c>
      <c r="B12" s="259"/>
    </row>
    <row r="13" thickBot="1">
      <c r="A13" s="17" t="s">
        <v>175</v>
      </c>
      <c r="B13" s="259"/>
    </row>
    <row r="14" thickBot="1">
      <c r="A14" s="38" t="s">
        <v>928</v>
      </c>
      <c r="B14" s="70">
        <f>SUM(B6:B13)</f>
        <v>0</v>
      </c>
    </row>
    <row r="15" thickTop="1">
      <c r="A15" s="161"/>
      <c r="B15" s="7"/>
    </row>
    <row r="16" thickBot="1">
      <c r="A16" s="161" t="s">
        <v>1077</v>
      </c>
      <c r="B16" s="7"/>
    </row>
    <row r="17" thickTop="1" thickBot="1">
      <c r="A17" s="120" t="s">
        <v>1220</v>
      </c>
      <c r="B17" s="10" t="s">
        <v>1293</v>
      </c>
    </row>
    <row r="18" thickTop="1" thickBot="1">
      <c r="A18" s="38" t="s">
        <v>334</v>
      </c>
      <c r="B18" s="25">
        <f>IF(SUMIF(SUP!C:C,"100",SUP!E:E)&gt; 0,0,SUMIF(SUP!C:C,"100",SUP!E:E))</f>
        <v>0</v>
      </c>
    </row>
    <row r="19" thickTop="1" thickBot="1">
      <c r="A19" s="38" t="s">
        <v>462</v>
      </c>
      <c r="B19" s="155" t="s">
        <v>998</v>
      </c>
    </row>
    <row r="20" thickTop="1" thickBot="1">
      <c r="A20" s="17" t="s">
        <v>101</v>
      </c>
      <c r="B20" s="259"/>
    </row>
    <row r="21" thickBot="1">
      <c r="A21" s="17" t="s">
        <v>453</v>
      </c>
      <c r="B21" s="37"/>
    </row>
    <row r="22" thickBot="1">
      <c r="A22" s="17" t="s">
        <v>1106</v>
      </c>
      <c r="B22" s="37"/>
    </row>
    <row r="23" thickBot="1">
      <c r="A23" s="17" t="s">
        <v>249</v>
      </c>
      <c r="B23" s="37"/>
    </row>
    <row r="24" thickBot="1">
      <c r="A24" s="17" t="s">
        <v>16</v>
      </c>
      <c r="B24" s="37"/>
    </row>
    <row r="25" thickBot="1">
      <c r="A25" s="17" t="s">
        <v>175</v>
      </c>
      <c r="B25" s="37"/>
    </row>
    <row r="26" thickBot="1">
      <c r="A26" s="38" t="s">
        <v>1252</v>
      </c>
      <c r="B26" s="134">
        <f>SUM(B20:B25)</f>
        <v>0</v>
      </c>
    </row>
    <row r="27" thickTop="1"/>
  </sheetData>
  <sheetCalcPr fullCalcOnLoad="1"/>
  <mergeCells count="1">
    <mergeCell ref="A1:B1"/>
  </mergeCells>
  <printOptions/>
  <pageMargins left="0.7" right="0.7" top="0.75" bottom="0.75" header="0.3" footer="0.3"/>
  <pageSetup paperSize="9" orientation="portrait" horizontalDpi="300" verticalDpi="300"/>
</worksheet>
</file>

<file path=xl/worksheets/sheet2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I36"/>
  <sheetViews>
    <sheetView showGridLines="0" zoomScaleNormal="100" zoomScaleSheetLayoutView="100" zoomScalePageLayoutView="100" workbookViewId="0"/>
  </sheetViews>
  <sheetFormatPr defaultRowHeight="12"/>
  <cols>
    <col min="1" max="1" width="20.6640625" customWidth="1"/>
    <col min="2" max="2" width="16.109375" customWidth="1"/>
    <col min="3" max="5" width="13.109375" customWidth="1"/>
    <col min="6" max="6" width="16.109375" customWidth="1"/>
    <col min="7" max="7" width="23.33203125" customWidth="1"/>
    <col min="8" max="16384" width="8.88671875"/>
  </cols>
  <sheetData>
    <row r="1">
      <c r="A1" s="148" t="s">
        <v>1247</v>
      </c>
      <c r="B1" s="161"/>
      <c r="C1" s="161"/>
      <c r="D1" s="161"/>
      <c r="E1" s="161"/>
      <c r="F1" s="161"/>
    </row>
    <row r="2" thickBot="1">
      <c r="A2" s="161" t="s">
        <v>1249</v>
      </c>
      <c r="B2" s="161"/>
      <c r="C2" s="161"/>
      <c r="D2" s="161"/>
      <c r="E2" s="161"/>
      <c r="F2" s="161"/>
    </row>
    <row r="3" thickTop="1" thickBot="1">
      <c r="A3" s="108" t="s">
        <v>1220</v>
      </c>
      <c r="B3" s="129" t="s">
        <v>998</v>
      </c>
      <c r="C3" s="238"/>
      <c r="D3" s="238"/>
      <c r="E3" s="238"/>
      <c r="F3" s="230"/>
    </row>
    <row r="4" s="190" customFormat="1" ht="33" customHeight="1" thickTop="1" thickBot="1">
      <c r="A4" s="102"/>
      <c r="B4" s="202" t="s">
        <v>1216</v>
      </c>
      <c r="C4" s="202" t="s">
        <v>824</v>
      </c>
      <c r="D4" s="216" t="s">
        <v>848</v>
      </c>
      <c r="E4" s="205" t="s">
        <v>607</v>
      </c>
      <c r="F4" s="202" t="s">
        <v>459</v>
      </c>
    </row>
    <row r="5" ht="21" customHeight="1" thickTop="1" thickBot="1">
      <c r="A5" s="73" t="s">
        <v>66</v>
      </c>
      <c r="B5" s="28">
        <f>SUMIF(HK!A:A,"459*",HK!D:D)-SUMIF(HK!A:A,"459*",HK!C:C)</f>
        <v>0</v>
      </c>
      <c r="C5" s="246">
        <f>SUM(C6:C10)</f>
        <v>0</v>
      </c>
      <c r="D5" s="246">
        <f>SUM(D6:D10)</f>
        <v>0</v>
      </c>
      <c r="E5" s="246">
        <f>SUM(E6:E10)</f>
        <v>0</v>
      </c>
      <c r="F5" s="42">
        <f>SUMIF(HK!A:A,"459*",HK!L:L)-SUMIF(HK!A:A,"459*",HK!K:K)</f>
        <v>0</v>
      </c>
      <c r="G5" s="241"/>
      <c r="H5" s="26"/>
      <c r="I5" s="241"/>
    </row>
    <row r="6" ht="21" customHeight="1" thickTop="1" thickBot="1">
      <c r="A6" s="203"/>
      <c r="B6" s="266"/>
      <c r="C6" s="154"/>
      <c r="D6" s="138"/>
      <c r="E6" s="138"/>
      <c r="F6" s="58">
        <f>SUM(B6:E6)</f>
        <v>0</v>
      </c>
      <c r="G6" s="241"/>
      <c r="H6" s="241"/>
      <c r="I6" s="241"/>
    </row>
    <row r="7" ht="21" customHeight="1" thickBot="1">
      <c r="A7" s="203"/>
      <c r="B7" s="266"/>
      <c r="C7" s="154"/>
      <c r="D7" s="217"/>
      <c r="E7" s="217"/>
      <c r="F7" s="58">
        <f>SUM(B7:E7)</f>
        <v>0</v>
      </c>
      <c r="G7" s="241"/>
      <c r="H7" s="241"/>
      <c r="I7" s="241"/>
    </row>
    <row r="8" ht="21" customHeight="1" thickBot="1">
      <c r="A8" s="203"/>
      <c r="B8" s="266"/>
      <c r="C8" s="154"/>
      <c r="D8" s="217"/>
      <c r="E8" s="217"/>
      <c r="F8" s="58">
        <f>SUM(B8:E8)</f>
        <v>0</v>
      </c>
      <c r="G8" s="241"/>
      <c r="H8" s="241"/>
      <c r="I8" s="241"/>
    </row>
    <row r="9" ht="21" customHeight="1" thickBot="1">
      <c r="A9" s="203"/>
      <c r="B9" s="266"/>
      <c r="C9" s="154"/>
      <c r="D9" s="217"/>
      <c r="E9" s="217"/>
      <c r="F9" s="58">
        <f>SUM(B9:E9)</f>
        <v>0</v>
      </c>
      <c r="G9" s="241"/>
      <c r="H9" s="241"/>
      <c r="I9" s="241"/>
    </row>
    <row r="10" ht="21" customHeight="1" thickBot="1">
      <c r="A10" s="250"/>
      <c r="B10" s="95"/>
      <c r="C10" s="233"/>
      <c r="D10" s="27"/>
      <c r="E10" s="27"/>
      <c r="F10" s="194">
        <f>SUM(B10:E10)</f>
        <v>0</v>
      </c>
      <c r="G10" s="241"/>
      <c r="H10" s="241"/>
      <c r="I10" s="241"/>
    </row>
    <row r="11" ht="21" customHeight="1" thickTop="1" thickBot="1">
      <c r="A11" s="73" t="s">
        <v>1341</v>
      </c>
      <c r="B11" s="201">
        <f>SUMIF(HK!A:A,"323*",HK!D:D)-SUMIF(HK!A:A,"323*",HK!C:C)</f>
        <v>0</v>
      </c>
      <c r="C11" s="233">
        <f>SUM(C12:C16)</f>
        <v>0</v>
      </c>
      <c r="D11" s="233">
        <f>SUM(D12:D16)</f>
        <v>0</v>
      </c>
      <c r="E11" s="233">
        <f>SUM(E12:E16)</f>
        <v>0</v>
      </c>
      <c r="F11" s="168">
        <f>SUMIF(HK!A:A,"323*",HK!L:L)-SUMIF(HK!A:A,"323*",HK!K:K)</f>
        <v>0</v>
      </c>
      <c r="G11" s="241"/>
      <c r="H11" s="26"/>
      <c r="I11" s="241"/>
    </row>
    <row r="12" ht="21" customHeight="1" thickTop="1" thickBot="1">
      <c r="A12" s="203"/>
      <c r="B12" s="266"/>
      <c r="C12" s="154"/>
      <c r="D12" s="138"/>
      <c r="E12" s="138"/>
      <c r="F12" s="58">
        <f>SUM(B12:E12)</f>
        <v>0</v>
      </c>
      <c r="G12" s="241"/>
      <c r="H12" s="241"/>
      <c r="I12" s="241"/>
    </row>
    <row r="13" ht="21" customHeight="1" thickBot="1">
      <c r="A13" s="203"/>
      <c r="B13" s="46"/>
      <c r="C13" s="226"/>
      <c r="D13" s="273"/>
      <c r="E13" s="273"/>
      <c r="F13" s="125">
        <f>SUM(B13:E13)</f>
        <v>0</v>
      </c>
    </row>
    <row r="14" ht="21" customHeight="1" thickBot="1">
      <c r="A14" s="203"/>
      <c r="B14" s="46"/>
      <c r="C14" s="226"/>
      <c r="D14" s="273"/>
      <c r="E14" s="273"/>
      <c r="F14" s="125">
        <f>SUM(B14:E14)</f>
        <v>0</v>
      </c>
    </row>
    <row r="15" ht="21" customHeight="1" thickBot="1">
      <c r="A15" s="203"/>
      <c r="B15" s="46"/>
      <c r="C15" s="226"/>
      <c r="D15" s="273"/>
      <c r="E15" s="273"/>
      <c r="F15" s="125">
        <f>SUM(B15:E15)</f>
        <v>0</v>
      </c>
    </row>
    <row r="16" ht="21" customHeight="1" thickBot="1">
      <c r="A16" s="203"/>
      <c r="B16" s="46"/>
      <c r="C16" s="226"/>
      <c r="D16" s="273"/>
      <c r="E16" s="273"/>
      <c r="F16" s="125">
        <f>SUM(B16:E16)</f>
        <v>0</v>
      </c>
    </row>
    <row r="17" ht="21" customHeight="1" thickBot="1">
      <c r="A17" s="250"/>
      <c r="B17" s="261"/>
      <c r="C17" s="117"/>
      <c r="D17" s="185"/>
      <c r="E17" s="185"/>
      <c r="F17" s="76">
        <f>SUM(B17:E17)</f>
        <v>0</v>
      </c>
    </row>
    <row r="18" thickTop="1">
      <c r="A18" s="190"/>
      <c r="B18" s="190"/>
      <c r="C18" s="190"/>
      <c r="D18" s="190"/>
      <c r="E18" s="190"/>
      <c r="F18" s="190"/>
    </row>
    <row r="19">
      <c r="A19" s="276"/>
    </row>
    <row r="20" thickBot="1">
      <c r="A20" s="161" t="s">
        <v>1077</v>
      </c>
      <c r="B20" s="161"/>
      <c r="C20" s="161"/>
      <c r="D20" s="161"/>
      <c r="E20" s="161"/>
      <c r="F20" s="161"/>
    </row>
    <row r="21" thickTop="1" thickBot="1">
      <c r="A21" s="108" t="s">
        <v>1220</v>
      </c>
      <c r="B21" s="129" t="s">
        <v>1293</v>
      </c>
      <c r="C21" s="238"/>
      <c r="D21" s="238"/>
      <c r="E21" s="238"/>
      <c r="F21" s="230"/>
    </row>
    <row r="22" s="190" customFormat="1" thickTop="1" thickBot="1">
      <c r="A22" s="102"/>
      <c r="B22" s="202" t="s">
        <v>1216</v>
      </c>
      <c r="C22" s="202" t="s">
        <v>824</v>
      </c>
      <c r="D22" s="216" t="s">
        <v>848</v>
      </c>
      <c r="E22" s="205" t="s">
        <v>607</v>
      </c>
      <c r="F22" s="202" t="s">
        <v>459</v>
      </c>
    </row>
    <row r="23" ht="21" customHeight="1" thickTop="1" thickBot="1">
      <c r="A23" s="250" t="s">
        <v>66</v>
      </c>
      <c r="B23" s="28">
        <f>SUMIF(HKM!A:A,"459*",HKM!D:D)-SUMIF(HKM!A:A,"459*",HKM!C:C)</f>
        <v>0</v>
      </c>
      <c r="C23" s="246">
        <f>SUM(C24:C28)</f>
        <v>0</v>
      </c>
      <c r="D23" s="246">
        <f>SUM(D24:D28)</f>
        <v>0</v>
      </c>
      <c r="E23" s="246">
        <f>SUM(E24:E28)</f>
        <v>0</v>
      </c>
      <c r="F23" s="42">
        <f>SUMIF(HKM!A:A,"459*",HKM!L:L)-SUMIF(HKM!A:A,"459*",HKM!K:K)</f>
        <v>0</v>
      </c>
      <c r="G23" s="241"/>
      <c r="H23" s="26"/>
      <c r="I23" s="241"/>
    </row>
    <row r="24" ht="21" customHeight="1" thickTop="1" thickBot="1">
      <c r="A24" s="203"/>
      <c r="B24" s="266"/>
      <c r="C24" s="154"/>
      <c r="D24" s="138"/>
      <c r="E24" s="138"/>
      <c r="F24" s="58">
        <f>SUM(B24:E24)</f>
        <v>0</v>
      </c>
      <c r="G24" s="241"/>
      <c r="H24" s="241"/>
      <c r="I24" s="241"/>
    </row>
    <row r="25" ht="21" customHeight="1" thickBot="1">
      <c r="A25" s="203"/>
      <c r="B25" s="266"/>
      <c r="C25" s="154"/>
      <c r="D25" s="217"/>
      <c r="E25" s="217"/>
      <c r="F25" s="58">
        <f>SUM(B25:E25)</f>
        <v>0</v>
      </c>
      <c r="G25" s="241"/>
      <c r="H25" s="241"/>
      <c r="I25" s="241"/>
    </row>
    <row r="26" ht="21" customHeight="1" thickBot="1">
      <c r="A26" s="203"/>
      <c r="B26" s="266"/>
      <c r="C26" s="154"/>
      <c r="D26" s="217"/>
      <c r="E26" s="217"/>
      <c r="F26" s="58">
        <f>SUM(B26:E26)</f>
        <v>0</v>
      </c>
      <c r="G26" s="241"/>
      <c r="H26" s="241"/>
      <c r="I26" s="241"/>
    </row>
    <row r="27" ht="21" customHeight="1" thickBot="1">
      <c r="A27" s="203"/>
      <c r="B27" s="266"/>
      <c r="C27" s="154"/>
      <c r="D27" s="217"/>
      <c r="E27" s="217"/>
      <c r="F27" s="58">
        <f>SUM(B27:E27)</f>
        <v>0</v>
      </c>
      <c r="G27" s="241"/>
      <c r="H27" s="241"/>
      <c r="I27" s="241"/>
    </row>
    <row r="28" ht="21" customHeight="1" thickBot="1">
      <c r="A28" s="250"/>
      <c r="B28" s="95"/>
      <c r="C28" s="233"/>
      <c r="D28" s="27"/>
      <c r="E28" s="27"/>
      <c r="F28" s="194">
        <f>SUM(B28:E28)</f>
        <v>0</v>
      </c>
      <c r="G28" s="241"/>
      <c r="H28" s="241"/>
      <c r="I28" s="241"/>
    </row>
    <row r="29" ht="21" customHeight="1" thickTop="1" thickBot="1">
      <c r="A29" s="250" t="s">
        <v>1341</v>
      </c>
      <c r="B29" s="201">
        <f>SUMIF(HKM!A:A,"323*",HKM!D:D)-SUMIF(HKM!A:A,"323*",HKM!C:C)</f>
        <v>0</v>
      </c>
      <c r="C29" s="233">
        <f>SUM(C30:C34)</f>
        <v>0</v>
      </c>
      <c r="D29" s="233">
        <f>SUM(D30:D34)</f>
        <v>0</v>
      </c>
      <c r="E29" s="233">
        <f>SUM(E30:E34)</f>
        <v>0</v>
      </c>
      <c r="F29" s="168">
        <f>SUMIF(HKM!A:A,"323*",HKM!L:L)-SUMIF(HKM!A:A,"323*",HKM!K:K)</f>
        <v>0</v>
      </c>
      <c r="G29" s="241"/>
      <c r="H29" s="26"/>
      <c r="I29" s="241"/>
    </row>
    <row r="30" ht="21" customHeight="1" thickTop="1" thickBot="1">
      <c r="A30" s="203"/>
      <c r="B30" s="266"/>
      <c r="C30" s="154"/>
      <c r="D30" s="138"/>
      <c r="E30" s="138"/>
      <c r="F30" s="58">
        <f>SUM(B30:E30)</f>
        <v>0</v>
      </c>
      <c r="G30" s="241"/>
      <c r="H30" s="241"/>
      <c r="I30" s="241"/>
    </row>
    <row r="31" ht="21" customHeight="1" thickBot="1">
      <c r="A31" s="203"/>
      <c r="B31" s="46"/>
      <c r="C31" s="226"/>
      <c r="D31" s="273"/>
      <c r="E31" s="273"/>
      <c r="F31" s="125">
        <f>SUM(B31:E31)</f>
        <v>0</v>
      </c>
    </row>
    <row r="32" ht="21" customHeight="1" thickBot="1">
      <c r="A32" s="203"/>
      <c r="B32" s="46"/>
      <c r="C32" s="226"/>
      <c r="D32" s="273"/>
      <c r="E32" s="273"/>
      <c r="F32" s="125">
        <f>SUM(B32:E32)</f>
        <v>0</v>
      </c>
    </row>
    <row r="33" ht="21" customHeight="1" thickBot="1">
      <c r="A33" s="203"/>
      <c r="B33" s="46"/>
      <c r="C33" s="226"/>
      <c r="D33" s="273"/>
      <c r="E33" s="273"/>
      <c r="F33" s="125">
        <f>SUM(B33:E33)</f>
        <v>0</v>
      </c>
    </row>
    <row r="34" ht="21" customHeight="1" thickBot="1">
      <c r="A34" s="203"/>
      <c r="B34" s="46"/>
      <c r="C34" s="226"/>
      <c r="D34" s="273"/>
      <c r="E34" s="273"/>
      <c r="F34" s="125">
        <f>SUM(B34:E34)</f>
        <v>0</v>
      </c>
    </row>
    <row r="35" ht="21" customHeight="1" thickBot="1">
      <c r="A35" s="250"/>
      <c r="B35" s="261"/>
      <c r="C35" s="117"/>
      <c r="D35" s="185"/>
      <c r="E35" s="185"/>
      <c r="F35" s="76">
        <f>SUM(B35:E35)</f>
        <v>0</v>
      </c>
    </row>
    <row r="36" thickTop="1"/>
  </sheetData>
  <sheetCalcPr fullCalcOnLoad="1"/>
  <mergeCells count="4">
    <mergeCell ref="B21:F21"/>
    <mergeCell ref="A21:A22"/>
    <mergeCell ref="A3:A4"/>
    <mergeCell ref="B3:F3"/>
  </mergeCells>
  <printOptions/>
  <pageMargins left="0.7" right="0.7" top="0.75" bottom="0.75" header="0.3" footer="0.3"/>
  <pageSetup paperSize="9" orientation="portrait" horizontalDpi="300" verticalDpi="300"/>
</worksheet>
</file>

<file path=xl/worksheets/sheet2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32" customWidth="1"/>
    <col min="2" max="3" width="27.332031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thickBot="1">
      <c r="A1" s="47" t="s">
        <v>498</v>
      </c>
    </row>
    <row r="2" ht="26.25" customHeight="1" thickTop="1" thickBot="1">
      <c r="A2" s="120" t="s">
        <v>1220</v>
      </c>
      <c r="B2" s="50" t="s">
        <v>998</v>
      </c>
      <c r="C2" s="50" t="s">
        <v>1293</v>
      </c>
    </row>
    <row r="3" ht="26.25" customHeight="1" thickTop="1" thickBot="1">
      <c r="A3" s="142" t="s">
        <v>483</v>
      </c>
      <c r="B3" s="145"/>
      <c r="C3" s="143"/>
    </row>
    <row r="4" ht="26.25" customHeight="1" thickTop="1" thickBot="1">
      <c r="A4" s="191" t="s">
        <v>481</v>
      </c>
      <c r="B4" s="20"/>
      <c r="C4" s="252"/>
    </row>
    <row r="5" ht="31.5" customHeight="1" thickBot="1">
      <c r="A5" s="191" t="s">
        <v>990</v>
      </c>
      <c r="B5" s="145"/>
      <c r="C5" s="143"/>
    </row>
    <row r="6" ht="20.25" customHeight="1" thickBot="1">
      <c r="A6" s="18" t="s">
        <v>643</v>
      </c>
      <c r="B6" s="145"/>
      <c r="C6" s="143"/>
    </row>
    <row r="7" ht="26.25" customHeight="1" thickBot="1">
      <c r="A7" s="191" t="s">
        <v>1322</v>
      </c>
      <c r="B7" s="46"/>
      <c r="C7" s="37"/>
    </row>
    <row r="8" ht="27.75" customHeight="1" thickBot="1">
      <c r="A8" s="191" t="s">
        <v>1003</v>
      </c>
      <c r="B8" s="46"/>
      <c r="C8" s="37"/>
    </row>
    <row r="9" ht="20.25" customHeight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2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20"/>
  <sheetViews>
    <sheetView showGridLines="0" zoomScaleNormal="100" zoomScaleSheetLayoutView="100" zoomScalePageLayoutView="100" workbookViewId="0"/>
  </sheetViews>
  <sheetFormatPr defaultRowHeight="12"/>
  <cols>
    <col min="1" max="1" width="27.6640625" customWidth="1"/>
    <col min="2" max="3" width="29.332031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s="190" customFormat="1" ht="40.5" customHeight="1" thickBot="1">
      <c r="A1" s="93" t="s">
        <v>977</v>
      </c>
      <c r="B1" s="93"/>
      <c r="C1" s="93"/>
    </row>
    <row r="2" thickTop="1" thickBot="1">
      <c r="A2" s="120" t="s">
        <v>1220</v>
      </c>
      <c r="B2" s="50" t="s">
        <v>998</v>
      </c>
      <c r="C2" s="50" t="s">
        <v>1293</v>
      </c>
    </row>
    <row r="3" thickTop="1" thickBot="1">
      <c r="A3" s="18" t="s">
        <v>856</v>
      </c>
      <c r="B3" s="226"/>
      <c r="C3" s="37"/>
    </row>
    <row r="4" ht="23.25" customHeight="1" thickBot="1">
      <c r="A4" s="191" t="s">
        <v>410</v>
      </c>
      <c r="B4" s="226"/>
      <c r="C4" s="37"/>
    </row>
    <row r="5" ht="23.25" customHeight="1" thickBot="1">
      <c r="A5" s="191" t="s">
        <v>931</v>
      </c>
      <c r="B5" s="226"/>
      <c r="C5" s="37"/>
    </row>
    <row r="6" thickBot="1">
      <c r="A6" s="18" t="s">
        <v>635</v>
      </c>
      <c r="B6" s="226"/>
      <c r="C6" s="37"/>
    </row>
    <row r="7" ht="23.25" customHeight="1" thickBot="1">
      <c r="A7" s="191" t="s">
        <v>410</v>
      </c>
      <c r="B7" s="226"/>
      <c r="C7" s="37"/>
    </row>
    <row r="8" ht="23.25" customHeight="1" thickBot="1">
      <c r="A8" s="191" t="s">
        <v>931</v>
      </c>
      <c r="B8" s="226"/>
      <c r="C8" s="37"/>
    </row>
    <row r="9" ht="23.25" customHeight="1" thickBot="1">
      <c r="A9" s="18" t="s">
        <v>503</v>
      </c>
      <c r="B9" s="226"/>
      <c r="C9" s="37"/>
    </row>
    <row r="10" ht="23.25" customHeight="1" thickBot="1">
      <c r="A10" s="18" t="s">
        <v>546</v>
      </c>
      <c r="B10" s="226"/>
      <c r="C10" s="37"/>
    </row>
    <row r="11" ht="23.25" customHeight="1" thickBot="1">
      <c r="A11" s="18" t="s">
        <v>276</v>
      </c>
      <c r="B11" s="169">
        <v>0.22</v>
      </c>
      <c r="C11" s="3">
        <v>0.23</v>
      </c>
    </row>
    <row r="12" ht="23.25" customHeight="1" thickBot="1">
      <c r="A12" s="18" t="s">
        <v>388</v>
      </c>
      <c r="B12" s="264">
        <f>SUMIF(SUA!C:C,"052",SUA!F:F)</f>
        <v>0</v>
      </c>
      <c r="C12" s="81">
        <f>SUMIF(SUA!C:C,"052",SUA!G:G)</f>
        <v>0</v>
      </c>
      <c r="D12" s="241"/>
      <c r="E12" s="104"/>
    </row>
    <row r="13" ht="23.25" customHeight="1" thickBot="1">
      <c r="A13" s="18" t="s">
        <v>1350</v>
      </c>
      <c r="B13" s="154"/>
      <c r="C13" s="259"/>
      <c r="D13" s="241"/>
      <c r="E13" s="241"/>
    </row>
    <row r="14" ht="23.25" customHeight="1" thickBot="1">
      <c r="A14" s="191" t="s">
        <v>488</v>
      </c>
      <c r="B14" s="154"/>
      <c r="C14" s="259"/>
      <c r="D14" s="241"/>
      <c r="E14" s="241"/>
    </row>
    <row r="15" ht="23.25" customHeight="1" thickBot="1">
      <c r="A15" s="191" t="s">
        <v>336</v>
      </c>
      <c r="B15" s="154"/>
      <c r="C15" s="259"/>
      <c r="D15" s="241"/>
      <c r="E15" s="241"/>
    </row>
    <row r="16" ht="23.25" customHeight="1" thickBot="1">
      <c r="A16" s="157" t="s">
        <v>149</v>
      </c>
      <c r="B16" s="264">
        <f>SUMIF(SUA!C:C,"117",SUA!F:F)</f>
        <v>0</v>
      </c>
      <c r="C16" s="81">
        <f>SUMIF(SUA!C:C,"117",SUA!G:G)</f>
        <v>0</v>
      </c>
      <c r="D16" s="241"/>
      <c r="E16" s="104"/>
    </row>
    <row r="17" ht="23.25" customHeight="1" thickBot="1">
      <c r="A17" s="88" t="s">
        <v>577</v>
      </c>
      <c r="B17" s="226"/>
      <c r="C17" s="37"/>
    </row>
    <row r="18" ht="23.25" customHeight="1" thickBot="1">
      <c r="A18" s="191" t="s">
        <v>618</v>
      </c>
      <c r="B18" s="226"/>
      <c r="C18" s="37"/>
    </row>
    <row r="19" ht="23.25" customHeight="1" thickBot="1">
      <c r="A19" s="64" t="s">
        <v>336</v>
      </c>
      <c r="B19" s="48"/>
      <c r="C19" s="146"/>
    </row>
    <row r="20" ht="18.75" customHeight="1" thickBot="1">
      <c r="A20" s="4" t="s">
        <v>478</v>
      </c>
      <c r="B20" s="90"/>
      <c r="C20" s="90"/>
    </row>
  </sheetData>
  <sheetCalcPr fullCalcOnLoad="1"/>
  <mergeCells count="1">
    <mergeCell ref="A1:C1"/>
  </mergeCells>
  <printOptions/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M53"/>
  <sheetViews>
    <sheetView showGridLines="0" zoomScaleNormal="100" zoomScaleSheetLayoutView="100" zoomScalePageLayoutView="100" workbookViewId="0"/>
  </sheetViews>
  <sheetFormatPr defaultRowHeight="12"/>
  <cols>
    <col min="1" max="1" width="29.44140625" customWidth="1"/>
    <col min="2" max="9" width="12.5546875" customWidth="1"/>
    <col min="10" max="16384" width="8.88671875"/>
  </cols>
  <sheetData>
    <row r="1">
      <c r="A1" s="47" t="s">
        <v>427</v>
      </c>
    </row>
    <row r="2" thickBot="1">
      <c r="A2" s="276" t="s">
        <v>1249</v>
      </c>
    </row>
    <row r="3" ht="15" customHeight="1" thickTop="1" thickBot="1">
      <c r="A3" s="214" t="s">
        <v>702</v>
      </c>
      <c r="B3" s="235" t="s">
        <v>998</v>
      </c>
      <c r="C3" s="56"/>
      <c r="D3" s="56"/>
      <c r="E3" s="56"/>
      <c r="F3" s="56"/>
      <c r="G3" s="56"/>
      <c r="H3" s="56"/>
      <c r="I3" s="50"/>
    </row>
    <row r="4" ht="35.25" customHeight="1" thickTop="1" thickBot="1">
      <c r="A4" s="186"/>
      <c r="B4" s="176" t="s">
        <v>882</v>
      </c>
      <c r="C4" s="34" t="s">
        <v>937</v>
      </c>
      <c r="D4" s="34" t="s">
        <v>1175</v>
      </c>
      <c r="E4" s="214" t="s">
        <v>764</v>
      </c>
      <c r="F4" s="176" t="s">
        <v>1348</v>
      </c>
      <c r="G4" s="34" t="s">
        <v>1040</v>
      </c>
      <c r="H4" s="34" t="s">
        <v>1295</v>
      </c>
      <c r="I4" s="34" t="s">
        <v>928</v>
      </c>
    </row>
    <row r="5" ht="15" customHeight="1" thickTop="1" thickBot="1">
      <c r="A5" s="15" t="s">
        <v>1137</v>
      </c>
      <c r="B5" s="179"/>
      <c r="C5" s="179"/>
      <c r="D5" s="179"/>
      <c r="E5" s="179"/>
      <c r="F5" s="179"/>
      <c r="G5" s="179"/>
      <c r="H5" s="179"/>
      <c r="I5" s="197"/>
    </row>
    <row r="6" thickTop="1" thickBot="1">
      <c r="A6" s="18" t="s">
        <v>429</v>
      </c>
      <c r="B6" s="153">
        <f>SUMIF(HK!A:A,"012*",HK!C:C)-SUMIF(HK!A:A,"012*",HK!D:D)</f>
        <v>0</v>
      </c>
      <c r="C6" s="153">
        <f>SUMIF(HK!A:A,"013*",HK!C:C)-SUMIF(HK!A:A,"013*",HK!D:D)</f>
        <v>0</v>
      </c>
      <c r="D6" s="153">
        <f>SUMIF(HK!A:A,"014*",HK!C:C)-SUMIF(HK!A:A,"014*",HK!D:D)</f>
        <v>0</v>
      </c>
      <c r="E6" s="153">
        <f>SUMIF(HK!A:A,"015*",HK!C:C)-SUMIF(HK!A:A,"015*",HK!D:D)</f>
        <v>0</v>
      </c>
      <c r="F6" s="153">
        <f>SUMIF(HK!A:A,"019*",HK!C:C)-SUMIF(HK!A:A,"019*",HK!D:D)</f>
        <v>0</v>
      </c>
      <c r="G6" s="153">
        <f>SUMIF(HK!A:A,"041*",HK!C:C)-SUMIF(HK!A:A,"041*",HK!D:D)</f>
        <v>0</v>
      </c>
      <c r="H6" s="153">
        <f>SUMIF(HK!A:A,"051*",HK!C:C)-SUMIF(HK!A:A,"051*",HK!D:D)</f>
        <v>0</v>
      </c>
      <c r="I6" s="79">
        <f>SUM(B6:H6)</f>
        <v>0</v>
      </c>
      <c r="J6" s="84"/>
      <c r="K6" s="40"/>
      <c r="L6" s="84"/>
    </row>
    <row r="7" ht="25.5" customHeight="1" thickBot="1">
      <c r="A7" s="191" t="s">
        <v>266</v>
      </c>
      <c r="B7" s="263"/>
      <c r="C7" s="153"/>
      <c r="D7" s="153"/>
      <c r="E7" s="153"/>
      <c r="F7" s="153"/>
      <c r="G7" s="153"/>
      <c r="H7" s="153"/>
      <c r="I7" s="79">
        <f>SUM(B7:H7)</f>
        <v>0</v>
      </c>
      <c r="J7" s="84"/>
      <c r="K7" s="84"/>
      <c r="L7" s="84"/>
    </row>
    <row r="8" ht="15" customHeight="1" thickBot="1">
      <c r="A8" s="191" t="s">
        <v>413</v>
      </c>
      <c r="B8" s="263"/>
      <c r="C8" s="263"/>
      <c r="D8" s="263"/>
      <c r="E8" s="263"/>
      <c r="F8" s="31"/>
      <c r="G8" s="263"/>
      <c r="H8" s="263"/>
      <c r="I8" s="79">
        <f>SUM(B8:H8)</f>
        <v>0</v>
      </c>
      <c r="J8" s="84"/>
      <c r="K8" s="84"/>
      <c r="L8" s="84"/>
    </row>
    <row r="9" ht="23.25" customHeight="1" thickBot="1">
      <c r="A9" s="191" t="s">
        <v>50</v>
      </c>
      <c r="B9" s="263"/>
      <c r="C9" s="153"/>
      <c r="D9" s="153"/>
      <c r="E9" s="153"/>
      <c r="F9" s="153"/>
      <c r="G9" s="153"/>
      <c r="H9" s="153"/>
      <c r="I9" s="79">
        <f>SUM(B9:H9)</f>
        <v>0</v>
      </c>
      <c r="J9" s="84"/>
      <c r="K9" s="84"/>
      <c r="L9" s="84"/>
    </row>
    <row r="10" thickBot="1">
      <c r="A10" s="142" t="s">
        <v>459</v>
      </c>
      <c r="B10" s="153">
        <f>SUMIF(HK!A:A,"012*",HK!K:K)-SUMIF(HK!A:A,"012*",HK!L:L)</f>
        <v>0</v>
      </c>
      <c r="C10" s="153">
        <f>SUMIF(HK!A:A,"013*",HK!K:K)-SUMIF(HK!A:A,"013*",HK!L:L)</f>
        <v>0</v>
      </c>
      <c r="D10" s="153">
        <f>SUMIF(HK!A:A,"014*",HK!K:K)-SUMIF(HK!A:A,"014*",HK!L:L)</f>
        <v>0</v>
      </c>
      <c r="E10" s="153">
        <f>SUMIF(HK!A:A,"015*",HK!K:K)-SUMIF(HK!A:A,"015*",HK!L:L)</f>
        <v>0</v>
      </c>
      <c r="F10" s="153">
        <f>SUMIF(HK!A:A,"019*",HK!K:K)-SUMIF(HK!A:A,"019*",HK!L:L)</f>
        <v>0</v>
      </c>
      <c r="G10" s="153">
        <f>SUMIF(HK!A:A,"041*",HK!K:K)-SUMIF(HK!A:A,"041*",HK!L:L)</f>
        <v>0</v>
      </c>
      <c r="H10" s="153">
        <f>SUMIF(HK!A:A,"051*",HK!K:K)-SUMIF(HK!A:A,"051*",HK!L:L)</f>
        <v>0</v>
      </c>
      <c r="I10" s="167">
        <f>I6+I7-I8+I9</f>
        <v>0</v>
      </c>
      <c r="J10" s="84"/>
      <c r="K10" s="40"/>
      <c r="L10" s="84"/>
    </row>
    <row r="11" ht="15" customHeight="1" thickTop="1" thickBot="1">
      <c r="A11" s="15" t="s">
        <v>932</v>
      </c>
      <c r="B11" s="159"/>
      <c r="C11" s="159"/>
      <c r="D11" s="209"/>
      <c r="E11" s="159"/>
      <c r="F11" s="159"/>
      <c r="G11" s="159"/>
      <c r="H11" s="159"/>
      <c r="I11" s="131"/>
      <c r="J11" s="84"/>
      <c r="K11" s="84"/>
      <c r="L11" s="84"/>
    </row>
    <row r="12" thickTop="1" thickBot="1">
      <c r="A12" s="18" t="s">
        <v>1216</v>
      </c>
      <c r="B12" s="153">
        <f>SUMIF(HK!A:A,"071*",HK!D:D)-SUMIF(HK!A:A,"071*",HK!C:C)</f>
        <v>0</v>
      </c>
      <c r="C12" s="153">
        <f>SUMIF(HK!A:A,"073*",HK!D:D)-SUMIF(HK!A:A,"073*",HK!C:C)</f>
        <v>0</v>
      </c>
      <c r="D12" s="109">
        <f>SUMIF(HK!A:A,"074*",HK!D:D)-SUMIF(HK!A:A,"074*",HK!C:C)</f>
        <v>0</v>
      </c>
      <c r="E12" s="153">
        <f>SUMIF(HK!A:A,"075*",HK!D:D)-SUMIF(HK!A:A,"075*",HK!C:C)</f>
        <v>0</v>
      </c>
      <c r="F12" s="153">
        <f>SUMIF(HK!A:A,"079*",HK!D:D)-SUMIF(HK!A:A,"079*",HK!C:C)</f>
        <v>0</v>
      </c>
      <c r="G12" s="170"/>
      <c r="H12" s="170"/>
      <c r="I12" s="79">
        <f>SUM(B12:H12)</f>
        <v>0</v>
      </c>
      <c r="J12" s="84"/>
      <c r="K12" s="40"/>
      <c r="L12" s="84"/>
    </row>
    <row r="13" ht="22.5" customHeight="1" thickBot="1">
      <c r="A13" s="191" t="s">
        <v>266</v>
      </c>
      <c r="B13" s="263"/>
      <c r="C13" s="153"/>
      <c r="D13" s="153"/>
      <c r="E13" s="153"/>
      <c r="F13" s="153"/>
      <c r="G13" s="263"/>
      <c r="H13" s="263"/>
      <c r="I13" s="79">
        <f>SUM(B13:H13)</f>
        <v>0</v>
      </c>
      <c r="J13" s="84"/>
      <c r="K13" s="84"/>
      <c r="L13" s="84"/>
    </row>
    <row r="14" ht="21.75" customHeight="1" thickBot="1">
      <c r="A14" s="191" t="s">
        <v>413</v>
      </c>
      <c r="B14" s="153"/>
      <c r="C14" s="153"/>
      <c r="D14" s="153"/>
      <c r="E14" s="153"/>
      <c r="F14" s="153"/>
      <c r="G14" s="263"/>
      <c r="H14" s="263"/>
      <c r="I14" s="79">
        <f>SUM(B14:H14)</f>
        <v>0</v>
      </c>
      <c r="J14" s="84"/>
      <c r="K14" s="84"/>
      <c r="L14" s="84"/>
    </row>
    <row r="15" ht="21.75" customHeight="1" thickBot="1">
      <c r="A15" s="265" t="s">
        <v>50</v>
      </c>
      <c r="B15" s="153"/>
      <c r="C15" s="153"/>
      <c r="D15" s="153"/>
      <c r="E15" s="153"/>
      <c r="F15" s="153"/>
      <c r="G15" s="189"/>
      <c r="H15" s="31"/>
      <c r="I15" s="151"/>
      <c r="J15" s="84"/>
      <c r="K15" s="84"/>
      <c r="L15" s="84"/>
    </row>
    <row r="16" thickBot="1">
      <c r="A16" s="142" t="s">
        <v>459</v>
      </c>
      <c r="B16" s="153">
        <f>SUMIF(HK!A:A,"071*",HK!L:L)-SUMIF(HK!A:A,"071*",HK!K:K)</f>
        <v>0</v>
      </c>
      <c r="C16" s="153">
        <f>SUMIF(HK!A:A,"073*",HK!L:L)-SUMIF(HK!A:A,"073*",HK!K:K)</f>
        <v>0</v>
      </c>
      <c r="D16" s="153">
        <f>SUMIF(HK!A:A,"074*",HK!L:L)-SUMIF(HK!A:A,"074*",HK!K:K)</f>
        <v>0</v>
      </c>
      <c r="E16" s="153">
        <f>SUMIF(HK!A:A,"075*",HK!L:L)-SUMIF(HK!A:A,"075*",HK!K:K)</f>
        <v>0</v>
      </c>
      <c r="F16" s="153">
        <f>SUMIF(HK!A:A,"079*",HK!L:L)-SUMIF(HK!A:A,"079*",HK!K:K)</f>
        <v>0</v>
      </c>
      <c r="G16" s="53"/>
      <c r="H16" s="53"/>
      <c r="I16" s="167">
        <f>I12+I13-I14</f>
        <v>0</v>
      </c>
      <c r="J16" s="84"/>
      <c r="K16" s="40"/>
      <c r="L16" s="84"/>
    </row>
    <row r="17" ht="15" customHeight="1" thickTop="1" thickBot="1">
      <c r="A17" s="15" t="s">
        <v>1013</v>
      </c>
      <c r="B17" s="159"/>
      <c r="C17" s="159"/>
      <c r="D17" s="159"/>
      <c r="E17" s="159"/>
      <c r="F17" s="159"/>
      <c r="G17" s="159"/>
      <c r="H17" s="159"/>
      <c r="I17" s="131"/>
      <c r="J17" s="84"/>
      <c r="K17" s="84"/>
      <c r="L17" s="84"/>
    </row>
    <row r="18" thickTop="1" thickBot="1">
      <c r="A18" s="18" t="s">
        <v>1216</v>
      </c>
      <c r="B18" s="153"/>
      <c r="C18" s="153"/>
      <c r="D18" s="153"/>
      <c r="E18" s="153"/>
      <c r="F18" s="153"/>
      <c r="G18" s="153">
        <f>SUMIF(HK!A:A,"093*",HK!D:D)-SUMIF(HK!A:A,"093*",HK!C:C)</f>
        <v>0</v>
      </c>
      <c r="H18" s="153">
        <f>SUMIF(SUAM!C:C,"010",SUAM!E:E)</f>
        <v>0</v>
      </c>
      <c r="I18" s="79">
        <f>SUM(B18:H18)</f>
        <v>0</v>
      </c>
      <c r="J18" s="84"/>
      <c r="K18" s="40"/>
      <c r="L18" s="225"/>
      <c r="M18" s="253"/>
    </row>
    <row r="19" ht="15" customHeight="1" thickBot="1">
      <c r="A19" s="191" t="s">
        <v>266</v>
      </c>
      <c r="B19" s="263"/>
      <c r="C19" s="263"/>
      <c r="D19" s="263"/>
      <c r="E19" s="263"/>
      <c r="F19" s="263"/>
      <c r="G19" s="263"/>
      <c r="H19" s="263"/>
      <c r="I19" s="79">
        <f>SUM(B19:H19)</f>
        <v>0</v>
      </c>
      <c r="J19" s="84"/>
      <c r="K19" s="137"/>
      <c r="L19" s="84"/>
    </row>
    <row r="20" ht="15" customHeight="1" thickBot="1">
      <c r="A20" s="191" t="s">
        <v>413</v>
      </c>
      <c r="B20" s="263"/>
      <c r="C20" s="263"/>
      <c r="D20" s="263"/>
      <c r="E20" s="263"/>
      <c r="F20" s="263"/>
      <c r="G20" s="263"/>
      <c r="H20" s="263"/>
      <c r="I20" s="79">
        <f>SUM(B20:H20)</f>
        <v>0</v>
      </c>
      <c r="J20" s="84"/>
      <c r="K20" s="137"/>
      <c r="L20" s="84"/>
    </row>
    <row r="21" ht="15" customHeight="1" thickBot="1">
      <c r="A21" s="265" t="s">
        <v>50</v>
      </c>
      <c r="B21" s="263"/>
      <c r="C21" s="263"/>
      <c r="D21" s="263"/>
      <c r="E21" s="263"/>
      <c r="F21" s="263"/>
      <c r="G21" s="263"/>
      <c r="H21" s="263"/>
      <c r="I21" s="242"/>
      <c r="J21" s="84"/>
      <c r="K21" s="137"/>
      <c r="L21" s="84"/>
    </row>
    <row r="22" thickBot="1">
      <c r="A22" s="142" t="s">
        <v>459</v>
      </c>
      <c r="B22" s="153"/>
      <c r="C22" s="153"/>
      <c r="D22" s="153"/>
      <c r="E22" s="153"/>
      <c r="F22" s="153"/>
      <c r="G22" s="153">
        <f>SUMIF(HK!A:A,"093*",HK!L:L)-SUMIF(HK!A:A,"093*",HK!K:K)</f>
        <v>0</v>
      </c>
      <c r="H22" s="153">
        <f>SUMIF(SUA!C:C,"010",SUA!E:E)</f>
        <v>0</v>
      </c>
      <c r="I22" s="167">
        <f>I18+I19-I20</f>
        <v>0</v>
      </c>
      <c r="J22" s="84"/>
      <c r="K22" s="40"/>
      <c r="L22" s="225"/>
      <c r="M22" s="253"/>
    </row>
    <row r="23" ht="15" customHeight="1" thickTop="1" thickBot="1">
      <c r="A23" s="15" t="s">
        <v>1309</v>
      </c>
      <c r="B23" s="159"/>
      <c r="C23" s="159"/>
      <c r="D23" s="159"/>
      <c r="E23" s="159"/>
      <c r="F23" s="159"/>
      <c r="G23" s="159"/>
      <c r="H23" s="159"/>
      <c r="I23" s="131"/>
      <c r="J23" s="84"/>
      <c r="K23" s="84"/>
      <c r="L23" s="84"/>
    </row>
    <row r="24" ht="15" customHeight="1" thickTop="1" thickBot="1">
      <c r="A24" s="18" t="s">
        <v>1216</v>
      </c>
      <c r="B24" s="263"/>
      <c r="C24" s="263"/>
      <c r="D24" s="263"/>
      <c r="E24" s="263"/>
      <c r="F24" s="263"/>
      <c r="G24" s="263"/>
      <c r="H24" s="263"/>
      <c r="I24" s="79">
        <f>I6-I12-I18</f>
        <v>0</v>
      </c>
      <c r="J24" s="84"/>
      <c r="K24" s="84"/>
      <c r="L24" s="84"/>
    </row>
    <row r="25" ht="15" customHeight="1" thickBot="1">
      <c r="A25" s="142" t="s">
        <v>459</v>
      </c>
      <c r="B25" s="53"/>
      <c r="C25" s="53"/>
      <c r="D25" s="53"/>
      <c r="E25" s="53"/>
      <c r="F25" s="53"/>
      <c r="G25" s="53"/>
      <c r="H25" s="53"/>
      <c r="I25" s="167">
        <f>I10-I16-I22</f>
        <v>0</v>
      </c>
      <c r="J25" s="84"/>
      <c r="K25" s="84"/>
      <c r="L25" s="84"/>
    </row>
    <row r="26" thickTop="1">
      <c r="A26" s="59"/>
      <c r="B26" s="177"/>
      <c r="C26" s="177"/>
      <c r="D26" s="177"/>
      <c r="E26" s="177"/>
      <c r="F26" s="177"/>
      <c r="G26" s="177"/>
      <c r="H26" s="177"/>
      <c r="I26" s="177"/>
      <c r="J26" s="84"/>
      <c r="K26" s="84"/>
      <c r="L26" s="84"/>
    </row>
    <row r="27">
      <c r="A27" s="51"/>
      <c r="B27" s="7"/>
      <c r="C27" s="7"/>
      <c r="D27" s="7"/>
      <c r="E27" s="7"/>
      <c r="F27" s="7"/>
      <c r="G27" s="7"/>
      <c r="H27" s="7"/>
      <c r="I27" s="7"/>
      <c r="J27" s="84"/>
      <c r="K27" s="84"/>
      <c r="L27" s="84"/>
    </row>
    <row r="28">
      <c r="A28" s="51" t="s">
        <v>1077</v>
      </c>
      <c r="B28" s="7"/>
      <c r="C28" s="7"/>
      <c r="D28" s="7"/>
      <c r="E28" s="7"/>
      <c r="F28" s="7"/>
      <c r="G28" s="7"/>
      <c r="H28" s="7"/>
      <c r="I28" s="7"/>
      <c r="J28" s="84"/>
      <c r="K28" s="84"/>
      <c r="L28" s="84"/>
    </row>
    <row r="29" thickBot="1">
      <c r="A29" s="59"/>
      <c r="B29" s="177"/>
      <c r="C29" s="177"/>
      <c r="D29" s="177"/>
      <c r="E29" s="177"/>
      <c r="F29" s="177"/>
      <c r="G29" s="177"/>
      <c r="H29" s="177"/>
      <c r="I29" s="7"/>
      <c r="J29" s="84"/>
      <c r="K29" s="84"/>
      <c r="L29" s="84"/>
    </row>
    <row r="30" ht="15" customHeight="1" thickTop="1" thickBot="1">
      <c r="A30" s="214" t="s">
        <v>702</v>
      </c>
      <c r="B30" s="19" t="s">
        <v>1293</v>
      </c>
      <c r="C30" s="121"/>
      <c r="D30" s="121"/>
      <c r="E30" s="121"/>
      <c r="F30" s="121"/>
      <c r="G30" s="121"/>
      <c r="H30" s="121"/>
      <c r="I30" s="114"/>
      <c r="J30" s="84"/>
      <c r="K30" s="84"/>
      <c r="L30" s="84"/>
    </row>
    <row r="31" thickTop="1" thickBot="1">
      <c r="A31" s="186"/>
      <c r="B31" s="244" t="s">
        <v>882</v>
      </c>
      <c r="C31" s="97" t="s">
        <v>937</v>
      </c>
      <c r="D31" s="97" t="s">
        <v>1175</v>
      </c>
      <c r="E31" s="271" t="s">
        <v>764</v>
      </c>
      <c r="F31" s="244" t="s">
        <v>1348</v>
      </c>
      <c r="G31" s="97" t="s">
        <v>1040</v>
      </c>
      <c r="H31" s="97" t="s">
        <v>1295</v>
      </c>
      <c r="I31" s="97" t="s">
        <v>928</v>
      </c>
      <c r="J31" s="84"/>
      <c r="K31" s="84"/>
      <c r="L31" s="84"/>
    </row>
    <row r="32" ht="15" customHeight="1" thickTop="1" thickBot="1">
      <c r="A32" s="15" t="s">
        <v>1137</v>
      </c>
      <c r="B32" s="123"/>
      <c r="C32" s="123"/>
      <c r="D32" s="123"/>
      <c r="E32" s="123"/>
      <c r="F32" s="123"/>
      <c r="G32" s="123"/>
      <c r="H32" s="123"/>
      <c r="I32" s="131"/>
      <c r="J32" s="84"/>
      <c r="K32" s="84"/>
      <c r="L32" s="84"/>
    </row>
    <row r="33" thickTop="1" thickBot="1">
      <c r="A33" s="18" t="s">
        <v>429</v>
      </c>
      <c r="B33" s="153">
        <f>SUMIF(HKM!A:A,"012*",HKM!C:C)-SUMIF(HKM!A:A,"012*",HKM!D:D)</f>
        <v>0</v>
      </c>
      <c r="C33" s="153">
        <f>SUMIF(HKM!A:A,"013*",HKM!C:C)-SUMIF(HKM!A:A,"013*",HKM!D:D)</f>
        <v>0</v>
      </c>
      <c r="D33" s="153">
        <f>SUMIF(HKM!A:A,"014*",HKM!C:C)-SUMIF(HKM!A:A,"014*",HKM!D:D)</f>
        <v>0</v>
      </c>
      <c r="E33" s="153">
        <f>SUMIF(HKM!A:A,"015*",HKM!C:C)-SUMIF(HKM!A:A,"015*",HKM!D:D)</f>
        <v>0</v>
      </c>
      <c r="F33" s="153">
        <f>SUMIF(HKM!A:A,"019*",HKM!C:C)-SUMIF(HKM!A:A,"019*",HKM!D:D)</f>
        <v>0</v>
      </c>
      <c r="G33" s="153">
        <f>SUMIF(HKM!A:A,"041*",HKM!C:C)-SUMIF(HKM!A:A,"041*",HKM!D:D)</f>
        <v>0</v>
      </c>
      <c r="H33" s="153">
        <f>SUMIF(HKM!A:A,"051*",HKM!C:C)-SUMIF(HKM!A:A,"051*",HKM!D:D)</f>
        <v>0</v>
      </c>
      <c r="I33" s="79">
        <f>SUM(B33:H33)</f>
        <v>0</v>
      </c>
      <c r="J33" s="84"/>
      <c r="K33" s="40"/>
      <c r="L33" s="84"/>
    </row>
    <row r="34" ht="15" customHeight="1" thickBot="1">
      <c r="A34" s="191" t="s">
        <v>266</v>
      </c>
      <c r="B34" s="263"/>
      <c r="C34" s="263"/>
      <c r="D34" s="263"/>
      <c r="E34" s="263"/>
      <c r="F34" s="31"/>
      <c r="G34" s="263"/>
      <c r="H34" s="263"/>
      <c r="I34" s="79">
        <f>SUM(B34:H34)</f>
        <v>0</v>
      </c>
      <c r="J34" s="84"/>
      <c r="K34" s="84"/>
      <c r="L34" s="84"/>
    </row>
    <row r="35" ht="15" customHeight="1" thickBot="1">
      <c r="A35" s="191" t="s">
        <v>413</v>
      </c>
      <c r="B35" s="263"/>
      <c r="C35" s="263"/>
      <c r="D35" s="263"/>
      <c r="E35" s="263"/>
      <c r="F35" s="31"/>
      <c r="G35" s="263"/>
      <c r="H35" s="263"/>
      <c r="I35" s="79">
        <f>SUM(B35:H35)</f>
        <v>0</v>
      </c>
      <c r="J35" s="84"/>
      <c r="K35" s="84"/>
      <c r="L35" s="84"/>
    </row>
    <row r="36" ht="15" customHeight="1" thickBot="1">
      <c r="A36" s="191" t="s">
        <v>50</v>
      </c>
      <c r="B36" s="263"/>
      <c r="C36" s="263"/>
      <c r="D36" s="263"/>
      <c r="E36" s="263"/>
      <c r="F36" s="31"/>
      <c r="G36" s="263"/>
      <c r="H36" s="263"/>
      <c r="I36" s="79">
        <f>SUM(B36:H36)</f>
        <v>0</v>
      </c>
      <c r="J36" s="84"/>
      <c r="K36" s="84"/>
      <c r="L36" s="84"/>
    </row>
    <row r="37" thickBot="1">
      <c r="A37" s="142" t="s">
        <v>459</v>
      </c>
      <c r="B37" s="153">
        <f>SUMIF(HKM!A:A,"012*",HKM!K:K)-SUMIF(HKM!A:A,"012*",HKM!L:L)</f>
        <v>0</v>
      </c>
      <c r="C37" s="153">
        <f>SUMIF(HKM!A:A,"013*",HKM!K:K)-SUMIF(HKM!A:A,"013*",HKM!L:L)</f>
        <v>0</v>
      </c>
      <c r="D37" s="153">
        <f>SUMIF(HKM!A:A,"014*",HKM!K:K)-SUMIF(HKM!A:A,"014*",HKM!L:L)</f>
        <v>0</v>
      </c>
      <c r="E37" s="153">
        <f>SUMIF(HKM!A:A,"015*",HKM!K:K)-SUMIF(HKM!A:A,"015*",HKM!L:L)</f>
        <v>0</v>
      </c>
      <c r="F37" s="153">
        <f>SUMIF(HKM!A:A,"019*",HKM!K:K)-SUMIF(HKM!A:A,"019*",HKM!L:L)</f>
        <v>0</v>
      </c>
      <c r="G37" s="153">
        <f>SUMIF(HKM!A:A,"041*",HKM!K:K)-SUMIF(HKM!A:A,"041*",HKM!L:L)</f>
        <v>0</v>
      </c>
      <c r="H37" s="153">
        <f>SUMIF(HKM!A:A,"051*",HKM!K:K)-SUMIF(HKM!A:A,"051*",HKM!L:L)</f>
        <v>0</v>
      </c>
      <c r="I37" s="167">
        <f>I33+I34-I35+I36</f>
        <v>0</v>
      </c>
      <c r="J37" s="84"/>
      <c r="K37" s="40"/>
      <c r="L37" s="84"/>
    </row>
    <row r="38" ht="15" customHeight="1" thickTop="1" thickBot="1">
      <c r="A38" s="15" t="s">
        <v>932</v>
      </c>
      <c r="B38" s="159"/>
      <c r="C38" s="159"/>
      <c r="D38" s="159"/>
      <c r="E38" s="159"/>
      <c r="F38" s="159"/>
      <c r="G38" s="159"/>
      <c r="H38" s="159"/>
      <c r="I38" s="131"/>
      <c r="J38" s="84"/>
      <c r="K38" s="84"/>
      <c r="L38" s="84"/>
    </row>
    <row r="39" thickTop="1" thickBot="1">
      <c r="A39" s="18" t="s">
        <v>1216</v>
      </c>
      <c r="B39" s="153">
        <f>SUMIF(HKM!A:A,"071*",HKM!D:D)-SUMIF(HKM!A:A,"071*",HKM!C:C)</f>
        <v>0</v>
      </c>
      <c r="C39" s="153">
        <f>SUMIF(HKM!A:A,"073*",HKM!D:D)-SUMIF(HKM!A:A,"073*",HKM!C:C)</f>
        <v>0</v>
      </c>
      <c r="D39" s="153">
        <f>SUMIF(HKM!A:A,"074*",HKM!D:D)-SUMIF(HKM!A:A,"074*",HKM!C:C)</f>
        <v>0</v>
      </c>
      <c r="E39" s="153">
        <f>SUMIF(HKM!A:A,"075*",HKM!D:D)-SUMIF(HKM!A:A,"075*",HKM!C:C)</f>
        <v>0</v>
      </c>
      <c r="F39" s="153">
        <f>SUMIF(HKM!A:A,"079*",HKM!D:D)-SUMIF(HKM!A:A,"079*",HKM!C:C)</f>
        <v>0</v>
      </c>
      <c r="G39" s="153"/>
      <c r="H39" s="153"/>
      <c r="I39" s="79">
        <f>SUM(B39:H39)</f>
        <v>0</v>
      </c>
      <c r="J39" s="84"/>
      <c r="K39" s="40"/>
      <c r="L39" s="84"/>
    </row>
    <row r="40" ht="15" customHeight="1" thickBot="1">
      <c r="A40" s="191" t="s">
        <v>266</v>
      </c>
      <c r="B40" s="263"/>
      <c r="C40" s="263"/>
      <c r="D40" s="263"/>
      <c r="E40" s="263"/>
      <c r="F40" s="263"/>
      <c r="G40" s="263"/>
      <c r="H40" s="263"/>
      <c r="I40" s="79">
        <f>SUM(B40:H40)</f>
        <v>0</v>
      </c>
      <c r="J40" s="84"/>
      <c r="K40" s="84"/>
      <c r="L40" s="84"/>
    </row>
    <row r="41" ht="15" customHeight="1" thickBot="1">
      <c r="A41" s="64" t="s">
        <v>413</v>
      </c>
      <c r="B41" s="66"/>
      <c r="C41" s="66"/>
      <c r="D41" s="66"/>
      <c r="E41" s="66"/>
      <c r="F41" s="66"/>
      <c r="G41" s="66"/>
      <c r="H41" s="66"/>
      <c r="I41" s="187">
        <f>SUM(B41:H41)</f>
        <v>0</v>
      </c>
      <c r="J41" s="84"/>
      <c r="K41" s="84"/>
      <c r="L41" s="84"/>
    </row>
    <row r="42" s="124" customFormat="1" ht="15" customHeight="1" thickBot="1">
      <c r="A42" s="62" t="s">
        <v>50</v>
      </c>
      <c r="B42" s="189"/>
      <c r="C42" s="189"/>
      <c r="D42" s="189"/>
      <c r="E42" s="189"/>
      <c r="F42" s="189"/>
      <c r="G42" s="189"/>
      <c r="H42" s="189"/>
      <c r="I42" s="189"/>
      <c r="J42" s="243"/>
      <c r="K42" s="243"/>
      <c r="L42" s="243"/>
    </row>
    <row r="43" thickBot="1">
      <c r="A43" s="142" t="s">
        <v>459</v>
      </c>
      <c r="B43" s="153">
        <f>SUMIF(HKM!A:A,"071*",HKM!L:L)-SUMIF(HKM!A:A,"071*",HKM!K:K)</f>
        <v>0</v>
      </c>
      <c r="C43" s="153">
        <f>SUMIF(HKM!A:A,"073*",HKM!L:L)-SUMIF(HKM!A:A,"073*",HKM!K:K)</f>
        <v>0</v>
      </c>
      <c r="D43" s="153">
        <f>SUMIF(HKM!A:A,"074*",HKM!L:L)-SUMIF(HKM!A:A,"074*",HKM!K:K)</f>
        <v>0</v>
      </c>
      <c r="E43" s="153">
        <f>SUMIF(HKM!A:A,"075*",HKM!L:L)-SUMIF(HKM!A:A,"075*",HKM!K:K)</f>
        <v>0</v>
      </c>
      <c r="F43" s="153">
        <f>SUMIF(HKM!A:A,"079*",HKM!L:L)-SUMIF(HKM!A:A,"079*",HKM!K:K)</f>
        <v>0</v>
      </c>
      <c r="G43" s="53"/>
      <c r="H43" s="53"/>
      <c r="I43" s="167">
        <f>I39+I40-I41</f>
        <v>0</v>
      </c>
      <c r="J43" s="84"/>
      <c r="K43" s="40"/>
      <c r="L43" s="84"/>
    </row>
    <row r="44" ht="15" customHeight="1" thickTop="1" thickBot="1">
      <c r="A44" s="15" t="s">
        <v>1013</v>
      </c>
      <c r="B44" s="159"/>
      <c r="C44" s="159"/>
      <c r="D44" s="159"/>
      <c r="E44" s="159"/>
      <c r="F44" s="159"/>
      <c r="G44" s="159"/>
      <c r="H44" s="159"/>
      <c r="I44" s="131"/>
      <c r="J44" s="84"/>
      <c r="K44" s="84"/>
      <c r="L44" s="84"/>
    </row>
    <row r="45" thickTop="1" thickBot="1">
      <c r="A45" s="18" t="s">
        <v>1216</v>
      </c>
      <c r="B45" s="153"/>
      <c r="C45" s="153"/>
      <c r="D45" s="153"/>
      <c r="E45" s="153"/>
      <c r="F45" s="153"/>
      <c r="G45" s="153">
        <f>SUMIF(HKM!A:A,"093*",HKM!D:D)-SUMIF(HKM!A:A,"093*",HKM!C:C)</f>
        <v>0</v>
      </c>
      <c r="H45" s="153"/>
      <c r="I45" s="79">
        <f>SUM(B45:H45)</f>
        <v>0</v>
      </c>
      <c r="J45" s="84"/>
      <c r="K45" s="40"/>
      <c r="L45" s="231"/>
      <c r="M45" s="253"/>
    </row>
    <row r="46" ht="15" customHeight="1" thickBot="1">
      <c r="A46" s="191" t="s">
        <v>266</v>
      </c>
      <c r="B46" s="263"/>
      <c r="C46" s="263"/>
      <c r="D46" s="263"/>
      <c r="E46" s="263"/>
      <c r="F46" s="263"/>
      <c r="G46" s="263"/>
      <c r="H46" s="263"/>
      <c r="I46" s="79">
        <f>SUM(B46:H46)</f>
        <v>0</v>
      </c>
      <c r="J46" s="84"/>
      <c r="K46" s="137"/>
      <c r="L46" s="84"/>
    </row>
    <row r="47" ht="15" customHeight="1" thickBot="1">
      <c r="A47" s="191" t="s">
        <v>413</v>
      </c>
      <c r="B47" s="263"/>
      <c r="C47" s="263"/>
      <c r="D47" s="263"/>
      <c r="E47" s="263"/>
      <c r="F47" s="263"/>
      <c r="G47" s="263"/>
      <c r="H47" s="263"/>
      <c r="I47" s="79">
        <f>SUM(B47:H47)</f>
        <v>0</v>
      </c>
      <c r="J47" s="84"/>
      <c r="K47" s="137"/>
      <c r="L47" s="84"/>
    </row>
    <row r="48" ht="15" customHeight="1" thickBot="1">
      <c r="A48" s="62" t="s">
        <v>50</v>
      </c>
      <c r="B48" s="263"/>
      <c r="C48" s="263"/>
      <c r="D48" s="263"/>
      <c r="E48" s="263"/>
      <c r="F48" s="263"/>
      <c r="G48" s="263"/>
      <c r="H48" s="263"/>
      <c r="I48" s="189"/>
      <c r="J48" s="84"/>
      <c r="K48" s="137"/>
      <c r="L48" s="84"/>
    </row>
    <row r="49" thickBot="1">
      <c r="A49" s="142" t="s">
        <v>459</v>
      </c>
      <c r="B49" s="153"/>
      <c r="C49" s="153"/>
      <c r="D49" s="153"/>
      <c r="E49" s="153"/>
      <c r="F49" s="153"/>
      <c r="G49" s="153">
        <f>SUMIF(HKM!A:A,"093*",HKM!L:L)-SUMIF(HKM!A:A,"093*",HKM!K:K)</f>
        <v>0</v>
      </c>
      <c r="H49" s="153">
        <f>SUMIF(SUAM!C:C,"010",SUAM!E:E)</f>
        <v>0</v>
      </c>
      <c r="I49" s="167">
        <f>I45+I46-I47</f>
        <v>0</v>
      </c>
      <c r="J49" s="84"/>
      <c r="K49" s="40"/>
      <c r="L49" s="225"/>
      <c r="M49" s="253"/>
    </row>
    <row r="50" ht="15" customHeight="1" thickTop="1" thickBot="1">
      <c r="A50" s="15" t="s">
        <v>1309</v>
      </c>
      <c r="B50" s="159"/>
      <c r="C50" s="159"/>
      <c r="D50" s="159"/>
      <c r="E50" s="159"/>
      <c r="F50" s="159"/>
      <c r="G50" s="159"/>
      <c r="H50" s="159"/>
      <c r="I50" s="131"/>
      <c r="J50" s="84"/>
      <c r="K50" s="84"/>
      <c r="L50" s="84"/>
    </row>
    <row r="51" ht="15" customHeight="1" thickTop="1" thickBot="1">
      <c r="A51" s="18" t="s">
        <v>1216</v>
      </c>
      <c r="B51" s="263"/>
      <c r="C51" s="263"/>
      <c r="D51" s="263"/>
      <c r="E51" s="263"/>
      <c r="F51" s="263"/>
      <c r="G51" s="263"/>
      <c r="H51" s="263"/>
      <c r="I51" s="79">
        <f>I33-I39-I45</f>
        <v>0</v>
      </c>
      <c r="J51" s="84"/>
      <c r="K51" s="84"/>
      <c r="L51" s="84"/>
    </row>
    <row r="52" ht="15" customHeight="1" thickBot="1">
      <c r="A52" s="142" t="s">
        <v>459</v>
      </c>
      <c r="B52" s="53"/>
      <c r="C52" s="53"/>
      <c r="D52" s="53"/>
      <c r="E52" s="53"/>
      <c r="F52" s="53"/>
      <c r="G52" s="53"/>
      <c r="H52" s="53"/>
      <c r="I52" s="167">
        <f>I37-I43-I49</f>
        <v>0</v>
      </c>
      <c r="J52" s="84"/>
      <c r="K52" s="84"/>
      <c r="L52" s="84"/>
    </row>
    <row r="53" thickTop="1"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</sheetData>
  <sheetCalcPr fullCalcOnLoad="1"/>
  <mergeCells count="4">
    <mergeCell ref="A30:A31"/>
    <mergeCell ref="B30:I30"/>
    <mergeCell ref="A3:A4"/>
    <mergeCell ref="B3:I3"/>
  </mergeCells>
  <printOptions/>
  <pageMargins left="0.7" right="0.7" top="0.75" bottom="0.75" header="0.3" footer="0.3"/>
  <pageSetup paperSize="9" orientation="portrait" horizontalDpi="300" verticalDpi="300"/>
</worksheet>
</file>

<file path=xl/worksheets/sheet30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2"/>
  <cols>
    <col min="1" max="1" width="33" customWidth="1"/>
    <col min="2" max="3" width="26.6640625" customWidth="1"/>
    <col min="4" max="4" width="14.109375" customWidth="1"/>
    <col min="5" max="5" width="14.44140625" customWidth="1"/>
    <col min="6" max="7" width="23.33203125" customWidth="1"/>
    <col min="8" max="16384" width="8.88671875"/>
  </cols>
  <sheetData>
    <row r="1" thickBot="1">
      <c r="A1" s="47" t="s">
        <v>396</v>
      </c>
    </row>
    <row r="2" ht="21.75" customHeight="1" thickTop="1" thickBot="1">
      <c r="A2" s="229" t="s">
        <v>1220</v>
      </c>
      <c r="B2" s="50" t="s">
        <v>998</v>
      </c>
      <c r="C2" s="50" t="s">
        <v>1293</v>
      </c>
    </row>
    <row r="3" ht="21.75" customHeight="1" thickTop="1" thickBot="1">
      <c r="A3" s="192" t="s">
        <v>787</v>
      </c>
      <c r="B3" s="264">
        <f>SUMIF(HK!A:A,"472*",HK!D:D)-SUMIF(HK!A:A,"472*",HK!C:C)</f>
        <v>0</v>
      </c>
      <c r="C3" s="81">
        <f>SUMIF(HKM!A:A,"472*",HKM!D:D)-SUMIF(HKM!A:A,"472*",HKM!C:C)</f>
        <v>0</v>
      </c>
      <c r="D3" s="241"/>
      <c r="E3" s="207"/>
      <c r="F3" s="241"/>
    </row>
    <row r="4" ht="21.75" customHeight="1" thickBot="1">
      <c r="A4" s="17" t="s">
        <v>806</v>
      </c>
      <c r="B4" s="154"/>
      <c r="C4" s="259"/>
      <c r="D4" s="241"/>
      <c r="E4" s="241"/>
      <c r="F4" s="241"/>
    </row>
    <row r="5" ht="21.75" customHeight="1" thickBot="1">
      <c r="A5" s="17" t="s">
        <v>1232</v>
      </c>
      <c r="B5" s="154"/>
      <c r="C5" s="259"/>
      <c r="D5" s="241"/>
      <c r="E5" s="241"/>
      <c r="F5" s="241"/>
    </row>
    <row r="6" ht="21.75" customHeight="1" thickBot="1">
      <c r="A6" s="17" t="s">
        <v>1337</v>
      </c>
      <c r="B6" s="154"/>
      <c r="C6" s="259"/>
      <c r="D6" s="241"/>
      <c r="E6" s="241"/>
      <c r="F6" s="241"/>
    </row>
    <row r="7" ht="21.75" customHeight="1" thickBot="1">
      <c r="A7" s="192" t="s">
        <v>569</v>
      </c>
      <c r="B7" s="154">
        <f>SUM(B4:B6)</f>
        <v>0</v>
      </c>
      <c r="C7" s="259">
        <f>SUM(C4:C6)</f>
        <v>0</v>
      </c>
      <c r="D7" s="241"/>
      <c r="E7" s="241"/>
      <c r="F7" s="241"/>
    </row>
    <row r="8" ht="21.75" customHeight="1" thickBot="1">
      <c r="A8" s="192" t="s">
        <v>1104</v>
      </c>
      <c r="B8" s="154"/>
      <c r="C8" s="259"/>
      <c r="D8" s="241"/>
      <c r="E8" s="241"/>
      <c r="F8" s="241"/>
    </row>
    <row r="9" ht="21.75" customHeight="1" thickBot="1">
      <c r="A9" s="38" t="s">
        <v>1030</v>
      </c>
      <c r="B9" s="54">
        <f>SUMIF(HK!A:A,"472*",HK!L:L)-SUMIF(HK!A:A,"472*",HK!K:K)</f>
        <v>0</v>
      </c>
      <c r="C9" s="168">
        <f>SUMIF(HKM!A:A,"472*",HKM!L:L)-SUMIF(HKM!A:A,"472*",HKM!K:K)</f>
        <v>0</v>
      </c>
      <c r="D9" s="241"/>
      <c r="E9" s="207"/>
      <c r="F9" s="241"/>
    </row>
    <row r="10" thickTop="1">
      <c r="A10" s="276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1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7"/>
  <sheetViews>
    <sheetView showGridLines="0" zoomScaleNormal="100" zoomScaleSheetLayoutView="100" zoomScalePageLayoutView="100" workbookViewId="0"/>
  </sheetViews>
  <sheetFormatPr defaultRowHeight="12"/>
  <cols>
    <col min="1" max="6" width="14.44140625" customWidth="1"/>
    <col min="7" max="7" width="23.33203125" customWidth="1"/>
    <col min="8" max="16384" width="8.88671875"/>
  </cols>
  <sheetData>
    <row r="1" ht="23.25" customHeight="1" thickBot="1">
      <c r="A1" s="47" t="s">
        <v>1091</v>
      </c>
    </row>
    <row r="2" s="190" customFormat="1" ht="21.75" customHeight="1" thickTop="1" thickBot="1">
      <c r="A2" s="229" t="s">
        <v>203</v>
      </c>
      <c r="B2" s="50" t="s">
        <v>670</v>
      </c>
      <c r="C2" s="50" t="s">
        <v>447</v>
      </c>
      <c r="D2" s="50" t="s">
        <v>890</v>
      </c>
      <c r="E2" s="50" t="s">
        <v>524</v>
      </c>
      <c r="F2" s="50" t="s">
        <v>67</v>
      </c>
    </row>
    <row r="3" ht="21.75" customHeight="1" thickTop="1" thickBot="1">
      <c r="A3" s="203"/>
      <c r="B3" s="83"/>
      <c r="C3" s="226"/>
      <c r="D3" s="226"/>
      <c r="E3" s="226"/>
      <c r="F3" s="37"/>
    </row>
    <row r="4" ht="21.75" customHeight="1" thickBot="1">
      <c r="A4" s="203"/>
      <c r="B4" s="83"/>
      <c r="C4" s="226"/>
      <c r="D4" s="226"/>
      <c r="E4" s="226"/>
      <c r="F4" s="37"/>
    </row>
    <row r="5" ht="21.75" customHeight="1" thickBot="1">
      <c r="A5" s="203"/>
      <c r="B5" s="83"/>
      <c r="C5" s="226"/>
      <c r="D5" s="226"/>
      <c r="E5" s="226"/>
      <c r="F5" s="37"/>
    </row>
    <row r="6" ht="21.75" customHeight="1" thickBot="1">
      <c r="A6" s="72"/>
      <c r="B6" s="152"/>
      <c r="C6" s="13"/>
      <c r="D6" s="13"/>
      <c r="E6" s="13"/>
      <c r="F6" s="134"/>
    </row>
    <row r="7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2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26"/>
  <sheetViews>
    <sheetView showGridLines="0" topLeftCell="A10" zoomScaleNormal="100" zoomScaleSheetLayoutView="100" zoomScalePageLayoutView="100" workbookViewId="0"/>
  </sheetViews>
  <sheetFormatPr defaultColWidth="9.109375" defaultRowHeight="9"/>
  <cols>
    <col min="1" max="1" width="23" style="161" customWidth="1"/>
    <col min="2" max="2" width="8.33203125" style="161" customWidth="1"/>
    <col min="3" max="6" width="13.88671875" style="161" customWidth="1"/>
    <col min="7" max="7" width="23.33203125" style="161" customWidth="1"/>
    <col min="8" max="16384" width="9.109375" style="161"/>
  </cols>
  <sheetData>
    <row r="1" ht="18.75" customHeight="1">
      <c r="A1" s="52" t="s">
        <v>821</v>
      </c>
      <c r="B1" s="52"/>
      <c r="C1" s="52"/>
      <c r="D1" s="52"/>
      <c r="E1" s="52"/>
      <c r="F1" s="52"/>
      <c r="G1" s="52"/>
    </row>
    <row r="2" thickBot="1">
      <c r="A2" s="161" t="s">
        <v>1249</v>
      </c>
    </row>
    <row r="3" ht="66.75" customHeight="1" thickTop="1" thickBot="1">
      <c r="A3" s="214" t="s">
        <v>1220</v>
      </c>
      <c r="B3" s="214" t="s">
        <v>258</v>
      </c>
      <c r="C3" s="34" t="s">
        <v>205</v>
      </c>
      <c r="D3" s="214" t="s">
        <v>1110</v>
      </c>
      <c r="E3" s="214" t="s">
        <v>786</v>
      </c>
      <c r="F3" s="214" t="s">
        <v>1265</v>
      </c>
    </row>
    <row r="4" ht="21.75" customHeight="1" thickTop="1" thickBot="1">
      <c r="A4" s="16" t="s">
        <v>431</v>
      </c>
      <c r="B4" s="180"/>
      <c r="C4" s="180"/>
      <c r="D4" s="180"/>
      <c r="E4" s="180"/>
      <c r="F4" s="198"/>
    </row>
    <row r="5" ht="21.75" customHeight="1" thickTop="1" thickBot="1">
      <c r="A5" s="29"/>
      <c r="B5" s="136"/>
      <c r="C5" s="195"/>
      <c r="D5" s="12"/>
      <c r="E5" s="200"/>
      <c r="F5" s="147"/>
    </row>
    <row r="6" ht="21.75" customHeight="1" thickBot="1">
      <c r="A6" s="17"/>
      <c r="B6" s="115"/>
      <c r="C6" s="169"/>
      <c r="D6" s="255"/>
      <c r="E6" s="226"/>
      <c r="F6" s="37"/>
    </row>
    <row r="7" ht="21.75" customHeight="1" thickBot="1">
      <c r="A7" s="17"/>
      <c r="B7" s="115"/>
      <c r="C7" s="169"/>
      <c r="D7" s="255"/>
      <c r="E7" s="264">
        <f>SUMIF(SUP!C:C,"121",SUP!D:D)</f>
        <v>0</v>
      </c>
      <c r="F7" s="81">
        <f>SUMIF(SUP!C:C,"121",SUP!E:E)</f>
        <v>0</v>
      </c>
      <c r="G7" s="206"/>
      <c r="H7" s="104"/>
      <c r="I7" s="206"/>
    </row>
    <row r="8" ht="21.75" customHeight="1" thickBot="1">
      <c r="A8" s="110" t="s">
        <v>47</v>
      </c>
      <c r="B8" s="30"/>
      <c r="C8" s="165"/>
      <c r="D8" s="165"/>
      <c r="E8" s="239"/>
      <c r="F8" s="245"/>
      <c r="G8" s="206"/>
      <c r="H8" s="206"/>
      <c r="I8" s="206"/>
    </row>
    <row r="9" ht="21.75" customHeight="1" thickTop="1" thickBot="1">
      <c r="A9" s="17"/>
      <c r="B9" s="115"/>
      <c r="C9" s="169"/>
      <c r="D9" s="255"/>
      <c r="E9" s="154"/>
      <c r="F9" s="259"/>
      <c r="G9" s="206"/>
      <c r="H9" s="206"/>
      <c r="I9" s="206"/>
    </row>
    <row r="10" ht="21.75" customHeight="1" thickBot="1">
      <c r="A10" s="17"/>
      <c r="B10" s="115"/>
      <c r="C10" s="169"/>
      <c r="D10" s="255"/>
      <c r="E10" s="154"/>
      <c r="F10" s="259"/>
      <c r="G10" s="206"/>
      <c r="H10" s="206"/>
      <c r="I10" s="206"/>
    </row>
    <row r="11" ht="21.75" customHeight="1" thickBot="1">
      <c r="A11" s="38"/>
      <c r="B11" s="36"/>
      <c r="C11" s="86"/>
      <c r="D11" s="175"/>
      <c r="E11" s="54">
        <f>SUMIF(SUP!C:C,"139",SUP!D:D)</f>
        <v>0</v>
      </c>
      <c r="F11" s="168">
        <f>SUMIF(SUP!C:C,"139",SUP!E:E)</f>
        <v>0</v>
      </c>
      <c r="G11" s="206"/>
      <c r="H11" s="104"/>
      <c r="I11" s="206"/>
    </row>
    <row r="12" thickTop="1">
      <c r="A12" s="60"/>
    </row>
    <row r="13" thickBot="1">
      <c r="A13" s="161" t="s">
        <v>1077</v>
      </c>
    </row>
    <row r="14" ht="66.75" customHeight="1" thickTop="1" thickBot="1">
      <c r="A14" s="214" t="s">
        <v>1220</v>
      </c>
      <c r="B14" s="214" t="s">
        <v>258</v>
      </c>
      <c r="C14" s="34" t="s">
        <v>205</v>
      </c>
      <c r="D14" s="214" t="s">
        <v>1110</v>
      </c>
      <c r="E14" s="214" t="s">
        <v>786</v>
      </c>
      <c r="F14" s="214" t="s">
        <v>1265</v>
      </c>
    </row>
    <row r="15" ht="21.75" customHeight="1" thickTop="1" thickBot="1">
      <c r="A15" s="16" t="s">
        <v>1289</v>
      </c>
      <c r="B15" s="180"/>
      <c r="C15" s="180"/>
      <c r="D15" s="180"/>
      <c r="E15" s="180"/>
      <c r="F15" s="198"/>
    </row>
    <row r="16" ht="21.75" customHeight="1" thickTop="1" thickBot="1">
      <c r="A16" s="17"/>
      <c r="B16" s="115"/>
      <c r="C16" s="169"/>
      <c r="D16" s="255"/>
      <c r="E16" s="226"/>
      <c r="F16" s="37"/>
    </row>
    <row r="17" ht="21.75" customHeight="1" thickBot="1">
      <c r="A17" s="17"/>
      <c r="B17" s="115"/>
      <c r="C17" s="169"/>
      <c r="D17" s="255"/>
      <c r="E17" s="226"/>
      <c r="F17" s="37"/>
    </row>
    <row r="18" ht="21.75" customHeight="1" thickBot="1">
      <c r="A18" s="17"/>
      <c r="B18" s="115"/>
      <c r="C18" s="169"/>
      <c r="D18" s="255"/>
      <c r="E18" s="226"/>
      <c r="F18" s="37"/>
    </row>
    <row r="19" ht="21.75" customHeight="1" thickBot="1">
      <c r="A19" s="110" t="s">
        <v>244</v>
      </c>
      <c r="B19" s="30"/>
      <c r="C19" s="165"/>
      <c r="D19" s="165"/>
      <c r="E19" s="165"/>
      <c r="F19" s="182"/>
    </row>
    <row r="20" ht="21.75" customHeight="1" thickTop="1" thickBot="1">
      <c r="A20" s="17"/>
      <c r="B20" s="115"/>
      <c r="C20" s="169"/>
      <c r="D20" s="255"/>
      <c r="E20" s="226"/>
      <c r="F20" s="37"/>
    </row>
    <row r="21" ht="21.75" customHeight="1" thickBot="1">
      <c r="A21" s="17"/>
      <c r="B21" s="115"/>
      <c r="C21" s="169"/>
      <c r="D21" s="255"/>
      <c r="E21" s="226"/>
      <c r="F21" s="37"/>
    </row>
    <row r="22" ht="21.75" customHeight="1" thickBot="1">
      <c r="A22" s="17"/>
      <c r="B22" s="115"/>
      <c r="C22" s="169"/>
      <c r="D22" s="255"/>
      <c r="E22" s="226"/>
      <c r="F22" s="37"/>
    </row>
    <row r="23" ht="21.75" customHeight="1" thickBot="1">
      <c r="A23" s="110" t="s">
        <v>80</v>
      </c>
      <c r="B23" s="30"/>
      <c r="C23" s="165"/>
      <c r="D23" s="165"/>
      <c r="E23" s="165"/>
      <c r="F23" s="182"/>
    </row>
    <row r="24" ht="21.75" customHeight="1" thickTop="1" thickBot="1">
      <c r="A24" s="17"/>
      <c r="B24" s="115"/>
      <c r="C24" s="169"/>
      <c r="D24" s="255"/>
      <c r="E24" s="226"/>
      <c r="F24" s="37"/>
    </row>
    <row r="25" ht="21.75" customHeight="1" thickBot="1">
      <c r="A25" s="38"/>
      <c r="B25" s="36"/>
      <c r="C25" s="86"/>
      <c r="D25" s="175"/>
      <c r="E25" s="54">
        <f>SUMIF(SUP!C:C,"140",SUP!D:D)</f>
        <v>0</v>
      </c>
      <c r="F25" s="168">
        <f>SUMIF(SUP!C:C,"140",SUP!E:E)</f>
        <v>0</v>
      </c>
      <c r="G25" s="206"/>
      <c r="H25" s="104"/>
    </row>
    <row r="26" thickTop="1">
      <c r="E26" s="206"/>
      <c r="F26" s="206"/>
      <c r="G26" s="206"/>
      <c r="H26" s="206"/>
    </row>
  </sheetData>
  <sheetCalcPr fullCalcOnLoad="1"/>
  <mergeCells count="1">
    <mergeCell ref="A1:G1"/>
  </mergeCells>
  <printOptions/>
  <pageMargins left="0.7" right="0.7" top="0.75" bottom="0.75" header="0.3" footer="0.3"/>
  <pageSetup paperSize="9" orientation="portrait" horizontalDpi="300" verticalDpi="300"/>
</worksheet>
</file>

<file path=xl/worksheets/sheet33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D15"/>
  <sheetViews>
    <sheetView showGridLines="0" zoomScaleNormal="100" zoomScaleSheetLayoutView="100" zoomScalePageLayoutView="100" workbookViewId="0"/>
  </sheetViews>
  <sheetFormatPr defaultRowHeight="12"/>
  <cols>
    <col min="1" max="1" width="27.5546875" customWidth="1"/>
    <col min="2" max="4" width="19.5546875" customWidth="1"/>
    <col min="5" max="16384" width="8.88671875"/>
  </cols>
  <sheetData>
    <row r="1">
      <c r="A1" s="258" t="s">
        <v>1108</v>
      </c>
      <c r="B1" s="258"/>
      <c r="C1" s="258"/>
      <c r="D1" s="258"/>
    </row>
    <row r="2" ht="24" customHeight="1" thickBot="1">
      <c r="A2" s="161" t="s">
        <v>1249</v>
      </c>
      <c r="B2" s="161"/>
      <c r="C2" s="161"/>
      <c r="D2" s="161"/>
    </row>
    <row r="3" thickTop="1" thickBot="1">
      <c r="A3" s="108" t="s">
        <v>1220</v>
      </c>
      <c r="B3" s="235" t="s">
        <v>887</v>
      </c>
      <c r="C3" s="56"/>
      <c r="D3" s="214" t="s">
        <v>751</v>
      </c>
    </row>
    <row r="4" thickTop="1" thickBot="1">
      <c r="A4" s="102"/>
      <c r="B4" s="202" t="s">
        <v>75</v>
      </c>
      <c r="C4" s="235" t="s">
        <v>82</v>
      </c>
      <c r="D4" s="205"/>
    </row>
    <row r="5" thickTop="1" thickBot="1">
      <c r="A5" s="142" t="s">
        <v>343</v>
      </c>
      <c r="B5" s="14"/>
      <c r="C5" s="14"/>
      <c r="D5" s="135"/>
    </row>
    <row r="6" thickTop="1" thickBot="1">
      <c r="A6" s="191"/>
      <c r="B6" s="226"/>
      <c r="C6" s="226"/>
      <c r="D6" s="37"/>
    </row>
    <row r="7" thickBot="1">
      <c r="A7" s="191"/>
      <c r="B7" s="226"/>
      <c r="C7" s="226"/>
      <c r="D7" s="37"/>
    </row>
    <row r="8" thickBot="1">
      <c r="A8" s="191"/>
      <c r="B8" s="226"/>
      <c r="C8" s="226"/>
      <c r="D8" s="37"/>
    </row>
    <row r="9" thickBot="1">
      <c r="A9" s="39"/>
      <c r="B9" s="13"/>
      <c r="C9" s="48"/>
      <c r="D9" s="134"/>
    </row>
    <row r="10" thickTop="1" thickBot="1">
      <c r="A10" s="142" t="s">
        <v>187</v>
      </c>
      <c r="B10" s="13"/>
      <c r="C10" s="183"/>
      <c r="D10" s="134"/>
    </row>
    <row r="11" thickTop="1" thickBot="1">
      <c r="A11" s="191"/>
      <c r="B11" s="226"/>
      <c r="C11" s="226"/>
      <c r="D11" s="37"/>
    </row>
    <row r="12" thickBot="1">
      <c r="A12" s="191"/>
      <c r="B12" s="226"/>
      <c r="C12" s="226"/>
      <c r="D12" s="37"/>
    </row>
    <row r="13" thickBot="1">
      <c r="A13" s="191"/>
      <c r="B13" s="226"/>
      <c r="C13" s="226"/>
      <c r="D13" s="37"/>
    </row>
    <row r="14" thickBot="1">
      <c r="A14" s="142"/>
      <c r="B14" s="13"/>
      <c r="C14" s="13"/>
      <c r="D14" s="134"/>
    </row>
    <row r="15" thickTop="1"/>
  </sheetData>
  <sheetCalcPr fullCalcOnLoad="1"/>
  <mergeCells count="4">
    <mergeCell ref="A1:D1"/>
    <mergeCell ref="A3:A4"/>
    <mergeCell ref="B3:C3"/>
    <mergeCell ref="D3:D4"/>
  </mergeCells>
  <printOptions/>
  <pageMargins left="0.7" right="0.7" top="0.75" bottom="0.75" header="0.3" footer="0.3"/>
  <pageSetup paperSize="9" orientation="portrait" horizontalDpi="300" verticalDpi="300"/>
</worksheet>
</file>

<file path=xl/worksheets/sheet3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17"/>
  <sheetViews>
    <sheetView showGridLines="0" zoomScaleNormal="100" zoomScaleSheetLayoutView="100" zoomScalePageLayoutView="100" workbookViewId="0"/>
  </sheetViews>
  <sheetFormatPr defaultRowHeight="12"/>
  <cols>
    <col min="1" max="1" width="18.5546875" customWidth="1"/>
    <col min="2" max="5" width="17" customWidth="1"/>
    <col min="6" max="16384" width="8.88671875"/>
  </cols>
  <sheetData>
    <row r="1">
      <c r="A1" s="78" t="s">
        <v>1108</v>
      </c>
      <c r="B1" s="78"/>
      <c r="C1" s="78"/>
      <c r="D1" s="78"/>
      <c r="E1" s="78"/>
    </row>
    <row r="2">
      <c r="A2" s="161"/>
      <c r="B2" s="161"/>
      <c r="C2" s="161"/>
      <c r="D2" s="161"/>
      <c r="E2" s="161"/>
    </row>
    <row r="3" thickBot="1">
      <c r="A3" s="161" t="s">
        <v>1077</v>
      </c>
      <c r="B3" s="161"/>
      <c r="C3" s="161"/>
      <c r="D3" s="161"/>
      <c r="E3" s="161"/>
    </row>
    <row r="4" ht="24" customHeight="1" thickTop="1" thickBot="1">
      <c r="A4" s="108" t="s">
        <v>1220</v>
      </c>
      <c r="B4" s="235" t="s">
        <v>998</v>
      </c>
      <c r="C4" s="50"/>
      <c r="D4" s="235" t="s">
        <v>1293</v>
      </c>
      <c r="E4" s="50"/>
    </row>
    <row r="5" thickTop="1" thickBot="1">
      <c r="A5" s="85"/>
      <c r="B5" s="235" t="s">
        <v>201</v>
      </c>
      <c r="C5" s="50"/>
      <c r="D5" s="235" t="s">
        <v>201</v>
      </c>
      <c r="E5" s="50"/>
    </row>
    <row r="6" thickTop="1" thickBot="1">
      <c r="A6" s="102"/>
      <c r="B6" s="202" t="s">
        <v>1209</v>
      </c>
      <c r="C6" s="202" t="s">
        <v>467</v>
      </c>
      <c r="D6" s="202" t="s">
        <v>1209</v>
      </c>
      <c r="E6" s="202" t="s">
        <v>467</v>
      </c>
    </row>
    <row r="7" thickTop="1" thickBot="1">
      <c r="A7" s="142" t="s">
        <v>343</v>
      </c>
      <c r="B7" s="14"/>
      <c r="C7" s="14"/>
      <c r="D7" s="135"/>
      <c r="E7" s="135"/>
    </row>
    <row r="8" thickTop="1" thickBot="1">
      <c r="A8" s="191"/>
      <c r="B8" s="226"/>
      <c r="C8" s="226"/>
      <c r="D8" s="37"/>
      <c r="E8" s="37"/>
    </row>
    <row r="9" thickBot="1">
      <c r="A9" s="191"/>
      <c r="B9" s="226"/>
      <c r="C9" s="226"/>
      <c r="D9" s="37"/>
      <c r="E9" s="37"/>
    </row>
    <row r="10" thickBot="1">
      <c r="A10" s="191"/>
      <c r="B10" s="226"/>
      <c r="C10" s="226"/>
      <c r="D10" s="37"/>
      <c r="E10" s="37"/>
    </row>
    <row r="11" thickBot="1">
      <c r="A11" s="39"/>
      <c r="B11" s="13"/>
      <c r="C11" s="48"/>
      <c r="D11" s="134"/>
      <c r="E11" s="134"/>
    </row>
    <row r="12" thickTop="1" thickBot="1">
      <c r="A12" s="142" t="s">
        <v>187</v>
      </c>
      <c r="B12" s="13"/>
      <c r="C12" s="183"/>
      <c r="D12" s="134"/>
      <c r="E12" s="134"/>
    </row>
    <row r="13" thickTop="1" thickBot="1">
      <c r="A13" s="191"/>
      <c r="B13" s="226"/>
      <c r="C13" s="226"/>
      <c r="D13" s="37"/>
      <c r="E13" s="37"/>
    </row>
    <row r="14" thickBot="1">
      <c r="A14" s="191"/>
      <c r="B14" s="226"/>
      <c r="C14" s="226"/>
      <c r="D14" s="37"/>
      <c r="E14" s="37"/>
    </row>
    <row r="15" thickBot="1">
      <c r="A15" s="191"/>
      <c r="B15" s="226"/>
      <c r="C15" s="226"/>
      <c r="D15" s="37"/>
      <c r="E15" s="37"/>
    </row>
    <row r="16" thickBot="1">
      <c r="A16" s="142"/>
      <c r="B16" s="13"/>
      <c r="C16" s="13"/>
      <c r="D16" s="134"/>
      <c r="E16" s="134"/>
    </row>
    <row r="17" thickTop="1"/>
  </sheetData>
  <sheetCalcPr fullCalcOnLoad="1"/>
  <mergeCells count="6">
    <mergeCell ref="A1:E1"/>
    <mergeCell ref="A4:A6"/>
    <mergeCell ref="B4:C4"/>
    <mergeCell ref="D4:E4"/>
    <mergeCell ref="B5:C5"/>
    <mergeCell ref="D5:E5"/>
  </mergeCells>
  <printOptions/>
  <pageMargins left="0.7" right="0.7" top="0.75" bottom="0.75" header="0.3" footer="0.3"/>
  <pageSetup paperSize="9" orientation="portrait" horizontalDpi="300" verticalDpi="300"/>
</worksheet>
</file>

<file path=xl/worksheets/sheet35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E9"/>
  <sheetViews>
    <sheetView showGridLines="0" zoomScaleNormal="100" zoomScaleSheetLayoutView="100" zoomScalePageLayoutView="100" workbookViewId="0"/>
  </sheetViews>
  <sheetFormatPr defaultRowHeight="12"/>
  <cols>
    <col min="1" max="1" width="31.6640625" customWidth="1"/>
    <col min="2" max="3" width="27.33203125" customWidth="1"/>
    <col min="4" max="4" width="21.88671875" customWidth="1"/>
    <col min="5" max="5" width="19.5546875" customWidth="1"/>
    <col min="6" max="16384" width="8.88671875"/>
  </cols>
  <sheetData>
    <row r="1" thickBot="1">
      <c r="A1" s="47" t="s">
        <v>301</v>
      </c>
    </row>
    <row r="2" thickTop="1" thickBot="1">
      <c r="A2" s="108" t="s">
        <v>540</v>
      </c>
      <c r="B2" s="235" t="s">
        <v>314</v>
      </c>
      <c r="C2" s="50"/>
    </row>
    <row r="3" thickTop="1" thickBot="1">
      <c r="A3" s="102"/>
      <c r="B3" s="50" t="s">
        <v>998</v>
      </c>
      <c r="C3" s="50" t="s">
        <v>1293</v>
      </c>
    </row>
    <row r="4" ht="20.25" customHeight="1" thickTop="1" thickBot="1">
      <c r="A4" s="191" t="s">
        <v>317</v>
      </c>
      <c r="B4" s="226"/>
      <c r="C4" s="37"/>
    </row>
    <row r="5" ht="20.25" customHeight="1" thickBot="1">
      <c r="A5" s="191" t="s">
        <v>191</v>
      </c>
      <c r="B5" s="226"/>
      <c r="C5" s="37"/>
    </row>
    <row r="6" ht="26.25" customHeight="1" thickBot="1">
      <c r="A6" s="191" t="s">
        <v>1171</v>
      </c>
      <c r="B6" s="226"/>
      <c r="C6" s="37"/>
    </row>
    <row r="7" ht="24.75" customHeight="1" thickBot="1">
      <c r="A7" s="191" t="s">
        <v>1096</v>
      </c>
      <c r="B7" s="226"/>
      <c r="C7" s="37"/>
    </row>
    <row r="8" ht="20.25" customHeight="1" thickBot="1">
      <c r="A8" s="142" t="s">
        <v>928</v>
      </c>
      <c r="B8" s="13">
        <f>SUM(B4:B7)</f>
        <v>0</v>
      </c>
      <c r="C8" s="134">
        <f>SUM(C4:C7)</f>
        <v>0</v>
      </c>
    </row>
    <row r="9" thickTop="1">
      <c r="A9" s="47"/>
    </row>
  </sheetData>
  <sheetCalcPr fullCalcOnLoad="1"/>
  <mergeCells count="2">
    <mergeCell ref="B2:C2"/>
    <mergeCell ref="A2:A3"/>
  </mergeCells>
  <printOptions/>
  <pageMargins left="0.7" right="0.7" top="0.75" bottom="0.75" header="0.3" footer="0.3"/>
  <pageSetup paperSize="9" orientation="portrait" horizontalDpi="300" verticalDpi="300"/>
</worksheet>
</file>

<file path=xl/worksheets/sheet3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8"/>
  <sheetViews>
    <sheetView showGridLines="0" zoomScaleNormal="100" zoomScaleSheetLayoutView="100" zoomScalePageLayoutView="100" workbookViewId="0"/>
  </sheetViews>
  <sheetFormatPr defaultRowHeight="12"/>
  <cols>
    <col min="1" max="1" width="18.88671875" customWidth="1"/>
    <col min="2" max="7" width="11.33203125" customWidth="1"/>
    <col min="8" max="16384" width="8.88671875"/>
  </cols>
  <sheetData>
    <row r="1" thickBot="1">
      <c r="A1" s="47" t="s">
        <v>713</v>
      </c>
    </row>
    <row r="2" ht="30.75" customHeight="1" thickTop="1" thickBot="1">
      <c r="A2" s="108" t="s">
        <v>553</v>
      </c>
      <c r="B2" s="129" t="s">
        <v>998</v>
      </c>
      <c r="C2" s="238"/>
      <c r="D2" s="230"/>
      <c r="E2" s="235" t="s">
        <v>1293</v>
      </c>
      <c r="F2" s="56"/>
      <c r="G2" s="50"/>
    </row>
    <row r="3" thickTop="1" thickBot="1">
      <c r="A3" s="85"/>
      <c r="B3" s="129" t="s">
        <v>67</v>
      </c>
      <c r="C3" s="238"/>
      <c r="D3" s="230"/>
      <c r="E3" s="129" t="s">
        <v>67</v>
      </c>
      <c r="F3" s="238"/>
      <c r="G3" s="230"/>
    </row>
    <row r="4" thickTop="1" thickBot="1">
      <c r="A4" s="102"/>
      <c r="B4" s="202" t="s">
        <v>506</v>
      </c>
      <c r="C4" s="202" t="s">
        <v>115</v>
      </c>
      <c r="D4" s="202" t="s">
        <v>1010</v>
      </c>
      <c r="E4" s="202" t="s">
        <v>506</v>
      </c>
      <c r="F4" s="202" t="s">
        <v>115</v>
      </c>
      <c r="G4" s="202" t="s">
        <v>1010</v>
      </c>
    </row>
    <row r="5" thickTop="1" thickBot="1">
      <c r="A5" s="29" t="s">
        <v>1182</v>
      </c>
      <c r="B5" s="200"/>
      <c r="C5" s="200"/>
      <c r="D5" s="200"/>
      <c r="E5" s="200"/>
      <c r="F5" s="200"/>
      <c r="G5" s="147"/>
    </row>
    <row r="6" thickBot="1">
      <c r="A6" s="17" t="s">
        <v>1323</v>
      </c>
      <c r="B6" s="226"/>
      <c r="C6" s="226"/>
      <c r="D6" s="226"/>
      <c r="E6" s="226"/>
      <c r="F6" s="226"/>
      <c r="G6" s="37"/>
    </row>
    <row r="7" thickBot="1">
      <c r="A7" s="38" t="s">
        <v>928</v>
      </c>
      <c r="B7" s="13">
        <f>B5+B6</f>
        <v>0</v>
      </c>
      <c r="C7" s="13">
        <f>C5+C6</f>
        <v>0</v>
      </c>
      <c r="D7" s="13">
        <f>D5+D6</f>
        <v>0</v>
      </c>
      <c r="E7" s="13">
        <f>E5+E6</f>
        <v>0</v>
      </c>
      <c r="F7" s="13">
        <f>F5+F6</f>
        <v>0</v>
      </c>
      <c r="G7" s="134">
        <f>G5+G6</f>
        <v>0</v>
      </c>
    </row>
    <row r="8" thickTop="1"/>
  </sheetData>
  <sheetCalcPr fullCalcOnLoad="1"/>
  <mergeCells count="5">
    <mergeCell ref="B2:D2"/>
    <mergeCell ref="E2:G2"/>
    <mergeCell ref="B3:D3"/>
    <mergeCell ref="E3:G3"/>
    <mergeCell ref="A2:A4"/>
  </mergeCells>
  <printOptions/>
  <pageMargins left="0.7" right="0.7" top="0.75" bottom="0.75" header="0.3" footer="0.3"/>
  <pageSetup paperSize="9" orientation="portrait" horizontalDpi="300" verticalDpi="300"/>
</worksheet>
</file>

<file path=xl/worksheets/sheet3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3"/>
  <sheetViews>
    <sheetView showGridLines="0" zoomScaleNormal="100" zoomScaleSheetLayoutView="100" zoomScalePageLayoutView="100" workbookViewId="0"/>
  </sheetViews>
  <sheetFormatPr defaultRowHeight="12"/>
  <cols>
    <col min="1" max="1" width="24.5546875" customWidth="1"/>
    <col min="2" max="6" width="12.33203125" customWidth="1"/>
    <col min="7" max="7" width="13" customWidth="1"/>
    <col min="8" max="16384" width="8.88671875"/>
  </cols>
  <sheetData>
    <row r="1" thickBot="1">
      <c r="A1" s="47" t="s">
        <v>511</v>
      </c>
    </row>
    <row r="2" ht="33" customHeight="1" thickTop="1" thickBot="1">
      <c r="A2" s="108" t="s">
        <v>1220</v>
      </c>
      <c r="B2" s="50" t="s">
        <v>998</v>
      </c>
      <c r="C2" s="235" t="s">
        <v>1293</v>
      </c>
      <c r="D2" s="50"/>
      <c r="E2" s="235" t="s">
        <v>783</v>
      </c>
      <c r="F2" s="50"/>
    </row>
    <row r="3" ht="45" customHeight="1" thickTop="1" thickBot="1">
      <c r="A3" s="102"/>
      <c r="B3" s="202" t="s">
        <v>1328</v>
      </c>
      <c r="C3" s="202" t="s">
        <v>1328</v>
      </c>
      <c r="D3" s="202" t="s">
        <v>104</v>
      </c>
      <c r="E3" s="202" t="s">
        <v>998</v>
      </c>
      <c r="F3" s="202" t="s">
        <v>1334</v>
      </c>
    </row>
    <row r="4" thickTop="1" thickBot="1">
      <c r="A4" s="64" t="s">
        <v>675</v>
      </c>
      <c r="B4" s="260">
        <f>SUMIF(HK!A:A,"121*",HK!K:K)-SUMIF(HK!A:A,"121*",HK!L:L)+SUMIF(HK!A:A,"122*",HK!K:K)-SUMIF(HK!A:A,"122*",HK!L:L)</f>
        <v>0</v>
      </c>
      <c r="C4" s="260">
        <f>SUMIF(HKM!A:A,"121*",HKM!K:K)-SUMIF(HKM!A:A,"121*",HKM!L:L)+SUMIF(HKM!A:A,"122*",HKM!K:K)-SUMIF(HKM!A:A,"122*",HKM!L:L)</f>
        <v>0</v>
      </c>
      <c r="D4" s="260">
        <f>SUMIF(HKM!A:A,"121*",HKM!C:C)-SUMIF(HKM!A:A,"121*",HKM!D:D)+SUMIF(HKM!A:A,"122*",HKM!C:C)-SUMIF(HKM!A:A,"122*",HKM!D:D)</f>
        <v>0</v>
      </c>
      <c r="E4" s="260">
        <f>SUMIF(HK!A:A,"611*",HK!L:L)-SUMIF(HK!A:A,"611*",HK!K:K)+SUMIF(HK!A:A,"612*",HK!L:L)-SUMIF(HK!A:A,"611*",HK!K:K)</f>
        <v>0</v>
      </c>
      <c r="F4" s="260">
        <f>SUMIF(HKM!A:A,"611*",HKM!L:L)-SUMIF(HKM!A:A,"611*",HKM!K:K)+SUMIF(HKM!A:A,"612*",HKM!L:L)-SUMIF(HKM!A:A,"612*",HKM!K:K)</f>
        <v>0</v>
      </c>
      <c r="G4" s="241"/>
      <c r="H4" s="26"/>
      <c r="I4" s="241"/>
      <c r="J4" s="241"/>
    </row>
    <row r="5" thickBot="1">
      <c r="A5" s="265" t="s">
        <v>1287</v>
      </c>
      <c r="B5" s="260">
        <f>SUMIF(HK!A:A,"123*",HK!K:K)-SUMIF(HK!A:A,"123*",HK!L:L)</f>
        <v>0</v>
      </c>
      <c r="C5" s="260">
        <f>SUMIF(HKM!A:A,"123*",HKM!K:K)-SUMIF(HKM!A:A,"123*",HKM!L:L)</f>
        <v>0</v>
      </c>
      <c r="D5" s="260">
        <f>SUMIF(HKM!A:A,"123*",HKM!C:C)</f>
        <v>0</v>
      </c>
      <c r="E5" s="260">
        <f>SUMIF(HK!A:A,"613*",HK!L:L)-SUMIF(HK!A:A,"613*",HK!K:K)</f>
        <v>0</v>
      </c>
      <c r="F5" s="260">
        <f>SUMIF(HKM!A:A,"613*",HKM!L:L)-SUMIF(HKM!A:A,"613*",HKM!K:K)</f>
        <v>0</v>
      </c>
      <c r="G5" s="241"/>
      <c r="H5" s="26"/>
      <c r="I5" s="241"/>
      <c r="J5" s="241"/>
    </row>
    <row r="6" thickBot="1">
      <c r="A6" s="191" t="s">
        <v>474</v>
      </c>
      <c r="B6" s="260">
        <f>SUMIF(HK!A:A,"124*",HK!K:K)-SUMIF(HK!A:A,"124*",HK!L:L)</f>
        <v>0</v>
      </c>
      <c r="C6" s="260">
        <f>SUMIF(HKM!A:A,"124*",HKM!K:K)-SUMIF(HKM!A:A,"124*",HKM!L:L)</f>
        <v>0</v>
      </c>
      <c r="D6" s="260">
        <f>SUMIF(HKM!A:A,"124*",HKM!C:C)-SUMIF(HKM!A:A,"124*",HKM!D:D)</f>
        <v>0</v>
      </c>
      <c r="E6" s="260">
        <f>SUMIF(HK!A:A,"614*",HK!L:L)-SUMIF(HK!A:A,"614*",HK!K:K)</f>
        <v>0</v>
      </c>
      <c r="F6" s="260">
        <f>SUMIF(HKM!A:A,"614*",HKM!L:L)-SUMIF(HKM!A:A,"614*",HKM!K:K)</f>
        <v>0</v>
      </c>
      <c r="G6" s="241"/>
      <c r="H6" s="26"/>
      <c r="I6" s="241"/>
      <c r="J6" s="241"/>
    </row>
    <row r="7" ht="19.5" customHeight="1" thickBot="1">
      <c r="A7" s="191" t="s">
        <v>928</v>
      </c>
      <c r="B7" s="35"/>
      <c r="C7" s="35"/>
      <c r="D7" s="223"/>
      <c r="E7" s="259"/>
      <c r="F7" s="259"/>
      <c r="G7" s="241"/>
      <c r="H7" s="163"/>
      <c r="I7" s="241"/>
      <c r="J7" s="241"/>
    </row>
    <row r="8" thickBot="1">
      <c r="A8" s="191" t="s">
        <v>128</v>
      </c>
      <c r="B8" s="166" t="s">
        <v>962</v>
      </c>
      <c r="C8" s="166" t="s">
        <v>962</v>
      </c>
      <c r="D8" s="71" t="s">
        <v>962</v>
      </c>
      <c r="E8" s="260">
        <f>SUMIF(HK!A:A,"549*",HK!K:K)-SUMIF(HK!A:A,"549*",HK!L:L)</f>
        <v>0</v>
      </c>
      <c r="F8" s="260">
        <f>SUMIF(HKM!A:A,"549*",HKM!K:K)-SUMIF(HKM!A:A,"549*",HKM!L:L)</f>
        <v>0</v>
      </c>
      <c r="G8" s="241"/>
      <c r="H8" s="26"/>
      <c r="I8" s="241"/>
      <c r="J8" s="241"/>
    </row>
    <row r="9" thickBot="1">
      <c r="A9" s="191" t="s">
        <v>207</v>
      </c>
      <c r="B9" s="166" t="s">
        <v>962</v>
      </c>
      <c r="C9" s="166" t="s">
        <v>962</v>
      </c>
      <c r="D9" s="71" t="s">
        <v>962</v>
      </c>
      <c r="E9" s="260">
        <f>SUMIF(HK!A:A,"513*",HK!K:K)-SUMIF(HK!A:A,"513*",HK!L:L)</f>
        <v>0</v>
      </c>
      <c r="F9" s="260">
        <f>SUMIF(HKM!A:A,"513*",HKM!K:K)-SUMIF(HKM!A:A,"513*",HKM!L:L)</f>
        <v>0</v>
      </c>
      <c r="G9" s="241"/>
      <c r="H9" s="26"/>
      <c r="I9" s="241"/>
      <c r="J9" s="241"/>
    </row>
    <row r="10" thickBot="1">
      <c r="A10" s="191" t="s">
        <v>916</v>
      </c>
      <c r="B10" s="166" t="s">
        <v>962</v>
      </c>
      <c r="C10" s="166" t="s">
        <v>962</v>
      </c>
      <c r="D10" s="71" t="s">
        <v>962</v>
      </c>
      <c r="E10" s="260">
        <f>SUMIF(HK!A:A,"543*",HK!K:K)-SUMIF(HK!A:A,"543*",HK!L:L)</f>
        <v>0</v>
      </c>
      <c r="F10" s="260">
        <f>SUMIF(HKM!A:A,"543*",HKM!K:K)-SUMIF(HKM!A:A,"543*",HKM!L:L)</f>
        <v>0</v>
      </c>
      <c r="G10" s="241"/>
      <c r="H10" s="26"/>
      <c r="I10" s="241"/>
      <c r="J10" s="241"/>
    </row>
    <row r="11" ht="19.5" customHeight="1" thickBot="1">
      <c r="A11" s="39" t="s">
        <v>478</v>
      </c>
      <c r="B11" s="105" t="s">
        <v>962</v>
      </c>
      <c r="C11" s="105" t="s">
        <v>962</v>
      </c>
      <c r="D11" s="262" t="s">
        <v>962</v>
      </c>
      <c r="E11" s="70"/>
      <c r="F11" s="70"/>
      <c r="G11" s="241"/>
      <c r="H11" s="163"/>
      <c r="I11" s="241"/>
      <c r="J11" s="241"/>
    </row>
    <row r="12" thickTop="1" thickBot="1">
      <c r="A12" s="142" t="s">
        <v>930</v>
      </c>
      <c r="B12" s="105" t="s">
        <v>962</v>
      </c>
      <c r="C12" s="105" t="s">
        <v>962</v>
      </c>
      <c r="D12" s="262" t="s">
        <v>962</v>
      </c>
      <c r="E12" s="81">
        <f>SUMIF(VZaS!C:C,"006",VZaS!D:D)</f>
        <v>0</v>
      </c>
      <c r="F12" s="81">
        <f>SUMIF(VZaS!C:C,"006",VZaS!E:E)</f>
        <v>0</v>
      </c>
      <c r="G12" s="241"/>
      <c r="H12" s="212"/>
      <c r="I12" s="241"/>
      <c r="J12" s="241"/>
    </row>
    <row r="13" thickTop="1"/>
  </sheetData>
  <sheetCalcPr fullCalcOnLoad="1"/>
  <mergeCells count="3">
    <mergeCell ref="A2:A3"/>
    <mergeCell ref="C2:D2"/>
    <mergeCell ref="E2:F2"/>
  </mergeCells>
  <printOptions/>
  <pageMargins left="0.7" right="0.7" top="0.75" bottom="0.75" header="0.3" footer="0.3"/>
  <pageSetup paperSize="9" orientation="portrait" horizontalDpi="300" verticalDpi="300"/>
</worksheet>
</file>

<file path=xl/worksheets/sheet38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G10"/>
  <sheetViews>
    <sheetView showGridLines="0" zoomScaleNormal="100" zoomScaleSheetLayoutView="100" zoomScalePageLayoutView="100" workbookViewId="0"/>
  </sheetViews>
  <sheetFormatPr defaultRowHeight="12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535</v>
      </c>
    </row>
    <row r="2" ht="26.25" customHeight="1" thickTop="1" thickBot="1">
      <c r="A2" s="229" t="s">
        <v>1220</v>
      </c>
      <c r="B2" s="50" t="s">
        <v>998</v>
      </c>
      <c r="C2" s="50" t="s">
        <v>1293</v>
      </c>
    </row>
    <row r="3" ht="18.75" customHeight="1" thickTop="1" thickBot="1">
      <c r="A3" s="17" t="s">
        <v>493</v>
      </c>
      <c r="B3" s="81">
        <f>SUMIF(HK!A:A,"601*",HK!L:L)-SUMIF(HK!A:A,"601*",HK!K:K)</f>
        <v>0</v>
      </c>
      <c r="C3" s="81">
        <f>SUMIF(HKM!A:A,"601*",HKM!L:L)-SUMIF(HKM!A:A,"601*",HKM!K:K)</f>
        <v>0</v>
      </c>
      <c r="D3" s="241"/>
      <c r="E3" s="207"/>
      <c r="G3" s="44"/>
    </row>
    <row r="4" ht="18.75" customHeight="1" thickBot="1">
      <c r="A4" s="17" t="s">
        <v>143</v>
      </c>
      <c r="B4" s="81">
        <f>SUMIF(HK!A:A,"602*",HK!L:L)-SUMIF(HK!A:A,"602*",HK!K:K)</f>
        <v>0</v>
      </c>
      <c r="C4" s="81">
        <f>SUMIF(HKM!A:A,"602*",HKM!L:L)-SUMIF(HKM!A:A,"602*",HKM!K:K)</f>
        <v>0</v>
      </c>
      <c r="D4" s="241"/>
      <c r="E4" s="207"/>
      <c r="G4" s="44"/>
    </row>
    <row r="5" ht="18.75" customHeight="1" thickBot="1">
      <c r="A5" s="17" t="s">
        <v>1074</v>
      </c>
      <c r="B5" s="81">
        <f>SUMIF(HK!A:A,"604*",HK!L:L)-SUMIF(HK!A:A,"604*",HK!K:K)</f>
        <v>0</v>
      </c>
      <c r="C5" s="81">
        <f>SUMIF(HKM!A:A,"604*",HKM!L:L)-SUMIF(HKM!A:A,"604*",HKM!K:K)</f>
        <v>0</v>
      </c>
      <c r="D5" s="241"/>
      <c r="E5" s="207"/>
      <c r="G5" s="44"/>
    </row>
    <row r="6" ht="18.75" customHeight="1" thickBot="1">
      <c r="A6" s="17" t="s">
        <v>450</v>
      </c>
      <c r="B6" s="81">
        <f>SUMIF(HK!A:A,"606*",HK!L:L)-SUMIF(HK!A:A,"606*",HK!K:K)</f>
        <v>0</v>
      </c>
      <c r="C6" s="81">
        <f>SUMIF(HKM!A:A,"606*",HKM!L:L)-SUMIF(HKM!A:A,"606*",HKM!K:K)</f>
        <v>0</v>
      </c>
      <c r="D6" s="241"/>
      <c r="E6" s="207"/>
      <c r="G6" s="44"/>
    </row>
    <row r="7" ht="18.75" customHeight="1" thickBot="1">
      <c r="A7" s="17" t="s">
        <v>807</v>
      </c>
      <c r="B7" s="81"/>
      <c r="C7" s="81"/>
      <c r="D7" s="241"/>
      <c r="E7" s="207"/>
      <c r="G7" s="132"/>
    </row>
    <row r="8" thickBot="1">
      <c r="A8" s="191" t="s">
        <v>673</v>
      </c>
      <c r="B8" s="259"/>
      <c r="C8" s="259"/>
      <c r="D8" s="241"/>
      <c r="E8" s="241"/>
      <c r="G8" s="44"/>
    </row>
    <row r="9" ht="18.75" customHeight="1" thickBot="1">
      <c r="A9" s="38" t="s">
        <v>662</v>
      </c>
      <c r="B9" s="134">
        <f>SUM(B3:B8)</f>
        <v>0</v>
      </c>
      <c r="C9" s="134">
        <f>SUM(C3:C8)</f>
        <v>0</v>
      </c>
    </row>
    <row r="10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39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27.88671875" customWidth="1"/>
    <col min="2" max="3" width="29.441406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692</v>
      </c>
      <c r="D1" s="241"/>
      <c r="E1" s="241"/>
    </row>
    <row r="2" thickTop="1" thickBot="1">
      <c r="A2" s="229" t="s">
        <v>1220</v>
      </c>
      <c r="B2" s="50" t="s">
        <v>998</v>
      </c>
      <c r="C2" s="50" t="s">
        <v>1293</v>
      </c>
      <c r="D2" s="241"/>
      <c r="E2" s="241"/>
    </row>
    <row r="3" ht="30.75" customHeight="1" thickTop="1" thickBot="1">
      <c r="A3" s="18" t="s">
        <v>323</v>
      </c>
      <c r="B3" s="81"/>
      <c r="C3" s="81"/>
    </row>
    <row r="4" thickBot="1">
      <c r="A4" s="191" t="s">
        <v>168</v>
      </c>
      <c r="B4" s="259"/>
      <c r="C4" s="259"/>
    </row>
    <row r="5" thickBot="1">
      <c r="A5" s="191" t="s">
        <v>1161</v>
      </c>
      <c r="B5" s="259"/>
      <c r="C5" s="259"/>
    </row>
    <row r="6" thickBot="1">
      <c r="A6" s="191" t="s">
        <v>615</v>
      </c>
      <c r="B6" s="259"/>
      <c r="C6" s="259"/>
    </row>
    <row r="7" thickBot="1">
      <c r="A7" s="191" t="s">
        <v>1165</v>
      </c>
      <c r="B7" s="259"/>
      <c r="C7" s="259"/>
    </row>
    <row r="8" thickBot="1">
      <c r="A8" s="39" t="s">
        <v>892</v>
      </c>
      <c r="B8" s="70"/>
      <c r="C8" s="70"/>
    </row>
    <row r="9" thickTop="1"/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338</v>
      </c>
    </row>
    <row r="2" ht="21" customHeight="1" thickTop="1" thickBot="1">
      <c r="A2" s="214" t="s">
        <v>702</v>
      </c>
      <c r="B2" s="34" t="s">
        <v>163</v>
      </c>
    </row>
    <row r="3" ht="32.25" customHeight="1" thickTop="1" thickBot="1">
      <c r="A3" s="213" t="s">
        <v>802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0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G9"/>
  <sheetViews>
    <sheetView showGridLines="0" zoomScaleNormal="100" zoomScaleSheetLayoutView="100" zoomScalePageLayoutView="100" workbookViewId="0"/>
  </sheetViews>
  <sheetFormatPr defaultRowHeight="12"/>
  <cols>
    <col min="1" max="1" width="36.6640625" customWidth="1"/>
    <col min="2" max="2" width="26.44140625" customWidth="1"/>
    <col min="3" max="3" width="23.33203125" customWidth="1"/>
    <col min="4" max="4" width="17.44140625" customWidth="1"/>
    <col min="5" max="5" width="19.5546875" customWidth="1"/>
    <col min="6" max="6" width="19.33203125" customWidth="1"/>
    <col min="7" max="7" width="13" customWidth="1"/>
    <col min="8" max="16384" width="8.88671875"/>
  </cols>
  <sheetData>
    <row r="1" thickBot="1">
      <c r="A1" s="47" t="s">
        <v>351</v>
      </c>
    </row>
    <row r="2" thickTop="1" thickBot="1">
      <c r="A2" s="229" t="s">
        <v>1220</v>
      </c>
      <c r="B2" s="50" t="s">
        <v>998</v>
      </c>
      <c r="C2" s="50" t="s">
        <v>1293</v>
      </c>
    </row>
    <row r="3" thickTop="1" thickBot="1">
      <c r="A3" s="64" t="s">
        <v>1325</v>
      </c>
      <c r="B3" s="141"/>
      <c r="C3" s="141"/>
    </row>
    <row r="4" thickBot="1">
      <c r="A4" s="127" t="s">
        <v>369</v>
      </c>
      <c r="B4" s="141"/>
      <c r="C4" s="141"/>
    </row>
    <row r="5" thickBot="1">
      <c r="A5" s="265" t="s">
        <v>1223</v>
      </c>
      <c r="B5" s="141"/>
      <c r="C5" s="141"/>
    </row>
    <row r="6" thickBot="1">
      <c r="A6" s="191" t="s">
        <v>831</v>
      </c>
      <c r="B6" s="141"/>
      <c r="C6" s="141"/>
    </row>
    <row r="7" thickBot="1">
      <c r="A7" s="64" t="s">
        <v>877</v>
      </c>
      <c r="B7" s="141"/>
      <c r="C7" s="141"/>
    </row>
    <row r="8" thickBot="1">
      <c r="A8" s="94" t="s">
        <v>1366</v>
      </c>
      <c r="B8" s="236"/>
      <c r="C8" s="236"/>
    </row>
    <row r="9" thickTop="1">
      <c r="A9" s="47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41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J14"/>
  <sheetViews>
    <sheetView showGridLines="0" zoomScaleNormal="100" zoomScaleSheetLayoutView="100" zoomScalePageLayoutView="100" workbookViewId="0"/>
  </sheetViews>
  <sheetFormatPr defaultRowHeight="12"/>
  <cols>
    <col min="1" max="1" width="22.33203125" customWidth="1"/>
    <col min="2" max="2" width="10.6640625" customWidth="1"/>
    <col min="3" max="3" width="11.88671875" customWidth="1"/>
    <col min="4" max="5" width="10.6640625" customWidth="1"/>
    <col min="6" max="6" width="12.6640625" customWidth="1"/>
    <col min="7" max="7" width="10.6640625" customWidth="1"/>
    <col min="8" max="16384" width="8.88671875"/>
  </cols>
  <sheetData>
    <row r="1" thickBot="1">
      <c r="A1" s="47" t="s">
        <v>74</v>
      </c>
    </row>
    <row r="2" ht="35.25" customHeight="1" thickTop="1" thickBot="1">
      <c r="A2" s="214" t="s">
        <v>1220</v>
      </c>
      <c r="B2" s="235" t="s">
        <v>998</v>
      </c>
      <c r="C2" s="56"/>
      <c r="D2" s="50"/>
      <c r="E2" s="235" t="s">
        <v>1293</v>
      </c>
      <c r="F2" s="56"/>
      <c r="G2" s="50"/>
    </row>
    <row r="3" s="87" customFormat="1" thickTop="1" thickBot="1">
      <c r="A3" s="205"/>
      <c r="B3" s="202" t="s">
        <v>875</v>
      </c>
      <c r="C3" s="202" t="s">
        <v>1089</v>
      </c>
      <c r="D3" s="202" t="s">
        <v>262</v>
      </c>
      <c r="E3" s="202" t="s">
        <v>875</v>
      </c>
      <c r="F3" s="202" t="s">
        <v>1089</v>
      </c>
      <c r="G3" s="202" t="s">
        <v>262</v>
      </c>
    </row>
    <row r="4" thickTop="1" thickBot="1">
      <c r="A4" s="191" t="s">
        <v>1184</v>
      </c>
      <c r="B4" s="264">
        <f>SUMIF(VZaS!C:C,"056",VZaS!D:D)</f>
        <v>0</v>
      </c>
      <c r="C4" s="23" t="s">
        <v>962</v>
      </c>
      <c r="D4" s="122" t="s">
        <v>962</v>
      </c>
      <c r="E4" s="264">
        <f>SUMIF(VZaS!C:C,"056",VZaS!E:E)</f>
        <v>0</v>
      </c>
      <c r="F4" s="23" t="s">
        <v>962</v>
      </c>
      <c r="G4" s="122" t="s">
        <v>962</v>
      </c>
      <c r="H4" s="103"/>
      <c r="I4" s="103"/>
      <c r="J4" s="67"/>
    </row>
    <row r="5" ht="20.25" customHeight="1" thickBot="1">
      <c r="A5" s="191" t="s">
        <v>521</v>
      </c>
      <c r="B5" s="23" t="s">
        <v>962</v>
      </c>
      <c r="C5" s="154"/>
      <c r="D5" s="130"/>
      <c r="E5" s="23" t="s">
        <v>962</v>
      </c>
      <c r="F5" s="154"/>
      <c r="G5" s="130"/>
      <c r="H5" s="103"/>
      <c r="I5" s="103"/>
      <c r="J5" s="103"/>
    </row>
    <row r="6" ht="20.25" customHeight="1" thickBot="1">
      <c r="A6" s="191" t="s">
        <v>1050</v>
      </c>
      <c r="B6" s="154"/>
      <c r="C6" s="154"/>
      <c r="D6" s="130"/>
      <c r="E6" s="154"/>
      <c r="F6" s="154"/>
      <c r="G6" s="130"/>
      <c r="H6" s="103"/>
      <c r="I6" s="103"/>
      <c r="J6" s="103"/>
    </row>
    <row r="7" ht="20.25" customHeight="1" thickBot="1">
      <c r="A7" s="191" t="s">
        <v>227</v>
      </c>
      <c r="B7" s="154"/>
      <c r="C7" s="154"/>
      <c r="D7" s="130"/>
      <c r="E7" s="154"/>
      <c r="F7" s="154"/>
      <c r="G7" s="130"/>
      <c r="H7" s="103"/>
      <c r="I7" s="103"/>
      <c r="J7" s="103"/>
    </row>
    <row r="8" ht="20.25" customHeight="1" thickBot="1">
      <c r="A8" s="191" t="s">
        <v>542</v>
      </c>
      <c r="B8" s="154"/>
      <c r="C8" s="154"/>
      <c r="D8" s="130"/>
      <c r="E8" s="154"/>
      <c r="F8" s="154"/>
      <c r="G8" s="130"/>
      <c r="H8" s="103"/>
      <c r="I8" s="103"/>
      <c r="J8" s="103"/>
    </row>
    <row r="9" ht="20.25" customHeight="1" thickBot="1">
      <c r="A9" s="191" t="s">
        <v>478</v>
      </c>
      <c r="B9" s="154"/>
      <c r="C9" s="154"/>
      <c r="D9" s="130"/>
      <c r="E9" s="154"/>
      <c r="F9" s="154"/>
      <c r="G9" s="130"/>
      <c r="H9" s="103"/>
      <c r="I9" s="103"/>
      <c r="J9" s="103"/>
    </row>
    <row r="10" ht="20.25" customHeight="1" thickBot="1">
      <c r="A10" s="191" t="s">
        <v>928</v>
      </c>
      <c r="B10" s="154"/>
      <c r="C10" s="154"/>
      <c r="D10" s="130"/>
      <c r="E10" s="154"/>
      <c r="F10" s="154"/>
      <c r="G10" s="130"/>
      <c r="H10" s="103"/>
      <c r="I10" s="103"/>
      <c r="J10" s="103"/>
    </row>
    <row r="11" ht="20.25" customHeight="1" thickBot="1">
      <c r="A11" s="191" t="s">
        <v>1226</v>
      </c>
      <c r="B11" s="23" t="s">
        <v>962</v>
      </c>
      <c r="C11" s="264">
        <f>SUMIF(VZaS!C:C,"058",VZaS!D:D)</f>
        <v>0</v>
      </c>
      <c r="D11" s="130"/>
      <c r="E11" s="23" t="s">
        <v>962</v>
      </c>
      <c r="F11" s="264">
        <f>SUMIF(VZaS!C:C,"058",VZaS!E:E)</f>
        <v>0</v>
      </c>
      <c r="G11" s="130"/>
      <c r="H11" s="103"/>
      <c r="I11" s="103"/>
      <c r="J11" s="103"/>
    </row>
    <row r="12" ht="20.25" customHeight="1" thickBot="1">
      <c r="A12" s="191" t="s">
        <v>947</v>
      </c>
      <c r="B12" s="23" t="s">
        <v>962</v>
      </c>
      <c r="C12" s="264">
        <f>SUMIF(VZaS!C:C,"059",VZaS!D:D)</f>
        <v>0</v>
      </c>
      <c r="D12" s="130"/>
      <c r="E12" s="23" t="s">
        <v>962</v>
      </c>
      <c r="F12" s="264">
        <f>SUMIF(VZaS!C:C,"059",VZaS!E:E)</f>
        <v>0</v>
      </c>
      <c r="G12" s="130"/>
      <c r="H12" s="103"/>
      <c r="I12" s="103"/>
      <c r="J12" s="103"/>
    </row>
    <row r="13" ht="20.25" customHeight="1" thickBot="1">
      <c r="A13" s="39" t="s">
        <v>893</v>
      </c>
      <c r="B13" s="152" t="s">
        <v>962</v>
      </c>
      <c r="C13" s="13"/>
      <c r="D13" s="211"/>
      <c r="E13" s="152" t="s">
        <v>962</v>
      </c>
      <c r="F13" s="13"/>
      <c r="G13" s="211"/>
    </row>
    <row r="14" thickTop="1"/>
  </sheetData>
  <sheetCalcPr fullCalcOnLoad="1"/>
  <mergeCells count="3">
    <mergeCell ref="A2:A3"/>
    <mergeCell ref="B2:D2"/>
    <mergeCell ref="E2:G2"/>
  </mergeCells>
  <printOptions/>
  <pageMargins left="0.7" right="0.7" top="0.75" bottom="0.75" header="0.3" footer="0.3"/>
  <pageSetup paperSize="9" orientation="portrait" horizontalDpi="300" verticalDpi="300"/>
</worksheet>
</file>

<file path=xl/worksheets/sheet42.xml><?xml version="1.0" encoding="utf-8"?>
<worksheet xmlns:r="http://schemas.openxmlformats.org/officeDocument/2006/relationships" xmlns="http://schemas.openxmlformats.org/spreadsheetml/2006/main">
  <sheetPr>
    <outlinePr/>
    <pageSetUpPr/>
  </sheetPr>
  <dimension ref="A1:B4"/>
  <sheetViews>
    <sheetView zoomScaleNormal="100" zoomScaleSheetLayoutView="100" zoomScalePageLayoutView="100" workbookViewId="0"/>
  </sheetViews>
  <sheetFormatPr defaultRowHeight="12"/>
  <cols>
    <col min="1" max="1" width="32" customWidth="1"/>
    <col min="2" max="16384" width="8.88671875"/>
  </cols>
  <sheetData>
    <row r="1">
      <c r="A1" t="s">
        <v>290</v>
      </c>
      <c r="B1" t="s">
        <v>648</v>
      </c>
    </row>
    <row r="2">
      <c r="A2" t="s">
        <v>1179</v>
      </c>
      <c r="B2" t="s">
        <v>13</v>
      </c>
    </row>
    <row r="3">
      <c r="A3" t="s">
        <v>964</v>
      </c>
      <c r="B3" t="s">
        <v>88</v>
      </c>
    </row>
    <row r="4">
      <c r="A4" t="s">
        <v>423</v>
      </c>
      <c r="B4" t="s">
        <v>88</v>
      </c>
    </row>
  </sheetData>
  <sheetCalcPr fullCalcOnLoad="1"/>
  <printOptions/>
  <pageMargins left="0.7" right="0.7" top="0.75" bottom="0.75" header="0.3" footer="0.3"/>
</worksheet>
</file>

<file path=xl/worksheets/sheet4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69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817</v>
      </c>
      <c r="B1" s="11" t="s">
        <v>749</v>
      </c>
      <c r="C1" s="173" t="s">
        <v>321</v>
      </c>
      <c r="D1" s="173" t="s">
        <v>717</v>
      </c>
      <c r="E1" s="173" t="s">
        <v>644</v>
      </c>
      <c r="F1" s="173" t="s">
        <v>372</v>
      </c>
      <c r="G1" s="173" t="s">
        <v>742</v>
      </c>
      <c r="H1" s="173" t="s">
        <v>707</v>
      </c>
      <c r="I1" s="173" t="s">
        <v>1145</v>
      </c>
      <c r="J1" s="173" t="s">
        <v>1351</v>
      </c>
      <c r="K1" s="173" t="s">
        <v>1275</v>
      </c>
      <c r="L1" s="173" t="s">
        <v>298</v>
      </c>
    </row>
    <row r="2">
      <c r="A2" s="240" t="s">
        <v>422</v>
      </c>
      <c r="B2" s="113" t="s">
        <v>130</v>
      </c>
      <c r="C2" s="158">
        <v>3748.16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3748.16</v>
      </c>
      <c r="L2" s="158">
        <v>0</v>
      </c>
    </row>
    <row r="3">
      <c r="A3" s="240" t="s">
        <v>653</v>
      </c>
      <c r="B3" s="113" t="s">
        <v>1154</v>
      </c>
      <c r="C3" s="158">
        <v>4209.52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4209.52</v>
      </c>
      <c r="L3" s="158">
        <v>0</v>
      </c>
    </row>
    <row r="4">
      <c r="A4" s="240" t="s">
        <v>946</v>
      </c>
      <c r="B4" s="113" t="s">
        <v>177</v>
      </c>
      <c r="C4" s="158">
        <v>147048.37</v>
      </c>
      <c r="D4" s="158">
        <v>0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147048.37</v>
      </c>
      <c r="L4" s="158">
        <v>0</v>
      </c>
    </row>
    <row r="5">
      <c r="A5" s="240" t="s">
        <v>1059</v>
      </c>
      <c r="B5" s="113" t="s">
        <v>796</v>
      </c>
      <c r="C5" s="158">
        <v>105852.7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105852.7</v>
      </c>
      <c r="L5" s="158">
        <v>0</v>
      </c>
    </row>
    <row r="6">
      <c r="A6" s="240" t="s">
        <v>610</v>
      </c>
      <c r="B6" s="113" t="s">
        <v>1261</v>
      </c>
      <c r="C6" s="158">
        <v>87614.27</v>
      </c>
      <c r="D6" s="158">
        <v>0</v>
      </c>
      <c r="E6" s="158">
        <v>15233.33</v>
      </c>
      <c r="F6" s="149">
        <v>0</v>
      </c>
      <c r="G6" s="149">
        <v>0</v>
      </c>
      <c r="H6" s="149">
        <v>0</v>
      </c>
      <c r="I6" s="158">
        <v>15233.33</v>
      </c>
      <c r="J6" s="149">
        <v>0</v>
      </c>
      <c r="K6" s="158">
        <v>102847.6</v>
      </c>
      <c r="L6" s="158">
        <v>0</v>
      </c>
    </row>
    <row r="7">
      <c r="A7" s="240" t="s">
        <v>279</v>
      </c>
      <c r="B7" s="113" t="s">
        <v>793</v>
      </c>
      <c r="C7" s="158">
        <v>21930.33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21930.33</v>
      </c>
      <c r="L7" s="158">
        <v>0</v>
      </c>
    </row>
    <row r="8">
      <c r="A8" s="240" t="s">
        <v>254</v>
      </c>
      <c r="B8" s="113" t="s">
        <v>138</v>
      </c>
      <c r="C8" s="158">
        <v>34342.23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34342.23</v>
      </c>
      <c r="L8" s="158">
        <v>0</v>
      </c>
    </row>
    <row r="9">
      <c r="A9" s="240" t="s">
        <v>1202</v>
      </c>
      <c r="B9" s="113" t="s">
        <v>634</v>
      </c>
      <c r="C9" s="158">
        <v>2266.08</v>
      </c>
      <c r="D9" s="158">
        <v>0</v>
      </c>
      <c r="E9" s="149">
        <v>0</v>
      </c>
      <c r="F9" s="149">
        <v>0</v>
      </c>
      <c r="G9" s="149">
        <v>0</v>
      </c>
      <c r="H9" s="149">
        <v>0</v>
      </c>
      <c r="I9" s="149">
        <v>0</v>
      </c>
      <c r="J9" s="149">
        <v>0</v>
      </c>
      <c r="K9" s="158">
        <v>2266.08</v>
      </c>
      <c r="L9" s="158">
        <v>0</v>
      </c>
    </row>
    <row r="10">
      <c r="A10" s="240" t="s">
        <v>745</v>
      </c>
      <c r="B10" s="113" t="s">
        <v>1153</v>
      </c>
      <c r="C10" s="158">
        <v>5622.38</v>
      </c>
      <c r="D10" s="158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5622.38</v>
      </c>
      <c r="L10" s="158">
        <v>0</v>
      </c>
    </row>
    <row r="11">
      <c r="A11" s="240" t="s">
        <v>1215</v>
      </c>
      <c r="B11" s="113" t="s">
        <v>1153</v>
      </c>
      <c r="C11" s="158">
        <v>777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777</v>
      </c>
      <c r="L11" s="158">
        <v>0</v>
      </c>
    </row>
    <row r="12">
      <c r="A12" s="240" t="s">
        <v>1371</v>
      </c>
      <c r="B12" s="113" t="s">
        <v>1121</v>
      </c>
      <c r="C12" s="158">
        <v>30163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30163</v>
      </c>
      <c r="L12" s="158">
        <v>0</v>
      </c>
    </row>
    <row r="13">
      <c r="A13" s="240" t="s">
        <v>504</v>
      </c>
      <c r="B13" s="113" t="s">
        <v>1162</v>
      </c>
      <c r="C13" s="158">
        <v>0</v>
      </c>
      <c r="D13" s="158">
        <v>0</v>
      </c>
      <c r="E13" s="158">
        <v>15233.33</v>
      </c>
      <c r="F13" s="158">
        <v>15233.33</v>
      </c>
      <c r="G13" s="149">
        <v>0</v>
      </c>
      <c r="H13" s="149">
        <v>0</v>
      </c>
      <c r="I13" s="158">
        <v>15233.33</v>
      </c>
      <c r="J13" s="158">
        <v>15233.33</v>
      </c>
      <c r="K13" s="158">
        <v>0</v>
      </c>
      <c r="L13" s="158">
        <v>0</v>
      </c>
    </row>
    <row r="14">
      <c r="A14" s="240" t="s">
        <v>1046</v>
      </c>
      <c r="B14" s="113" t="s">
        <v>671</v>
      </c>
      <c r="C14" s="158">
        <v>53527.24</v>
      </c>
      <c r="D14" s="158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53527.24</v>
      </c>
      <c r="L14" s="158">
        <v>0</v>
      </c>
    </row>
    <row r="15">
      <c r="A15" s="240" t="s">
        <v>768</v>
      </c>
      <c r="B15" s="113" t="s">
        <v>146</v>
      </c>
      <c r="C15" s="158">
        <v>0</v>
      </c>
      <c r="D15" s="158">
        <v>7957.68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0</v>
      </c>
      <c r="L15" s="158">
        <v>7957.68</v>
      </c>
    </row>
    <row r="16">
      <c r="A16" s="240" t="s">
        <v>1375</v>
      </c>
      <c r="B16" s="113" t="s">
        <v>411</v>
      </c>
      <c r="C16" s="158">
        <v>0</v>
      </c>
      <c r="D16" s="158">
        <v>79996.57</v>
      </c>
      <c r="E16" s="149">
        <v>0</v>
      </c>
      <c r="F16" s="158">
        <v>5488.23</v>
      </c>
      <c r="G16" s="149">
        <v>0</v>
      </c>
      <c r="H16" s="158">
        <v>498.93</v>
      </c>
      <c r="I16" s="149">
        <v>0</v>
      </c>
      <c r="J16" s="158">
        <v>5987.16</v>
      </c>
      <c r="K16" s="158">
        <v>0</v>
      </c>
      <c r="L16" s="158">
        <v>85983.73</v>
      </c>
    </row>
    <row r="17">
      <c r="A17" s="240" t="s">
        <v>766</v>
      </c>
      <c r="B17" s="113" t="s">
        <v>778</v>
      </c>
      <c r="C17" s="158">
        <v>0</v>
      </c>
      <c r="D17" s="158">
        <v>37048.51</v>
      </c>
      <c r="E17" s="149">
        <v>0</v>
      </c>
      <c r="F17" s="158">
        <v>2425.83</v>
      </c>
      <c r="G17" s="149">
        <v>0</v>
      </c>
      <c r="H17" s="158">
        <v>220.53</v>
      </c>
      <c r="I17" s="149">
        <v>0</v>
      </c>
      <c r="J17" s="158">
        <v>2646.36</v>
      </c>
      <c r="K17" s="158">
        <v>0</v>
      </c>
      <c r="L17" s="158">
        <v>39694.87</v>
      </c>
    </row>
    <row r="18">
      <c r="A18" s="240" t="s">
        <v>53</v>
      </c>
      <c r="B18" s="113" t="s">
        <v>1284</v>
      </c>
      <c r="C18" s="158">
        <v>0</v>
      </c>
      <c r="D18" s="158">
        <v>58486.24</v>
      </c>
      <c r="E18" s="149">
        <v>0</v>
      </c>
      <c r="F18" s="158">
        <v>6631.05</v>
      </c>
      <c r="G18" s="149">
        <v>0</v>
      </c>
      <c r="H18" s="158">
        <v>699.57</v>
      </c>
      <c r="I18" s="149">
        <v>0</v>
      </c>
      <c r="J18" s="158">
        <v>7330.62</v>
      </c>
      <c r="K18" s="158">
        <v>0</v>
      </c>
      <c r="L18" s="158">
        <v>65816.86</v>
      </c>
    </row>
    <row r="19">
      <c r="A19" s="240" t="s">
        <v>1288</v>
      </c>
      <c r="B19" s="113" t="s">
        <v>194</v>
      </c>
      <c r="C19" s="158">
        <v>0</v>
      </c>
      <c r="D19" s="158">
        <v>18275.29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0</v>
      </c>
      <c r="L19" s="158">
        <v>18275.29</v>
      </c>
    </row>
    <row r="20">
      <c r="A20" s="240" t="s">
        <v>302</v>
      </c>
      <c r="B20" s="113" t="s">
        <v>695</v>
      </c>
      <c r="C20" s="158">
        <v>0</v>
      </c>
      <c r="D20" s="158">
        <v>34342.23</v>
      </c>
      <c r="E20" s="149">
        <v>0</v>
      </c>
      <c r="F20" s="149">
        <v>0</v>
      </c>
      <c r="G20" s="149">
        <v>0</v>
      </c>
      <c r="H20" s="149">
        <v>0</v>
      </c>
      <c r="I20" s="149">
        <v>0</v>
      </c>
      <c r="J20" s="149">
        <v>0</v>
      </c>
      <c r="K20" s="158">
        <v>0</v>
      </c>
      <c r="L20" s="158">
        <v>34342.23</v>
      </c>
    </row>
    <row r="21">
      <c r="A21" s="240" t="s">
        <v>1071</v>
      </c>
      <c r="B21" s="113" t="s">
        <v>1319</v>
      </c>
      <c r="C21" s="158">
        <v>0</v>
      </c>
      <c r="D21" s="158">
        <v>377.64</v>
      </c>
      <c r="E21" s="149">
        <v>0</v>
      </c>
      <c r="F21" s="158">
        <v>346.17</v>
      </c>
      <c r="G21" s="149">
        <v>0</v>
      </c>
      <c r="H21" s="158">
        <v>31.47</v>
      </c>
      <c r="I21" s="149">
        <v>0</v>
      </c>
      <c r="J21" s="158">
        <v>377.64</v>
      </c>
      <c r="K21" s="158">
        <v>0</v>
      </c>
      <c r="L21" s="158">
        <v>755.28</v>
      </c>
    </row>
    <row r="22">
      <c r="A22" s="240" t="s">
        <v>1214</v>
      </c>
      <c r="B22" s="113" t="s">
        <v>533</v>
      </c>
      <c r="C22" s="158">
        <v>0</v>
      </c>
      <c r="D22" s="158">
        <v>5336.74</v>
      </c>
      <c r="E22" s="149">
        <v>0</v>
      </c>
      <c r="F22" s="158">
        <v>81.44</v>
      </c>
      <c r="G22" s="149">
        <v>0</v>
      </c>
      <c r="H22" s="149">
        <v>0</v>
      </c>
      <c r="I22" s="149">
        <v>0</v>
      </c>
      <c r="J22" s="158">
        <v>81.44</v>
      </c>
      <c r="K22" s="158">
        <v>0</v>
      </c>
      <c r="L22" s="158">
        <v>5418.18</v>
      </c>
    </row>
    <row r="23">
      <c r="A23" s="240" t="s">
        <v>380</v>
      </c>
      <c r="B23" s="113" t="s">
        <v>533</v>
      </c>
      <c r="C23" s="158">
        <v>0</v>
      </c>
      <c r="D23" s="158">
        <v>777</v>
      </c>
      <c r="E23" s="149">
        <v>0</v>
      </c>
      <c r="F23" s="149">
        <v>0</v>
      </c>
      <c r="G23" s="149">
        <v>0</v>
      </c>
      <c r="H23" s="149">
        <v>0</v>
      </c>
      <c r="I23" s="149">
        <v>0</v>
      </c>
      <c r="J23" s="149">
        <v>0</v>
      </c>
      <c r="K23" s="158">
        <v>0</v>
      </c>
      <c r="L23" s="158">
        <v>777</v>
      </c>
    </row>
    <row r="24">
      <c r="A24" s="240" t="s">
        <v>109</v>
      </c>
      <c r="B24" s="113" t="s">
        <v>967</v>
      </c>
      <c r="C24" s="158">
        <v>1068.95</v>
      </c>
      <c r="D24" s="158">
        <v>0</v>
      </c>
      <c r="E24" s="158">
        <v>113367.46</v>
      </c>
      <c r="F24" s="158">
        <v>114436.41</v>
      </c>
      <c r="G24" s="158">
        <v>2465.21</v>
      </c>
      <c r="H24" s="158">
        <v>2465.21</v>
      </c>
      <c r="I24" s="158">
        <v>115832.67</v>
      </c>
      <c r="J24" s="158">
        <v>116901.62</v>
      </c>
      <c r="K24" s="158">
        <v>0</v>
      </c>
      <c r="L24" s="158">
        <v>0</v>
      </c>
    </row>
    <row r="25">
      <c r="A25" s="240" t="s">
        <v>1292</v>
      </c>
      <c r="B25" s="113" t="s">
        <v>105</v>
      </c>
      <c r="C25" s="158">
        <v>107.24</v>
      </c>
      <c r="D25" s="158">
        <v>0</v>
      </c>
      <c r="E25" s="158">
        <v>1047.13</v>
      </c>
      <c r="F25" s="158">
        <v>1154.37</v>
      </c>
      <c r="G25" s="158">
        <v>-57.36</v>
      </c>
      <c r="H25" s="158">
        <v>-57.36</v>
      </c>
      <c r="I25" s="158">
        <v>989.77</v>
      </c>
      <c r="J25" s="158">
        <v>1097.01</v>
      </c>
      <c r="K25" s="158">
        <v>0</v>
      </c>
      <c r="L25" s="158">
        <v>0</v>
      </c>
    </row>
    <row r="26">
      <c r="A26" s="240" t="s">
        <v>476</v>
      </c>
      <c r="B26" s="113" t="s">
        <v>600</v>
      </c>
      <c r="C26" s="158">
        <v>0.04</v>
      </c>
      <c r="D26" s="158">
        <v>0</v>
      </c>
      <c r="E26" s="158">
        <v>104876</v>
      </c>
      <c r="F26" s="158">
        <v>104876.04</v>
      </c>
      <c r="G26" s="158">
        <v>2348.75</v>
      </c>
      <c r="H26" s="158">
        <v>2348.75</v>
      </c>
      <c r="I26" s="158">
        <v>107224.75</v>
      </c>
      <c r="J26" s="158">
        <v>107224.79</v>
      </c>
      <c r="K26" s="158">
        <v>0</v>
      </c>
      <c r="L26" s="158">
        <v>0</v>
      </c>
    </row>
    <row r="27">
      <c r="A27" s="240" t="s">
        <v>632</v>
      </c>
      <c r="B27" s="113" t="s">
        <v>312</v>
      </c>
      <c r="C27" s="158">
        <v>14627.39</v>
      </c>
      <c r="D27" s="158">
        <v>0</v>
      </c>
      <c r="E27" s="158">
        <v>213870.01</v>
      </c>
      <c r="F27" s="158">
        <v>208107.28</v>
      </c>
      <c r="G27" s="158">
        <v>5124.56</v>
      </c>
      <c r="H27" s="158">
        <v>7200.71</v>
      </c>
      <c r="I27" s="158">
        <v>218994.57</v>
      </c>
      <c r="J27" s="158">
        <v>215307.99</v>
      </c>
      <c r="K27" s="158">
        <v>18313.97</v>
      </c>
      <c r="L27" s="158">
        <v>0</v>
      </c>
    </row>
    <row r="28">
      <c r="A28" s="240" t="s">
        <v>966</v>
      </c>
      <c r="B28" s="113" t="s">
        <v>667</v>
      </c>
      <c r="C28" s="158">
        <v>0</v>
      </c>
      <c r="D28" s="158">
        <v>0</v>
      </c>
      <c r="E28" s="158">
        <v>2834.47</v>
      </c>
      <c r="F28" s="158">
        <v>2834.47</v>
      </c>
      <c r="G28" s="158">
        <v>352.66</v>
      </c>
      <c r="H28" s="158">
        <v>352.66</v>
      </c>
      <c r="I28" s="158">
        <v>3187.13</v>
      </c>
      <c r="J28" s="158">
        <v>3187.13</v>
      </c>
      <c r="K28" s="158">
        <v>0</v>
      </c>
      <c r="L28" s="158">
        <v>0</v>
      </c>
    </row>
    <row r="29">
      <c r="A29" s="240" t="s">
        <v>1378</v>
      </c>
      <c r="B29" s="113" t="s">
        <v>1342</v>
      </c>
      <c r="C29" s="158">
        <v>616.13</v>
      </c>
      <c r="D29" s="158">
        <v>0</v>
      </c>
      <c r="E29" s="158">
        <v>1317.08</v>
      </c>
      <c r="F29" s="158">
        <v>1933.21</v>
      </c>
      <c r="G29" s="158">
        <v>378.89</v>
      </c>
      <c r="H29" s="158">
        <v>352.66</v>
      </c>
      <c r="I29" s="158">
        <v>1695.97</v>
      </c>
      <c r="J29" s="158">
        <v>2285.87</v>
      </c>
      <c r="K29" s="158">
        <v>26.23</v>
      </c>
      <c r="L29" s="158">
        <v>0</v>
      </c>
    </row>
    <row r="30">
      <c r="A30" s="240" t="s">
        <v>767</v>
      </c>
      <c r="B30" s="113" t="s">
        <v>474</v>
      </c>
      <c r="C30" s="158">
        <v>8700</v>
      </c>
      <c r="D30" s="158">
        <v>0</v>
      </c>
      <c r="E30" s="149">
        <v>0</v>
      </c>
      <c r="F30" s="158">
        <v>320</v>
      </c>
      <c r="G30" s="149">
        <v>0</v>
      </c>
      <c r="H30" s="149">
        <v>0</v>
      </c>
      <c r="I30" s="149">
        <v>0</v>
      </c>
      <c r="J30" s="158">
        <v>320</v>
      </c>
      <c r="K30" s="158">
        <v>8380</v>
      </c>
      <c r="L30" s="158">
        <v>0</v>
      </c>
    </row>
    <row r="31">
      <c r="A31" s="240" t="s">
        <v>96</v>
      </c>
      <c r="B31" s="113" t="s">
        <v>1313</v>
      </c>
      <c r="C31" s="158">
        <v>5304.63</v>
      </c>
      <c r="D31" s="158">
        <v>0</v>
      </c>
      <c r="E31" s="158">
        <v>601050.21</v>
      </c>
      <c r="F31" s="158">
        <v>600281.43</v>
      </c>
      <c r="G31" s="158">
        <v>29731.67</v>
      </c>
      <c r="H31" s="158">
        <v>32213.29</v>
      </c>
      <c r="I31" s="158">
        <v>630781.88</v>
      </c>
      <c r="J31" s="158">
        <v>632494.72</v>
      </c>
      <c r="K31" s="158">
        <v>3591.79</v>
      </c>
      <c r="L31" s="158">
        <v>0</v>
      </c>
    </row>
    <row r="32">
      <c r="A32" s="240" t="s">
        <v>712</v>
      </c>
      <c r="B32" s="113" t="s">
        <v>448</v>
      </c>
      <c r="C32" s="158">
        <v>378.38</v>
      </c>
      <c r="D32" s="158">
        <v>0</v>
      </c>
      <c r="E32" s="158">
        <v>54913.33</v>
      </c>
      <c r="F32" s="158">
        <v>48406.96</v>
      </c>
      <c r="G32" s="158">
        <v>21100</v>
      </c>
      <c r="H32" s="158">
        <v>26829.39</v>
      </c>
      <c r="I32" s="158">
        <v>76013.33</v>
      </c>
      <c r="J32" s="158">
        <v>75236.35</v>
      </c>
      <c r="K32" s="158">
        <v>1155.36</v>
      </c>
      <c r="L32" s="158">
        <v>0</v>
      </c>
    </row>
    <row r="33">
      <c r="A33" s="240" t="s">
        <v>1002</v>
      </c>
      <c r="B33" s="113" t="s">
        <v>348</v>
      </c>
      <c r="C33" s="158">
        <v>2369.69</v>
      </c>
      <c r="D33" s="158">
        <v>0</v>
      </c>
      <c r="E33" s="149">
        <v>0</v>
      </c>
      <c r="F33" s="158">
        <v>2369.69</v>
      </c>
      <c r="G33" s="149">
        <v>0</v>
      </c>
      <c r="H33" s="149">
        <v>0</v>
      </c>
      <c r="I33" s="149">
        <v>0</v>
      </c>
      <c r="J33" s="158">
        <v>2369.69</v>
      </c>
      <c r="K33" s="158">
        <v>0</v>
      </c>
      <c r="L33" s="158">
        <v>0</v>
      </c>
    </row>
    <row r="34">
      <c r="A34" s="240" t="s">
        <v>770</v>
      </c>
      <c r="B34" s="113" t="s">
        <v>356</v>
      </c>
      <c r="C34" s="158">
        <v>1.1</v>
      </c>
      <c r="D34" s="158">
        <v>0</v>
      </c>
      <c r="E34" s="149">
        <v>0</v>
      </c>
      <c r="F34" s="158">
        <v>1.1</v>
      </c>
      <c r="G34" s="149">
        <v>0</v>
      </c>
      <c r="H34" s="149">
        <v>0</v>
      </c>
      <c r="I34" s="149">
        <v>0</v>
      </c>
      <c r="J34" s="158">
        <v>1.1</v>
      </c>
      <c r="K34" s="158">
        <v>0</v>
      </c>
      <c r="L34" s="158">
        <v>0</v>
      </c>
    </row>
    <row r="35">
      <c r="A35" s="240" t="s">
        <v>690</v>
      </c>
      <c r="B35" s="113" t="s">
        <v>1356</v>
      </c>
      <c r="C35" s="158">
        <v>0</v>
      </c>
      <c r="D35" s="158">
        <v>32038.78</v>
      </c>
      <c r="E35" s="158">
        <v>620541.61</v>
      </c>
      <c r="F35" s="158">
        <v>574937.95</v>
      </c>
      <c r="G35" s="158">
        <v>27733.46</v>
      </c>
      <c r="H35" s="158">
        <v>59566.09</v>
      </c>
      <c r="I35" s="158">
        <v>648275.07</v>
      </c>
      <c r="J35" s="158">
        <v>634504.04</v>
      </c>
      <c r="K35" s="158">
        <v>0</v>
      </c>
      <c r="L35" s="158">
        <v>18267.75</v>
      </c>
    </row>
    <row r="36">
      <c r="A36" s="240" t="s">
        <v>126</v>
      </c>
      <c r="B36" s="113" t="s">
        <v>1012</v>
      </c>
      <c r="C36" s="158">
        <v>0</v>
      </c>
      <c r="D36" s="158">
        <v>27018.07</v>
      </c>
      <c r="E36" s="158">
        <v>3859.05</v>
      </c>
      <c r="F36" s="149">
        <v>0</v>
      </c>
      <c r="G36" s="149">
        <v>0</v>
      </c>
      <c r="H36" s="149">
        <v>0</v>
      </c>
      <c r="I36" s="158">
        <v>3859.05</v>
      </c>
      <c r="J36" s="149">
        <v>0</v>
      </c>
      <c r="K36" s="158">
        <v>0</v>
      </c>
      <c r="L36" s="158">
        <v>23159.02</v>
      </c>
    </row>
    <row r="37">
      <c r="A37" s="240" t="s">
        <v>763</v>
      </c>
      <c r="B37" s="113" t="s">
        <v>320</v>
      </c>
      <c r="C37" s="158">
        <v>0</v>
      </c>
      <c r="D37" s="158">
        <v>0</v>
      </c>
      <c r="E37" s="158">
        <v>119989.96</v>
      </c>
      <c r="F37" s="158">
        <v>106721.18</v>
      </c>
      <c r="G37" s="158">
        <v>34188</v>
      </c>
      <c r="H37" s="158">
        <v>47456.78</v>
      </c>
      <c r="I37" s="158">
        <v>154177.96</v>
      </c>
      <c r="J37" s="158">
        <v>154177.96</v>
      </c>
      <c r="K37" s="158">
        <v>0</v>
      </c>
      <c r="L37" s="158">
        <v>0</v>
      </c>
    </row>
    <row r="38">
      <c r="A38" s="240" t="s">
        <v>867</v>
      </c>
      <c r="B38" s="113" t="s">
        <v>1379</v>
      </c>
      <c r="C38" s="158">
        <v>0</v>
      </c>
      <c r="D38" s="158">
        <v>0</v>
      </c>
      <c r="E38" s="158">
        <v>378563.58</v>
      </c>
      <c r="F38" s="158">
        <v>378563.58</v>
      </c>
      <c r="G38" s="158">
        <v>9382.12</v>
      </c>
      <c r="H38" s="158">
        <v>9382.12</v>
      </c>
      <c r="I38" s="158">
        <v>387945.7</v>
      </c>
      <c r="J38" s="158">
        <v>387945.7</v>
      </c>
      <c r="K38" s="158">
        <v>0</v>
      </c>
      <c r="L38" s="158">
        <v>0</v>
      </c>
    </row>
    <row r="39">
      <c r="A39" s="240" t="s">
        <v>954</v>
      </c>
      <c r="B39" s="113" t="s">
        <v>141</v>
      </c>
      <c r="C39" s="158">
        <v>0</v>
      </c>
      <c r="D39" s="158">
        <v>4867.4</v>
      </c>
      <c r="E39" s="158">
        <v>297830.71</v>
      </c>
      <c r="F39" s="158">
        <v>287044.31</v>
      </c>
      <c r="G39" s="158">
        <v>2097</v>
      </c>
      <c r="H39" s="158">
        <v>5805.5</v>
      </c>
      <c r="I39" s="158">
        <v>299927.71</v>
      </c>
      <c r="J39" s="158">
        <v>292849.81</v>
      </c>
      <c r="K39" s="158">
        <v>2210.5</v>
      </c>
      <c r="L39" s="158">
        <v>0</v>
      </c>
    </row>
    <row r="40">
      <c r="A40" s="240" t="s">
        <v>196</v>
      </c>
      <c r="B40" s="113" t="s">
        <v>927</v>
      </c>
      <c r="C40" s="158">
        <v>0</v>
      </c>
      <c r="D40" s="158">
        <v>0</v>
      </c>
      <c r="E40" s="158">
        <v>1372</v>
      </c>
      <c r="F40" s="149">
        <v>0</v>
      </c>
      <c r="G40" s="149">
        <v>0</v>
      </c>
      <c r="H40" s="149">
        <v>0</v>
      </c>
      <c r="I40" s="158">
        <v>1372</v>
      </c>
      <c r="J40" s="149">
        <v>0</v>
      </c>
      <c r="K40" s="158">
        <v>1372</v>
      </c>
      <c r="L40" s="158">
        <v>0</v>
      </c>
    </row>
    <row r="41">
      <c r="A41" s="240" t="s">
        <v>231</v>
      </c>
      <c r="B41" s="113" t="s">
        <v>125</v>
      </c>
      <c r="C41" s="158">
        <v>0</v>
      </c>
      <c r="D41" s="158">
        <v>0</v>
      </c>
      <c r="E41" s="158">
        <v>215769.76</v>
      </c>
      <c r="F41" s="158">
        <v>215766.43</v>
      </c>
      <c r="G41" s="158">
        <v>5650.45</v>
      </c>
      <c r="H41" s="158">
        <v>5653.78</v>
      </c>
      <c r="I41" s="158">
        <v>221420.21</v>
      </c>
      <c r="J41" s="158">
        <v>221420.21</v>
      </c>
      <c r="K41" s="158">
        <v>0</v>
      </c>
      <c r="L41" s="158">
        <v>0</v>
      </c>
    </row>
    <row r="42">
      <c r="A42" s="240" t="s">
        <v>727</v>
      </c>
      <c r="B42" s="113" t="s">
        <v>252</v>
      </c>
      <c r="C42" s="158">
        <v>0</v>
      </c>
      <c r="D42" s="158">
        <v>161126.08</v>
      </c>
      <c r="E42" s="158">
        <v>511185.67</v>
      </c>
      <c r="F42" s="158">
        <v>464067.97</v>
      </c>
      <c r="G42" s="158">
        <v>110277.52</v>
      </c>
      <c r="H42" s="158">
        <v>34547.22</v>
      </c>
      <c r="I42" s="158">
        <v>621463.19</v>
      </c>
      <c r="J42" s="158">
        <v>498615.19</v>
      </c>
      <c r="K42" s="158">
        <v>0</v>
      </c>
      <c r="L42" s="158">
        <v>38278.08</v>
      </c>
    </row>
    <row r="43">
      <c r="A43" s="240" t="s">
        <v>740</v>
      </c>
      <c r="B43" s="113" t="s">
        <v>1034</v>
      </c>
      <c r="C43" s="158">
        <v>0</v>
      </c>
      <c r="D43" s="158">
        <v>0</v>
      </c>
      <c r="E43" s="158">
        <v>9863.52</v>
      </c>
      <c r="F43" s="158">
        <v>9863.52</v>
      </c>
      <c r="G43" s="149">
        <v>0</v>
      </c>
      <c r="H43" s="158">
        <v>764.44</v>
      </c>
      <c r="I43" s="158">
        <v>9863.52</v>
      </c>
      <c r="J43" s="158">
        <v>10627.96</v>
      </c>
      <c r="K43" s="158">
        <v>0</v>
      </c>
      <c r="L43" s="158">
        <v>764.44</v>
      </c>
    </row>
    <row r="44">
      <c r="A44" s="240" t="s">
        <v>106</v>
      </c>
      <c r="B44" s="113" t="s">
        <v>304</v>
      </c>
      <c r="C44" s="158">
        <v>0</v>
      </c>
      <c r="D44" s="158">
        <v>0</v>
      </c>
      <c r="E44" s="149">
        <v>0</v>
      </c>
      <c r="F44" s="149">
        <v>0</v>
      </c>
      <c r="G44" s="149">
        <v>0</v>
      </c>
      <c r="H44" s="158">
        <v>497.78</v>
      </c>
      <c r="I44" s="149">
        <v>0</v>
      </c>
      <c r="J44" s="158">
        <v>497.78</v>
      </c>
      <c r="K44" s="158">
        <v>0</v>
      </c>
      <c r="L44" s="158">
        <v>497.78</v>
      </c>
    </row>
    <row r="45">
      <c r="A45" s="240" t="s">
        <v>472</v>
      </c>
      <c r="B45" s="113" t="s">
        <v>1011</v>
      </c>
      <c r="C45" s="158">
        <v>0</v>
      </c>
      <c r="D45" s="158">
        <v>0</v>
      </c>
      <c r="E45" s="158">
        <v>52429.6</v>
      </c>
      <c r="F45" s="158">
        <v>54429.6</v>
      </c>
      <c r="G45" s="158">
        <v>2000</v>
      </c>
      <c r="H45" s="149">
        <v>0</v>
      </c>
      <c r="I45" s="158">
        <v>54429.6</v>
      </c>
      <c r="J45" s="158">
        <v>54429.6</v>
      </c>
      <c r="K45" s="158">
        <v>0</v>
      </c>
      <c r="L45" s="158">
        <v>0</v>
      </c>
    </row>
    <row r="46">
      <c r="A46" s="240" t="s">
        <v>913</v>
      </c>
      <c r="B46" s="113" t="s">
        <v>1023</v>
      </c>
      <c r="C46" s="158">
        <v>0</v>
      </c>
      <c r="D46" s="158">
        <v>6454.38</v>
      </c>
      <c r="E46" s="149">
        <v>0</v>
      </c>
      <c r="F46" s="158">
        <v>-1573.33</v>
      </c>
      <c r="G46" s="158">
        <v>1691.65</v>
      </c>
      <c r="H46" s="158">
        <v>-1666.67</v>
      </c>
      <c r="I46" s="158">
        <v>1691.65</v>
      </c>
      <c r="J46" s="158">
        <v>-3240</v>
      </c>
      <c r="K46" s="158">
        <v>0</v>
      </c>
      <c r="L46" s="158">
        <v>1522.73</v>
      </c>
    </row>
    <row r="47">
      <c r="A47" s="240" t="s">
        <v>95</v>
      </c>
      <c r="B47" s="113" t="s">
        <v>674</v>
      </c>
      <c r="C47" s="158">
        <v>5300</v>
      </c>
      <c r="D47" s="158">
        <v>0</v>
      </c>
      <c r="E47" s="158">
        <v>836</v>
      </c>
      <c r="F47" s="149">
        <v>0</v>
      </c>
      <c r="G47" s="158">
        <v>-4336</v>
      </c>
      <c r="H47" s="149">
        <v>0</v>
      </c>
      <c r="I47" s="158">
        <v>-3500</v>
      </c>
      <c r="J47" s="149">
        <v>0</v>
      </c>
      <c r="K47" s="158">
        <v>1800</v>
      </c>
      <c r="L47" s="158">
        <v>0</v>
      </c>
    </row>
    <row r="48">
      <c r="A48" s="240" t="s">
        <v>1043</v>
      </c>
      <c r="B48" s="113" t="s">
        <v>949</v>
      </c>
      <c r="C48" s="158">
        <v>0</v>
      </c>
      <c r="D48" s="158">
        <v>811.8</v>
      </c>
      <c r="E48" s="158">
        <v>9013.9</v>
      </c>
      <c r="F48" s="158">
        <v>9283.63</v>
      </c>
      <c r="G48" s="158">
        <v>779.41</v>
      </c>
      <c r="H48" s="158">
        <v>21</v>
      </c>
      <c r="I48" s="158">
        <v>9793.31</v>
      </c>
      <c r="J48" s="158">
        <v>9304.63</v>
      </c>
      <c r="K48" s="158">
        <v>0</v>
      </c>
      <c r="L48" s="158">
        <v>323.12</v>
      </c>
    </row>
    <row r="49">
      <c r="A49" s="240" t="s">
        <v>721</v>
      </c>
      <c r="B49" s="113" t="s">
        <v>161</v>
      </c>
      <c r="C49" s="158">
        <v>0</v>
      </c>
      <c r="D49" s="158">
        <v>20299.84</v>
      </c>
      <c r="E49" s="149">
        <v>0</v>
      </c>
      <c r="F49" s="149">
        <v>0</v>
      </c>
      <c r="G49" s="149">
        <v>0</v>
      </c>
      <c r="H49" s="149">
        <v>0</v>
      </c>
      <c r="I49" s="149">
        <v>0</v>
      </c>
      <c r="J49" s="149">
        <v>0</v>
      </c>
      <c r="K49" s="158">
        <v>0</v>
      </c>
      <c r="L49" s="158">
        <v>20299.84</v>
      </c>
    </row>
    <row r="50">
      <c r="A50" s="240" t="s">
        <v>1031</v>
      </c>
      <c r="B50" s="113" t="s">
        <v>631</v>
      </c>
      <c r="C50" s="158">
        <v>0</v>
      </c>
      <c r="D50" s="158">
        <v>3859.05</v>
      </c>
      <c r="E50" s="158">
        <v>3859.05</v>
      </c>
      <c r="F50" s="149">
        <v>0</v>
      </c>
      <c r="G50" s="149">
        <v>0</v>
      </c>
      <c r="H50" s="149">
        <v>0</v>
      </c>
      <c r="I50" s="158">
        <v>3859.05</v>
      </c>
      <c r="J50" s="149">
        <v>0</v>
      </c>
      <c r="K50" s="158">
        <v>0</v>
      </c>
      <c r="L50" s="158">
        <v>0</v>
      </c>
    </row>
    <row r="51">
      <c r="A51" s="240" t="s">
        <v>1053</v>
      </c>
      <c r="B51" s="113" t="s">
        <v>633</v>
      </c>
      <c r="C51" s="158">
        <v>0</v>
      </c>
      <c r="D51" s="158">
        <v>6277.97</v>
      </c>
      <c r="E51" s="158">
        <v>107260.81</v>
      </c>
      <c r="F51" s="158">
        <v>112672.97</v>
      </c>
      <c r="G51" s="158">
        <v>20405.05</v>
      </c>
      <c r="H51" s="158">
        <v>19170.9</v>
      </c>
      <c r="I51" s="158">
        <v>127665.86</v>
      </c>
      <c r="J51" s="158">
        <v>131843.87</v>
      </c>
      <c r="K51" s="158">
        <v>0</v>
      </c>
      <c r="L51" s="158">
        <v>10455.98</v>
      </c>
    </row>
    <row r="52">
      <c r="A52" s="240" t="s">
        <v>669</v>
      </c>
      <c r="B52" s="113" t="s">
        <v>955</v>
      </c>
      <c r="C52" s="158">
        <v>0</v>
      </c>
      <c r="D52" s="158">
        <v>4397.53</v>
      </c>
      <c r="E52" s="158">
        <v>20869.36</v>
      </c>
      <c r="F52" s="158">
        <v>24737.28</v>
      </c>
      <c r="G52" s="158">
        <v>1501.95</v>
      </c>
      <c r="H52" s="158">
        <v>5380.23</v>
      </c>
      <c r="I52" s="158">
        <v>22371.31</v>
      </c>
      <c r="J52" s="158">
        <v>30117.51</v>
      </c>
      <c r="K52" s="158">
        <v>0</v>
      </c>
      <c r="L52" s="158">
        <v>12143.73</v>
      </c>
    </row>
    <row r="53">
      <c r="A53" s="240" t="s">
        <v>140</v>
      </c>
      <c r="B53" s="113" t="s">
        <v>51</v>
      </c>
      <c r="C53" s="158">
        <v>0</v>
      </c>
      <c r="D53" s="158">
        <v>382.4</v>
      </c>
      <c r="E53" s="158">
        <v>8073.37</v>
      </c>
      <c r="F53" s="158">
        <v>9873.26</v>
      </c>
      <c r="G53" s="158">
        <v>1147.01</v>
      </c>
      <c r="H53" s="158">
        <v>2377.38</v>
      </c>
      <c r="I53" s="158">
        <v>9220.38</v>
      </c>
      <c r="J53" s="158">
        <v>12250.64</v>
      </c>
      <c r="K53" s="158">
        <v>0</v>
      </c>
      <c r="L53" s="158">
        <v>3412.66</v>
      </c>
    </row>
    <row r="54">
      <c r="A54" s="240" t="s">
        <v>789</v>
      </c>
      <c r="B54" s="113" t="s">
        <v>155</v>
      </c>
      <c r="C54" s="149">
        <v>0</v>
      </c>
      <c r="D54" s="149">
        <v>0</v>
      </c>
      <c r="E54" s="149">
        <v>0</v>
      </c>
      <c r="F54" s="149">
        <v>0</v>
      </c>
      <c r="G54" s="149">
        <v>0</v>
      </c>
      <c r="H54" s="158">
        <v>9717.3</v>
      </c>
      <c r="I54" s="149">
        <v>0</v>
      </c>
      <c r="J54" s="158">
        <v>9717.3</v>
      </c>
      <c r="K54" s="158">
        <v>0</v>
      </c>
      <c r="L54" s="158">
        <v>9717.3</v>
      </c>
    </row>
    <row r="55">
      <c r="A55" s="240" t="s">
        <v>582</v>
      </c>
      <c r="B55" s="113" t="s">
        <v>122</v>
      </c>
      <c r="C55" s="158">
        <v>0</v>
      </c>
      <c r="D55" s="158">
        <v>226.51</v>
      </c>
      <c r="E55" s="158">
        <v>4838.54</v>
      </c>
      <c r="F55" s="158">
        <v>5444.83</v>
      </c>
      <c r="G55" s="158">
        <v>28.69</v>
      </c>
      <c r="H55" s="158">
        <v>250.43</v>
      </c>
      <c r="I55" s="158">
        <v>4867.23</v>
      </c>
      <c r="J55" s="158">
        <v>5695.26</v>
      </c>
      <c r="K55" s="158">
        <v>0</v>
      </c>
      <c r="L55" s="158">
        <v>1054.54</v>
      </c>
    </row>
    <row r="56">
      <c r="A56" s="240" t="s">
        <v>44</v>
      </c>
      <c r="B56" s="113" t="s">
        <v>1301</v>
      </c>
      <c r="C56" s="158">
        <v>2043.52</v>
      </c>
      <c r="D56" s="158">
        <v>0</v>
      </c>
      <c r="E56" s="158">
        <v>98959.69</v>
      </c>
      <c r="F56" s="158">
        <v>110089.11</v>
      </c>
      <c r="G56" s="158">
        <v>13187.13</v>
      </c>
      <c r="H56" s="158">
        <v>2004.24</v>
      </c>
      <c r="I56" s="158">
        <v>112146.82</v>
      </c>
      <c r="J56" s="158">
        <v>112093.35</v>
      </c>
      <c r="K56" s="158">
        <v>2096.99</v>
      </c>
      <c r="L56" s="158">
        <v>0</v>
      </c>
    </row>
    <row r="57">
      <c r="A57" s="240" t="s">
        <v>1280</v>
      </c>
      <c r="B57" s="113" t="s">
        <v>417</v>
      </c>
      <c r="C57" s="158">
        <v>0</v>
      </c>
      <c r="D57" s="158">
        <v>0</v>
      </c>
      <c r="E57" s="158">
        <v>1711.79</v>
      </c>
      <c r="F57" s="158">
        <v>1711.79</v>
      </c>
      <c r="G57" s="158">
        <v>75.69</v>
      </c>
      <c r="H57" s="158">
        <v>75.69</v>
      </c>
      <c r="I57" s="158">
        <v>1787.48</v>
      </c>
      <c r="J57" s="158">
        <v>1787.48</v>
      </c>
      <c r="K57" s="158">
        <v>0</v>
      </c>
      <c r="L57" s="158">
        <v>0</v>
      </c>
    </row>
    <row r="58">
      <c r="A58" s="240" t="s">
        <v>1259</v>
      </c>
      <c r="B58" s="113" t="s">
        <v>879</v>
      </c>
      <c r="C58" s="158">
        <v>0</v>
      </c>
      <c r="D58" s="158">
        <v>0</v>
      </c>
      <c r="E58" s="158">
        <v>73476.5</v>
      </c>
      <c r="F58" s="158">
        <v>73476.5</v>
      </c>
      <c r="G58" s="158">
        <v>5868.18</v>
      </c>
      <c r="H58" s="158">
        <v>5868.18</v>
      </c>
      <c r="I58" s="158">
        <v>79344.68</v>
      </c>
      <c r="J58" s="158">
        <v>79344.68</v>
      </c>
      <c r="K58" s="158">
        <v>0</v>
      </c>
      <c r="L58" s="158">
        <v>0</v>
      </c>
    </row>
    <row r="59">
      <c r="A59" s="240" t="s">
        <v>28</v>
      </c>
      <c r="B59" s="113" t="s">
        <v>214</v>
      </c>
      <c r="C59" s="158">
        <v>0</v>
      </c>
      <c r="D59" s="158">
        <v>0</v>
      </c>
      <c r="E59" s="158">
        <v>40.92</v>
      </c>
      <c r="F59" s="158">
        <v>40.92</v>
      </c>
      <c r="G59" s="149">
        <v>0</v>
      </c>
      <c r="H59" s="149">
        <v>0</v>
      </c>
      <c r="I59" s="158">
        <v>40.92</v>
      </c>
      <c r="J59" s="158">
        <v>40.92</v>
      </c>
      <c r="K59" s="158">
        <v>0</v>
      </c>
      <c r="L59" s="158">
        <v>0</v>
      </c>
    </row>
    <row r="60">
      <c r="A60" s="240" t="s">
        <v>186</v>
      </c>
      <c r="B60" s="113" t="s">
        <v>377</v>
      </c>
      <c r="C60" s="158">
        <v>0</v>
      </c>
      <c r="D60" s="158">
        <v>0</v>
      </c>
      <c r="E60" s="158">
        <v>1942.16</v>
      </c>
      <c r="F60" s="158">
        <v>1942.16</v>
      </c>
      <c r="G60" s="158">
        <v>152.88</v>
      </c>
      <c r="H60" s="158">
        <v>152.88</v>
      </c>
      <c r="I60" s="158">
        <v>2095.04</v>
      </c>
      <c r="J60" s="158">
        <v>2095.04</v>
      </c>
      <c r="K60" s="158">
        <v>0</v>
      </c>
      <c r="L60" s="158">
        <v>0</v>
      </c>
    </row>
    <row r="61">
      <c r="A61" s="240" t="s">
        <v>907</v>
      </c>
      <c r="B61" s="113" t="s">
        <v>982</v>
      </c>
      <c r="C61" s="158">
        <v>0</v>
      </c>
      <c r="D61" s="158">
        <v>0</v>
      </c>
      <c r="E61" s="158">
        <v>5361.49</v>
      </c>
      <c r="F61" s="158">
        <v>5361.49</v>
      </c>
      <c r="G61" s="158">
        <v>195.99</v>
      </c>
      <c r="H61" s="158">
        <v>195.99</v>
      </c>
      <c r="I61" s="158">
        <v>5557.48</v>
      </c>
      <c r="J61" s="158">
        <v>5557.48</v>
      </c>
      <c r="K61" s="158">
        <v>0</v>
      </c>
      <c r="L61" s="158">
        <v>0</v>
      </c>
    </row>
    <row r="62">
      <c r="A62" s="240" t="s">
        <v>781</v>
      </c>
      <c r="B62" s="113" t="s">
        <v>1094</v>
      </c>
      <c r="C62" s="158">
        <v>0</v>
      </c>
      <c r="D62" s="158">
        <v>0</v>
      </c>
      <c r="E62" s="158">
        <v>20669.77</v>
      </c>
      <c r="F62" s="158">
        <v>20669.77</v>
      </c>
      <c r="G62" s="158">
        <v>100.64</v>
      </c>
      <c r="H62" s="158">
        <v>100.64</v>
      </c>
      <c r="I62" s="158">
        <v>20770.41</v>
      </c>
      <c r="J62" s="158">
        <v>20770.41</v>
      </c>
      <c r="K62" s="158">
        <v>0</v>
      </c>
      <c r="L62" s="158">
        <v>0</v>
      </c>
    </row>
    <row r="63">
      <c r="A63" s="240" t="s">
        <v>850</v>
      </c>
      <c r="B63" s="113" t="s">
        <v>167</v>
      </c>
      <c r="C63" s="158">
        <v>0</v>
      </c>
      <c r="D63" s="158">
        <v>0</v>
      </c>
      <c r="E63" s="158">
        <v>73140.75</v>
      </c>
      <c r="F63" s="158">
        <v>73140.75</v>
      </c>
      <c r="G63" s="158">
        <v>1526.04</v>
      </c>
      <c r="H63" s="158">
        <v>1526.04</v>
      </c>
      <c r="I63" s="158">
        <v>74666.79</v>
      </c>
      <c r="J63" s="158">
        <v>74666.79</v>
      </c>
      <c r="K63" s="158">
        <v>0</v>
      </c>
      <c r="L63" s="158">
        <v>0</v>
      </c>
    </row>
    <row r="64">
      <c r="A64" s="240" t="s">
        <v>994</v>
      </c>
      <c r="B64" s="113" t="s">
        <v>711</v>
      </c>
      <c r="C64" s="158">
        <v>0</v>
      </c>
      <c r="D64" s="158">
        <v>0</v>
      </c>
      <c r="E64" s="158">
        <v>40.92</v>
      </c>
      <c r="F64" s="158">
        <v>40.92</v>
      </c>
      <c r="G64" s="149">
        <v>0</v>
      </c>
      <c r="H64" s="149">
        <v>0</v>
      </c>
      <c r="I64" s="158">
        <v>40.92</v>
      </c>
      <c r="J64" s="158">
        <v>40.92</v>
      </c>
      <c r="K64" s="158">
        <v>0</v>
      </c>
      <c r="L64" s="158">
        <v>0</v>
      </c>
    </row>
    <row r="65">
      <c r="A65" s="240" t="s">
        <v>935</v>
      </c>
      <c r="B65" s="113" t="s">
        <v>842</v>
      </c>
      <c r="C65" s="158">
        <v>0</v>
      </c>
      <c r="D65" s="158">
        <v>0</v>
      </c>
      <c r="E65" s="158">
        <v>1942.16</v>
      </c>
      <c r="F65" s="158">
        <v>1942.16</v>
      </c>
      <c r="G65" s="158">
        <v>152.88</v>
      </c>
      <c r="H65" s="158">
        <v>152.88</v>
      </c>
      <c r="I65" s="158">
        <v>2095.04</v>
      </c>
      <c r="J65" s="158">
        <v>2095.04</v>
      </c>
      <c r="K65" s="158">
        <v>0</v>
      </c>
      <c r="L65" s="158">
        <v>0</v>
      </c>
    </row>
    <row r="66">
      <c r="A66" s="240" t="s">
        <v>446</v>
      </c>
      <c r="B66" s="113" t="s">
        <v>1080</v>
      </c>
      <c r="C66" s="158">
        <v>0</v>
      </c>
      <c r="D66" s="158">
        <v>0</v>
      </c>
      <c r="E66" s="158">
        <v>5361.49</v>
      </c>
      <c r="F66" s="158">
        <v>5361.49</v>
      </c>
      <c r="G66" s="158">
        <v>195.99</v>
      </c>
      <c r="H66" s="158">
        <v>195.99</v>
      </c>
      <c r="I66" s="158">
        <v>5557.48</v>
      </c>
      <c r="J66" s="158">
        <v>5557.48</v>
      </c>
      <c r="K66" s="158">
        <v>0</v>
      </c>
      <c r="L66" s="158">
        <v>0</v>
      </c>
    </row>
    <row r="67">
      <c r="A67" s="240" t="s">
        <v>765</v>
      </c>
      <c r="B67" s="113" t="s">
        <v>1087</v>
      </c>
      <c r="C67" s="158">
        <v>0</v>
      </c>
      <c r="D67" s="158">
        <v>349.75</v>
      </c>
      <c r="E67" s="158">
        <v>349.75</v>
      </c>
      <c r="F67" s="158">
        <v>1290</v>
      </c>
      <c r="G67" s="149">
        <v>0</v>
      </c>
      <c r="H67" s="158">
        <v>352.15</v>
      </c>
      <c r="I67" s="158">
        <v>349.75</v>
      </c>
      <c r="J67" s="158">
        <v>1642.15</v>
      </c>
      <c r="K67" s="158">
        <v>0</v>
      </c>
      <c r="L67" s="158">
        <v>1642.15</v>
      </c>
    </row>
    <row r="68">
      <c r="A68" s="240" t="s">
        <v>496</v>
      </c>
      <c r="B68" s="113" t="s">
        <v>1140</v>
      </c>
      <c r="C68" s="158">
        <v>0</v>
      </c>
      <c r="D68" s="158">
        <v>0</v>
      </c>
      <c r="E68" s="158">
        <v>77041.65</v>
      </c>
      <c r="F68" s="158">
        <v>77041.65</v>
      </c>
      <c r="G68" s="158">
        <v>17775.3</v>
      </c>
      <c r="H68" s="149">
        <v>0</v>
      </c>
      <c r="I68" s="158">
        <v>94816.95</v>
      </c>
      <c r="J68" s="158">
        <v>77041.65</v>
      </c>
      <c r="K68" s="158">
        <v>17775.3</v>
      </c>
      <c r="L68" s="158">
        <v>0</v>
      </c>
    </row>
    <row r="69">
      <c r="A69" s="240" t="s">
        <v>404</v>
      </c>
      <c r="B69" s="113" t="s">
        <v>589</v>
      </c>
      <c r="C69" s="158">
        <v>0</v>
      </c>
      <c r="D69" s="158">
        <v>90000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58">
        <v>0</v>
      </c>
      <c r="L69" s="158">
        <v>90000</v>
      </c>
    </row>
    <row r="70">
      <c r="A70" s="240" t="s">
        <v>391</v>
      </c>
      <c r="B70" s="113" t="s">
        <v>449</v>
      </c>
      <c r="C70" s="158">
        <v>0</v>
      </c>
      <c r="D70" s="158">
        <v>0</v>
      </c>
      <c r="E70" s="158">
        <v>11936.39</v>
      </c>
      <c r="F70" s="158">
        <v>30070</v>
      </c>
      <c r="G70" s="158">
        <v>18133.61</v>
      </c>
      <c r="H70" s="149">
        <v>0</v>
      </c>
      <c r="I70" s="158">
        <v>30070</v>
      </c>
      <c r="J70" s="158">
        <v>30070</v>
      </c>
      <c r="K70" s="158">
        <v>0</v>
      </c>
      <c r="L70" s="158">
        <v>0</v>
      </c>
    </row>
    <row r="71">
      <c r="A71" s="240" t="s">
        <v>550</v>
      </c>
      <c r="B71" s="113" t="s">
        <v>193</v>
      </c>
      <c r="C71" s="158">
        <v>0</v>
      </c>
      <c r="D71" s="158">
        <v>10500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58">
        <v>0</v>
      </c>
      <c r="L71" s="158">
        <v>10500</v>
      </c>
    </row>
    <row r="72">
      <c r="A72" s="240" t="s">
        <v>1318</v>
      </c>
      <c r="B72" s="113" t="s">
        <v>169</v>
      </c>
      <c r="C72" s="158">
        <v>350.6</v>
      </c>
      <c r="D72" s="158">
        <v>0</v>
      </c>
      <c r="E72" s="149">
        <v>0</v>
      </c>
      <c r="F72" s="158">
        <v>350.6</v>
      </c>
      <c r="G72" s="158">
        <v>785.65</v>
      </c>
      <c r="H72" s="149">
        <v>0</v>
      </c>
      <c r="I72" s="158">
        <v>785.65</v>
      </c>
      <c r="J72" s="158">
        <v>350.6</v>
      </c>
      <c r="K72" s="158">
        <v>785.65</v>
      </c>
      <c r="L72" s="158">
        <v>0</v>
      </c>
    </row>
    <row r="73">
      <c r="A73" s="240" t="s">
        <v>260</v>
      </c>
      <c r="B73" s="113" t="s">
        <v>1062</v>
      </c>
      <c r="C73" s="158">
        <v>0</v>
      </c>
      <c r="D73" s="158">
        <v>6639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58">
        <v>0</v>
      </c>
      <c r="L73" s="158">
        <v>6639</v>
      </c>
    </row>
    <row r="74">
      <c r="A74" s="240" t="s">
        <v>1129</v>
      </c>
      <c r="B74" s="113" t="s">
        <v>774</v>
      </c>
      <c r="C74" s="158">
        <v>0</v>
      </c>
      <c r="D74" s="158">
        <v>227996</v>
      </c>
      <c r="E74" s="149">
        <v>0</v>
      </c>
      <c r="F74" s="149">
        <v>0</v>
      </c>
      <c r="G74" s="149">
        <v>0</v>
      </c>
      <c r="H74" s="149">
        <v>0</v>
      </c>
      <c r="I74" s="149">
        <v>0</v>
      </c>
      <c r="J74" s="149">
        <v>0</v>
      </c>
      <c r="K74" s="158">
        <v>0</v>
      </c>
      <c r="L74" s="158">
        <v>227996</v>
      </c>
    </row>
    <row r="75">
      <c r="A75" s="240" t="s">
        <v>829</v>
      </c>
      <c r="B75" s="113" t="s">
        <v>1384</v>
      </c>
      <c r="C75" s="158">
        <v>0</v>
      </c>
      <c r="D75" s="158">
        <v>4137.74</v>
      </c>
      <c r="E75" s="149">
        <v>0</v>
      </c>
      <c r="F75" s="149">
        <v>0</v>
      </c>
      <c r="G75" s="149">
        <v>0</v>
      </c>
      <c r="H75" s="149">
        <v>0</v>
      </c>
      <c r="I75" s="149">
        <v>0</v>
      </c>
      <c r="J75" s="149">
        <v>0</v>
      </c>
      <c r="K75" s="158">
        <v>0</v>
      </c>
      <c r="L75" s="158">
        <v>4137.74</v>
      </c>
    </row>
    <row r="76">
      <c r="A76" s="240" t="s">
        <v>505</v>
      </c>
      <c r="B76" s="113" t="s">
        <v>1308</v>
      </c>
      <c r="C76" s="158">
        <v>0</v>
      </c>
      <c r="D76" s="158">
        <v>66003.2</v>
      </c>
      <c r="E76" s="149">
        <v>0</v>
      </c>
      <c r="F76" s="149">
        <v>0</v>
      </c>
      <c r="G76" s="149">
        <v>0</v>
      </c>
      <c r="H76" s="149">
        <v>0</v>
      </c>
      <c r="I76" s="149">
        <v>0</v>
      </c>
      <c r="J76" s="149">
        <v>0</v>
      </c>
      <c r="K76" s="158">
        <v>0</v>
      </c>
      <c r="L76" s="158">
        <v>66003.2</v>
      </c>
    </row>
    <row r="77">
      <c r="A77" s="240" t="s">
        <v>1017</v>
      </c>
      <c r="B77" s="113" t="s">
        <v>1308</v>
      </c>
      <c r="C77" s="158">
        <v>0</v>
      </c>
      <c r="D77" s="158">
        <v>50236.96</v>
      </c>
      <c r="E77" s="149">
        <v>0</v>
      </c>
      <c r="F77" s="149">
        <v>0</v>
      </c>
      <c r="G77" s="149">
        <v>0</v>
      </c>
      <c r="H77" s="149">
        <v>0</v>
      </c>
      <c r="I77" s="149">
        <v>0</v>
      </c>
      <c r="J77" s="149">
        <v>0</v>
      </c>
      <c r="K77" s="158">
        <v>0</v>
      </c>
      <c r="L77" s="158">
        <v>50236.96</v>
      </c>
    </row>
    <row r="78">
      <c r="A78" s="240" t="s">
        <v>1339</v>
      </c>
      <c r="B78" s="113" t="s">
        <v>220</v>
      </c>
      <c r="C78" s="158">
        <v>754511.48</v>
      </c>
      <c r="D78" s="158">
        <v>0</v>
      </c>
      <c r="E78" s="149">
        <v>0</v>
      </c>
      <c r="F78" s="149">
        <v>0</v>
      </c>
      <c r="G78" s="149">
        <v>0</v>
      </c>
      <c r="H78" s="149">
        <v>0</v>
      </c>
      <c r="I78" s="149">
        <v>0</v>
      </c>
      <c r="J78" s="149">
        <v>0</v>
      </c>
      <c r="K78" s="158">
        <v>754511.48</v>
      </c>
      <c r="L78" s="158">
        <v>0</v>
      </c>
    </row>
    <row r="79">
      <c r="A79" s="240" t="s">
        <v>487</v>
      </c>
      <c r="B79" s="113" t="s">
        <v>1192</v>
      </c>
      <c r="C79" s="149">
        <v>0</v>
      </c>
      <c r="D79" s="149">
        <v>0</v>
      </c>
      <c r="E79" s="149">
        <v>0</v>
      </c>
      <c r="F79" s="149">
        <v>0</v>
      </c>
      <c r="G79" s="158">
        <v>38302.43</v>
      </c>
      <c r="H79" s="149">
        <v>0</v>
      </c>
      <c r="I79" s="158">
        <v>38302.43</v>
      </c>
      <c r="J79" s="149">
        <v>0</v>
      </c>
      <c r="K79" s="158">
        <v>38302.43</v>
      </c>
      <c r="L79" s="158">
        <v>0</v>
      </c>
    </row>
    <row r="80">
      <c r="A80" s="240" t="s">
        <v>1067</v>
      </c>
      <c r="B80" s="113" t="s">
        <v>1277</v>
      </c>
      <c r="C80" s="158">
        <v>38302.43</v>
      </c>
      <c r="D80" s="158">
        <v>0</v>
      </c>
      <c r="E80" s="149">
        <v>0</v>
      </c>
      <c r="F80" s="149">
        <v>0</v>
      </c>
      <c r="G80" s="149">
        <v>0</v>
      </c>
      <c r="H80" s="158">
        <v>38302.43</v>
      </c>
      <c r="I80" s="149">
        <v>0</v>
      </c>
      <c r="J80" s="158">
        <v>38302.43</v>
      </c>
      <c r="K80" s="158">
        <v>0</v>
      </c>
      <c r="L80" s="158">
        <v>0</v>
      </c>
    </row>
    <row r="81">
      <c r="A81" s="240" t="s">
        <v>1224</v>
      </c>
      <c r="B81" s="113" t="s">
        <v>640</v>
      </c>
      <c r="C81" s="158">
        <v>0</v>
      </c>
      <c r="D81" s="158">
        <v>5636.97</v>
      </c>
      <c r="E81" s="149">
        <v>0</v>
      </c>
      <c r="F81" s="158">
        <v>373.19</v>
      </c>
      <c r="G81" s="149">
        <v>0</v>
      </c>
      <c r="H81" s="158">
        <v>16.33</v>
      </c>
      <c r="I81" s="149">
        <v>0</v>
      </c>
      <c r="J81" s="158">
        <v>389.52</v>
      </c>
      <c r="K81" s="158">
        <v>0</v>
      </c>
      <c r="L81" s="158">
        <v>6026.49</v>
      </c>
    </row>
    <row r="82">
      <c r="A82" s="240" t="s">
        <v>776</v>
      </c>
      <c r="B82" s="113" t="s">
        <v>325</v>
      </c>
      <c r="C82" s="158">
        <v>0</v>
      </c>
      <c r="D82" s="158">
        <v>131529.93</v>
      </c>
      <c r="E82" s="158">
        <v>132000</v>
      </c>
      <c r="F82" s="149">
        <v>0</v>
      </c>
      <c r="G82" s="149">
        <v>0</v>
      </c>
      <c r="H82" s="158">
        <v>470.07</v>
      </c>
      <c r="I82" s="158">
        <v>132000</v>
      </c>
      <c r="J82" s="158">
        <v>470.07</v>
      </c>
      <c r="K82" s="158">
        <v>0</v>
      </c>
      <c r="L82" s="158">
        <v>0</v>
      </c>
    </row>
    <row r="83">
      <c r="A83" s="240" t="s">
        <v>1064</v>
      </c>
      <c r="B83" s="113" t="s">
        <v>1125</v>
      </c>
      <c r="C83" s="158">
        <v>0</v>
      </c>
      <c r="D83" s="158">
        <v>227395.6</v>
      </c>
      <c r="E83" s="158">
        <v>239395</v>
      </c>
      <c r="F83" s="158">
        <v>12000</v>
      </c>
      <c r="G83" s="158">
        <v>0.6</v>
      </c>
      <c r="H83" s="149">
        <v>0</v>
      </c>
      <c r="I83" s="158">
        <v>239395.6</v>
      </c>
      <c r="J83" s="158">
        <v>12000</v>
      </c>
      <c r="K83" s="158">
        <v>0</v>
      </c>
      <c r="L83" s="158">
        <v>0</v>
      </c>
    </row>
    <row r="84">
      <c r="A84" s="240" t="s">
        <v>939</v>
      </c>
      <c r="B84" s="113" t="s">
        <v>398</v>
      </c>
      <c r="C84" s="149">
        <v>0</v>
      </c>
      <c r="D84" s="149">
        <v>0</v>
      </c>
      <c r="E84" s="149">
        <v>0</v>
      </c>
      <c r="F84" s="158">
        <v>371395</v>
      </c>
      <c r="G84" s="149">
        <v>0</v>
      </c>
      <c r="H84" s="149">
        <v>0</v>
      </c>
      <c r="I84" s="149">
        <v>0</v>
      </c>
      <c r="J84" s="158">
        <v>371395</v>
      </c>
      <c r="K84" s="158">
        <v>0</v>
      </c>
      <c r="L84" s="158">
        <v>371395</v>
      </c>
    </row>
    <row r="85">
      <c r="A85" s="240" t="s">
        <v>993</v>
      </c>
      <c r="B85" s="113" t="s">
        <v>652</v>
      </c>
      <c r="C85" s="158">
        <v>0</v>
      </c>
      <c r="D85" s="158">
        <v>0</v>
      </c>
      <c r="E85" s="158">
        <v>12032.86</v>
      </c>
      <c r="F85" s="149">
        <v>0</v>
      </c>
      <c r="G85" s="158">
        <v>1958.74</v>
      </c>
      <c r="H85" s="149">
        <v>0</v>
      </c>
      <c r="I85" s="158">
        <v>13991.6</v>
      </c>
      <c r="J85" s="149">
        <v>0</v>
      </c>
      <c r="K85" s="158">
        <v>13991.6</v>
      </c>
      <c r="L85" s="158">
        <v>0</v>
      </c>
    </row>
    <row r="86">
      <c r="A86" s="240" t="s">
        <v>204</v>
      </c>
      <c r="B86" s="113" t="s">
        <v>1141</v>
      </c>
      <c r="C86" s="158">
        <v>0</v>
      </c>
      <c r="D86" s="158">
        <v>0</v>
      </c>
      <c r="E86" s="158">
        <v>5210.8</v>
      </c>
      <c r="F86" s="149">
        <v>0</v>
      </c>
      <c r="G86" s="158">
        <v>352.66</v>
      </c>
      <c r="H86" s="149">
        <v>0</v>
      </c>
      <c r="I86" s="158">
        <v>5563.46</v>
      </c>
      <c r="J86" s="149">
        <v>0</v>
      </c>
      <c r="K86" s="158">
        <v>5563.46</v>
      </c>
      <c r="L86" s="158">
        <v>0</v>
      </c>
    </row>
    <row r="87">
      <c r="A87" s="240" t="s">
        <v>135</v>
      </c>
      <c r="B87" s="113" t="s">
        <v>657</v>
      </c>
      <c r="C87" s="158">
        <v>0</v>
      </c>
      <c r="D87" s="158">
        <v>0</v>
      </c>
      <c r="E87" s="158">
        <v>349.12</v>
      </c>
      <c r="F87" s="149">
        <v>0</v>
      </c>
      <c r="G87" s="149">
        <v>0</v>
      </c>
      <c r="H87" s="149">
        <v>0</v>
      </c>
      <c r="I87" s="158">
        <v>349.12</v>
      </c>
      <c r="J87" s="149">
        <v>0</v>
      </c>
      <c r="K87" s="158">
        <v>349.12</v>
      </c>
      <c r="L87" s="158">
        <v>0</v>
      </c>
    </row>
    <row r="88">
      <c r="A88" s="240" t="s">
        <v>1122</v>
      </c>
      <c r="B88" s="113" t="s">
        <v>1066</v>
      </c>
      <c r="C88" s="158">
        <v>0</v>
      </c>
      <c r="D88" s="158">
        <v>0</v>
      </c>
      <c r="E88" s="158">
        <v>580.34</v>
      </c>
      <c r="F88" s="149">
        <v>0</v>
      </c>
      <c r="G88" s="149">
        <v>0</v>
      </c>
      <c r="H88" s="149">
        <v>0</v>
      </c>
      <c r="I88" s="158">
        <v>580.34</v>
      </c>
      <c r="J88" s="149">
        <v>0</v>
      </c>
      <c r="K88" s="158">
        <v>580.34</v>
      </c>
      <c r="L88" s="158">
        <v>0</v>
      </c>
    </row>
    <row r="89">
      <c r="A89" s="240" t="s">
        <v>1159</v>
      </c>
      <c r="B89" s="113" t="s">
        <v>1138</v>
      </c>
      <c r="C89" s="158">
        <v>0</v>
      </c>
      <c r="D89" s="158">
        <v>0</v>
      </c>
      <c r="E89" s="158">
        <v>9802.48</v>
      </c>
      <c r="F89" s="149">
        <v>0</v>
      </c>
      <c r="G89" s="158">
        <v>6.58</v>
      </c>
      <c r="H89" s="149">
        <v>0</v>
      </c>
      <c r="I89" s="158">
        <v>9809.06</v>
      </c>
      <c r="J89" s="149">
        <v>0</v>
      </c>
      <c r="K89" s="158">
        <v>9809.06</v>
      </c>
      <c r="L89" s="158">
        <v>0</v>
      </c>
    </row>
    <row r="90">
      <c r="A90" s="240" t="s">
        <v>530</v>
      </c>
      <c r="B90" s="113" t="s">
        <v>200</v>
      </c>
      <c r="C90" s="158">
        <v>0</v>
      </c>
      <c r="D90" s="158">
        <v>0</v>
      </c>
      <c r="E90" s="158">
        <v>2237.85</v>
      </c>
      <c r="F90" s="149">
        <v>0</v>
      </c>
      <c r="G90" s="158">
        <v>4.66</v>
      </c>
      <c r="H90" s="149">
        <v>0</v>
      </c>
      <c r="I90" s="158">
        <v>2242.51</v>
      </c>
      <c r="J90" s="149">
        <v>0</v>
      </c>
      <c r="K90" s="158">
        <v>2242.51</v>
      </c>
      <c r="L90" s="158">
        <v>0</v>
      </c>
    </row>
    <row r="91">
      <c r="A91" s="240" t="s">
        <v>1211</v>
      </c>
      <c r="B91" s="113" t="s">
        <v>642</v>
      </c>
      <c r="C91" s="158">
        <v>0</v>
      </c>
      <c r="D91" s="158">
        <v>0</v>
      </c>
      <c r="E91" s="158">
        <v>544</v>
      </c>
      <c r="F91" s="149">
        <v>0</v>
      </c>
      <c r="G91" s="149">
        <v>0</v>
      </c>
      <c r="H91" s="149">
        <v>0</v>
      </c>
      <c r="I91" s="158">
        <v>544</v>
      </c>
      <c r="J91" s="149">
        <v>0</v>
      </c>
      <c r="K91" s="158">
        <v>544</v>
      </c>
      <c r="L91" s="158">
        <v>0</v>
      </c>
    </row>
    <row r="92">
      <c r="A92" s="240" t="s">
        <v>507</v>
      </c>
      <c r="B92" s="113" t="s">
        <v>1349</v>
      </c>
      <c r="C92" s="158">
        <v>0</v>
      </c>
      <c r="D92" s="158">
        <v>0</v>
      </c>
      <c r="E92" s="158">
        <v>14.78</v>
      </c>
      <c r="F92" s="149">
        <v>0</v>
      </c>
      <c r="G92" s="149">
        <v>0</v>
      </c>
      <c r="H92" s="149">
        <v>0</v>
      </c>
      <c r="I92" s="158">
        <v>14.78</v>
      </c>
      <c r="J92" s="149">
        <v>0</v>
      </c>
      <c r="K92" s="158">
        <v>14.78</v>
      </c>
      <c r="L92" s="158">
        <v>0</v>
      </c>
    </row>
    <row r="93">
      <c r="A93" s="240" t="s">
        <v>799</v>
      </c>
      <c r="B93" s="113" t="s">
        <v>752</v>
      </c>
      <c r="C93" s="158">
        <v>0</v>
      </c>
      <c r="D93" s="158">
        <v>0</v>
      </c>
      <c r="E93" s="158">
        <v>1432.55</v>
      </c>
      <c r="F93" s="149">
        <v>0</v>
      </c>
      <c r="G93" s="158">
        <v>250</v>
      </c>
      <c r="H93" s="149">
        <v>0</v>
      </c>
      <c r="I93" s="158">
        <v>1682.55</v>
      </c>
      <c r="J93" s="149">
        <v>0</v>
      </c>
      <c r="K93" s="158">
        <v>1682.55</v>
      </c>
      <c r="L93" s="158">
        <v>0</v>
      </c>
    </row>
    <row r="94">
      <c r="A94" s="240" t="s">
        <v>451</v>
      </c>
      <c r="B94" s="113" t="s">
        <v>1391</v>
      </c>
      <c r="C94" s="158">
        <v>0</v>
      </c>
      <c r="D94" s="158">
        <v>0</v>
      </c>
      <c r="E94" s="158">
        <v>13034.37</v>
      </c>
      <c r="F94" s="149">
        <v>0</v>
      </c>
      <c r="G94" s="158">
        <v>3045</v>
      </c>
      <c r="H94" s="149">
        <v>0</v>
      </c>
      <c r="I94" s="158">
        <v>16079.37</v>
      </c>
      <c r="J94" s="149">
        <v>0</v>
      </c>
      <c r="K94" s="158">
        <v>16079.37</v>
      </c>
      <c r="L94" s="158">
        <v>0</v>
      </c>
    </row>
    <row r="95">
      <c r="A95" s="240" t="s">
        <v>1330</v>
      </c>
      <c r="B95" s="113" t="s">
        <v>878</v>
      </c>
      <c r="C95" s="158">
        <v>0</v>
      </c>
      <c r="D95" s="158">
        <v>0</v>
      </c>
      <c r="E95" s="158">
        <v>2248.68</v>
      </c>
      <c r="F95" s="149">
        <v>0</v>
      </c>
      <c r="G95" s="158">
        <v>308.12</v>
      </c>
      <c r="H95" s="149">
        <v>0</v>
      </c>
      <c r="I95" s="158">
        <v>2556.8</v>
      </c>
      <c r="J95" s="149">
        <v>0</v>
      </c>
      <c r="K95" s="158">
        <v>2556.8</v>
      </c>
      <c r="L95" s="158">
        <v>0</v>
      </c>
    </row>
    <row r="96">
      <c r="A96" s="240" t="s">
        <v>313</v>
      </c>
      <c r="B96" s="113" t="s">
        <v>445</v>
      </c>
      <c r="C96" s="158">
        <v>0</v>
      </c>
      <c r="D96" s="158">
        <v>0</v>
      </c>
      <c r="E96" s="158">
        <v>702.42</v>
      </c>
      <c r="F96" s="149">
        <v>0</v>
      </c>
      <c r="G96" s="149">
        <v>0</v>
      </c>
      <c r="H96" s="149">
        <v>0</v>
      </c>
      <c r="I96" s="158">
        <v>702.42</v>
      </c>
      <c r="J96" s="149">
        <v>0</v>
      </c>
      <c r="K96" s="158">
        <v>702.42</v>
      </c>
      <c r="L96" s="158">
        <v>0</v>
      </c>
    </row>
    <row r="97">
      <c r="A97" s="240" t="s">
        <v>217</v>
      </c>
      <c r="B97" s="113" t="s">
        <v>636</v>
      </c>
      <c r="C97" s="158">
        <v>0</v>
      </c>
      <c r="D97" s="158">
        <v>0</v>
      </c>
      <c r="E97" s="158">
        <v>103109.16</v>
      </c>
      <c r="F97" s="149">
        <v>0</v>
      </c>
      <c r="G97" s="158">
        <v>5250.64</v>
      </c>
      <c r="H97" s="149">
        <v>0</v>
      </c>
      <c r="I97" s="158">
        <v>108359.8</v>
      </c>
      <c r="J97" s="149">
        <v>0</v>
      </c>
      <c r="K97" s="158">
        <v>108359.8</v>
      </c>
      <c r="L97" s="158">
        <v>0</v>
      </c>
    </row>
    <row r="98">
      <c r="A98" s="240" t="s">
        <v>482</v>
      </c>
      <c r="B98" s="113" t="s">
        <v>179</v>
      </c>
      <c r="C98" s="158">
        <v>0</v>
      </c>
      <c r="D98" s="158">
        <v>0</v>
      </c>
      <c r="E98" s="158">
        <v>23121.44</v>
      </c>
      <c r="F98" s="149">
        <v>0</v>
      </c>
      <c r="G98" s="158">
        <v>5074.49</v>
      </c>
      <c r="H98" s="149">
        <v>0</v>
      </c>
      <c r="I98" s="158">
        <v>28195.93</v>
      </c>
      <c r="J98" s="149">
        <v>0</v>
      </c>
      <c r="K98" s="158">
        <v>28195.93</v>
      </c>
      <c r="L98" s="158">
        <v>0</v>
      </c>
    </row>
    <row r="99">
      <c r="A99" s="240" t="s">
        <v>1205</v>
      </c>
      <c r="B99" s="113" t="s">
        <v>595</v>
      </c>
      <c r="C99" s="158">
        <v>0</v>
      </c>
      <c r="D99" s="158">
        <v>0</v>
      </c>
      <c r="E99" s="158">
        <v>6022.61</v>
      </c>
      <c r="F99" s="149">
        <v>0</v>
      </c>
      <c r="G99" s="158">
        <v>9.46</v>
      </c>
      <c r="H99" s="149">
        <v>0</v>
      </c>
      <c r="I99" s="158">
        <v>6032.07</v>
      </c>
      <c r="J99" s="149">
        <v>0</v>
      </c>
      <c r="K99" s="158">
        <v>6032.07</v>
      </c>
      <c r="L99" s="158">
        <v>0</v>
      </c>
    </row>
    <row r="100">
      <c r="A100" s="240" t="s">
        <v>401</v>
      </c>
      <c r="B100" s="113" t="s">
        <v>234</v>
      </c>
      <c r="C100" s="158">
        <v>0</v>
      </c>
      <c r="D100" s="158">
        <v>0</v>
      </c>
      <c r="E100" s="158">
        <v>37523.32</v>
      </c>
      <c r="F100" s="149">
        <v>0</v>
      </c>
      <c r="G100" s="158">
        <v>4983.89</v>
      </c>
      <c r="H100" s="149">
        <v>0</v>
      </c>
      <c r="I100" s="158">
        <v>42507.21</v>
      </c>
      <c r="J100" s="149">
        <v>0</v>
      </c>
      <c r="K100" s="158">
        <v>42507.21</v>
      </c>
      <c r="L100" s="158">
        <v>0</v>
      </c>
    </row>
    <row r="101">
      <c r="A101" s="240" t="s">
        <v>134</v>
      </c>
      <c r="B101" s="113" t="s">
        <v>847</v>
      </c>
      <c r="C101" s="158">
        <v>0</v>
      </c>
      <c r="D101" s="158">
        <v>0</v>
      </c>
      <c r="E101" s="158">
        <v>19513.49</v>
      </c>
      <c r="F101" s="149">
        <v>0</v>
      </c>
      <c r="G101" s="158">
        <v>2903.74</v>
      </c>
      <c r="H101" s="149">
        <v>0</v>
      </c>
      <c r="I101" s="158">
        <v>22417.23</v>
      </c>
      <c r="J101" s="149">
        <v>0</v>
      </c>
      <c r="K101" s="158">
        <v>22417.23</v>
      </c>
      <c r="L101" s="158">
        <v>0</v>
      </c>
    </row>
    <row r="102">
      <c r="A102" s="240" t="s">
        <v>874</v>
      </c>
      <c r="B102" s="113" t="s">
        <v>991</v>
      </c>
      <c r="C102" s="158">
        <v>0</v>
      </c>
      <c r="D102" s="158">
        <v>0</v>
      </c>
      <c r="E102" s="158">
        <v>6635.42</v>
      </c>
      <c r="F102" s="149">
        <v>0</v>
      </c>
      <c r="G102" s="158">
        <v>191.05</v>
      </c>
      <c r="H102" s="149">
        <v>0</v>
      </c>
      <c r="I102" s="158">
        <v>6826.47</v>
      </c>
      <c r="J102" s="149">
        <v>0</v>
      </c>
      <c r="K102" s="158">
        <v>6826.47</v>
      </c>
      <c r="L102" s="158">
        <v>0</v>
      </c>
    </row>
    <row r="103">
      <c r="A103" s="240" t="s">
        <v>170</v>
      </c>
      <c r="B103" s="113" t="s">
        <v>68</v>
      </c>
      <c r="C103" s="158">
        <v>0</v>
      </c>
      <c r="D103" s="158">
        <v>0</v>
      </c>
      <c r="E103" s="158">
        <v>555.38</v>
      </c>
      <c r="F103" s="149">
        <v>0</v>
      </c>
      <c r="G103" s="149">
        <v>0</v>
      </c>
      <c r="H103" s="149">
        <v>0</v>
      </c>
      <c r="I103" s="158">
        <v>555.38</v>
      </c>
      <c r="J103" s="149">
        <v>0</v>
      </c>
      <c r="K103" s="158">
        <v>555.38</v>
      </c>
      <c r="L103" s="158">
        <v>0</v>
      </c>
    </row>
    <row r="104">
      <c r="A104" s="240" t="s">
        <v>868</v>
      </c>
      <c r="B104" s="113" t="s">
        <v>381</v>
      </c>
      <c r="C104" s="158">
        <v>0</v>
      </c>
      <c r="D104" s="158">
        <v>0</v>
      </c>
      <c r="E104" s="158">
        <v>20353.94</v>
      </c>
      <c r="F104" s="149">
        <v>0</v>
      </c>
      <c r="G104" s="149">
        <v>0</v>
      </c>
      <c r="H104" s="149">
        <v>0</v>
      </c>
      <c r="I104" s="158">
        <v>20353.94</v>
      </c>
      <c r="J104" s="149">
        <v>0</v>
      </c>
      <c r="K104" s="158">
        <v>20353.94</v>
      </c>
      <c r="L104" s="158">
        <v>0</v>
      </c>
    </row>
    <row r="105">
      <c r="A105" s="240" t="s">
        <v>929</v>
      </c>
      <c r="B105" s="113" t="s">
        <v>352</v>
      </c>
      <c r="C105" s="158">
        <v>0</v>
      </c>
      <c r="D105" s="158">
        <v>0</v>
      </c>
      <c r="E105" s="158">
        <v>198.86</v>
      </c>
      <c r="F105" s="149">
        <v>0</v>
      </c>
      <c r="G105" s="158">
        <v>10.32</v>
      </c>
      <c r="H105" s="149">
        <v>0</v>
      </c>
      <c r="I105" s="158">
        <v>209.18</v>
      </c>
      <c r="J105" s="149">
        <v>0</v>
      </c>
      <c r="K105" s="158">
        <v>209.18</v>
      </c>
      <c r="L105" s="158">
        <v>0</v>
      </c>
    </row>
    <row r="106">
      <c r="A106" s="240" t="s">
        <v>1107</v>
      </c>
      <c r="B106" s="113" t="s">
        <v>680</v>
      </c>
      <c r="C106" s="158">
        <v>0</v>
      </c>
      <c r="D106" s="158">
        <v>0</v>
      </c>
      <c r="E106" s="158">
        <v>39.78</v>
      </c>
      <c r="F106" s="149">
        <v>0</v>
      </c>
      <c r="G106" s="158">
        <v>1.72</v>
      </c>
      <c r="H106" s="149">
        <v>0</v>
      </c>
      <c r="I106" s="158">
        <v>41.5</v>
      </c>
      <c r="J106" s="149">
        <v>0</v>
      </c>
      <c r="K106" s="158">
        <v>41.5</v>
      </c>
      <c r="L106" s="158">
        <v>0</v>
      </c>
    </row>
    <row r="107">
      <c r="A107" s="240" t="s">
        <v>853</v>
      </c>
      <c r="B107" s="113" t="s">
        <v>360</v>
      </c>
      <c r="C107" s="158">
        <v>0</v>
      </c>
      <c r="D107" s="158">
        <v>0</v>
      </c>
      <c r="E107" s="158">
        <v>4725.89</v>
      </c>
      <c r="F107" s="149">
        <v>0</v>
      </c>
      <c r="G107" s="158">
        <v>462.25</v>
      </c>
      <c r="H107" s="149">
        <v>0</v>
      </c>
      <c r="I107" s="158">
        <v>5188.14</v>
      </c>
      <c r="J107" s="149">
        <v>0</v>
      </c>
      <c r="K107" s="158">
        <v>5188.14</v>
      </c>
      <c r="L107" s="158">
        <v>0</v>
      </c>
    </row>
    <row r="108">
      <c r="A108" s="240" t="s">
        <v>996</v>
      </c>
      <c r="B108" s="113" t="s">
        <v>601</v>
      </c>
      <c r="C108" s="158">
        <v>0</v>
      </c>
      <c r="D108" s="158">
        <v>0</v>
      </c>
      <c r="E108" s="158">
        <v>1606.38</v>
      </c>
      <c r="F108" s="149">
        <v>0</v>
      </c>
      <c r="G108" s="158">
        <v>198.93</v>
      </c>
      <c r="H108" s="149">
        <v>0</v>
      </c>
      <c r="I108" s="158">
        <v>1805.31</v>
      </c>
      <c r="J108" s="149">
        <v>0</v>
      </c>
      <c r="K108" s="158">
        <v>1805.31</v>
      </c>
      <c r="L108" s="158">
        <v>0</v>
      </c>
    </row>
    <row r="109">
      <c r="A109" s="240" t="s">
        <v>630</v>
      </c>
      <c r="B109" s="113" t="s">
        <v>934</v>
      </c>
      <c r="C109" s="158">
        <v>0</v>
      </c>
      <c r="D109" s="158">
        <v>0</v>
      </c>
      <c r="E109" s="158">
        <v>8781.58</v>
      </c>
      <c r="F109" s="149">
        <v>0</v>
      </c>
      <c r="G109" s="158">
        <v>737.45</v>
      </c>
      <c r="H109" s="149">
        <v>0</v>
      </c>
      <c r="I109" s="158">
        <v>9519.03</v>
      </c>
      <c r="J109" s="149">
        <v>0</v>
      </c>
      <c r="K109" s="158">
        <v>9519.03</v>
      </c>
      <c r="L109" s="158">
        <v>0</v>
      </c>
    </row>
    <row r="110">
      <c r="A110" s="240" t="s">
        <v>698</v>
      </c>
      <c r="B110" s="113" t="s">
        <v>999</v>
      </c>
      <c r="C110" s="158">
        <v>0</v>
      </c>
      <c r="D110" s="158">
        <v>0</v>
      </c>
      <c r="E110" s="158">
        <v>238.71</v>
      </c>
      <c r="F110" s="149">
        <v>0</v>
      </c>
      <c r="G110" s="149">
        <v>0</v>
      </c>
      <c r="H110" s="149">
        <v>0</v>
      </c>
      <c r="I110" s="158">
        <v>238.71</v>
      </c>
      <c r="J110" s="149">
        <v>0</v>
      </c>
      <c r="K110" s="158">
        <v>238.71</v>
      </c>
      <c r="L110" s="158">
        <v>0</v>
      </c>
    </row>
    <row r="111">
      <c r="A111" s="240" t="s">
        <v>341</v>
      </c>
      <c r="B111" s="113" t="s">
        <v>573</v>
      </c>
      <c r="C111" s="158">
        <v>0</v>
      </c>
      <c r="D111" s="158">
        <v>0</v>
      </c>
      <c r="E111" s="158">
        <v>420.63</v>
      </c>
      <c r="F111" s="149">
        <v>0</v>
      </c>
      <c r="G111" s="158">
        <v>51.33</v>
      </c>
      <c r="H111" s="149">
        <v>0</v>
      </c>
      <c r="I111" s="158">
        <v>471.96</v>
      </c>
      <c r="J111" s="149">
        <v>0</v>
      </c>
      <c r="K111" s="158">
        <v>471.96</v>
      </c>
      <c r="L111" s="158">
        <v>0</v>
      </c>
    </row>
    <row r="112">
      <c r="A112" s="240" t="s">
        <v>91</v>
      </c>
      <c r="B112" s="113" t="s">
        <v>108</v>
      </c>
      <c r="C112" s="158">
        <v>0</v>
      </c>
      <c r="D112" s="158">
        <v>0</v>
      </c>
      <c r="E112" s="158">
        <v>443</v>
      </c>
      <c r="F112" s="149">
        <v>0</v>
      </c>
      <c r="G112" s="158">
        <v>81.22</v>
      </c>
      <c r="H112" s="149">
        <v>0</v>
      </c>
      <c r="I112" s="158">
        <v>524.22</v>
      </c>
      <c r="J112" s="149">
        <v>0</v>
      </c>
      <c r="K112" s="158">
        <v>524.22</v>
      </c>
      <c r="L112" s="158">
        <v>0</v>
      </c>
    </row>
    <row r="113">
      <c r="A113" s="240" t="s">
        <v>166</v>
      </c>
      <c r="B113" s="113" t="s">
        <v>873</v>
      </c>
      <c r="C113" s="158">
        <v>0</v>
      </c>
      <c r="D113" s="158">
        <v>0</v>
      </c>
      <c r="E113" s="158">
        <v>1644.88</v>
      </c>
      <c r="F113" s="149">
        <v>0</v>
      </c>
      <c r="G113" s="158">
        <v>78.05</v>
      </c>
      <c r="H113" s="149">
        <v>0</v>
      </c>
      <c r="I113" s="158">
        <v>1722.93</v>
      </c>
      <c r="J113" s="149">
        <v>0</v>
      </c>
      <c r="K113" s="158">
        <v>1722.93</v>
      </c>
      <c r="L113" s="158">
        <v>0</v>
      </c>
    </row>
    <row r="114">
      <c r="A114" s="240" t="s">
        <v>715</v>
      </c>
      <c r="B114" s="113" t="s">
        <v>736</v>
      </c>
      <c r="C114" s="158">
        <v>0</v>
      </c>
      <c r="D114" s="158">
        <v>0</v>
      </c>
      <c r="E114" s="158">
        <v>2014</v>
      </c>
      <c r="F114" s="149">
        <v>0</v>
      </c>
      <c r="G114" s="158">
        <v>36</v>
      </c>
      <c r="H114" s="149">
        <v>0</v>
      </c>
      <c r="I114" s="158">
        <v>2050</v>
      </c>
      <c r="J114" s="149">
        <v>0</v>
      </c>
      <c r="K114" s="158">
        <v>2050</v>
      </c>
      <c r="L114" s="158">
        <v>0</v>
      </c>
    </row>
    <row r="115">
      <c r="A115" s="240" t="s">
        <v>1118</v>
      </c>
      <c r="B115" s="113" t="s">
        <v>311</v>
      </c>
      <c r="C115" s="158">
        <v>0</v>
      </c>
      <c r="D115" s="158">
        <v>0</v>
      </c>
      <c r="E115" s="158">
        <v>7985.3</v>
      </c>
      <c r="F115" s="149">
        <v>0</v>
      </c>
      <c r="G115" s="158">
        <v>298.74</v>
      </c>
      <c r="H115" s="149">
        <v>0</v>
      </c>
      <c r="I115" s="158">
        <v>8284.04</v>
      </c>
      <c r="J115" s="149">
        <v>0</v>
      </c>
      <c r="K115" s="158">
        <v>8284.04</v>
      </c>
      <c r="L115" s="158">
        <v>0</v>
      </c>
    </row>
    <row r="116">
      <c r="A116" s="240" t="s">
        <v>394</v>
      </c>
      <c r="B116" s="113" t="s">
        <v>761</v>
      </c>
      <c r="C116" s="158">
        <v>0</v>
      </c>
      <c r="D116" s="158">
        <v>0</v>
      </c>
      <c r="E116" s="158">
        <v>1719.48</v>
      </c>
      <c r="F116" s="149">
        <v>0</v>
      </c>
      <c r="G116" s="158">
        <v>609.87</v>
      </c>
      <c r="H116" s="149">
        <v>0</v>
      </c>
      <c r="I116" s="158">
        <v>2329.35</v>
      </c>
      <c r="J116" s="149">
        <v>0</v>
      </c>
      <c r="K116" s="158">
        <v>2329.35</v>
      </c>
      <c r="L116" s="158">
        <v>0</v>
      </c>
    </row>
    <row r="117">
      <c r="A117" s="240" t="s">
        <v>1274</v>
      </c>
      <c r="B117" s="113" t="s">
        <v>585</v>
      </c>
      <c r="C117" s="158">
        <v>0</v>
      </c>
      <c r="D117" s="158">
        <v>0</v>
      </c>
      <c r="E117" s="158">
        <v>700</v>
      </c>
      <c r="F117" s="149">
        <v>0</v>
      </c>
      <c r="G117" s="149">
        <v>0</v>
      </c>
      <c r="H117" s="149">
        <v>0</v>
      </c>
      <c r="I117" s="158">
        <v>700</v>
      </c>
      <c r="J117" s="149">
        <v>0</v>
      </c>
      <c r="K117" s="158">
        <v>700</v>
      </c>
      <c r="L117" s="158">
        <v>0</v>
      </c>
    </row>
    <row r="118">
      <c r="A118" s="240" t="s">
        <v>425</v>
      </c>
      <c r="B118" s="113" t="s">
        <v>361</v>
      </c>
      <c r="C118" s="158">
        <v>0</v>
      </c>
      <c r="D118" s="158">
        <v>0</v>
      </c>
      <c r="E118" s="158">
        <v>38172.03</v>
      </c>
      <c r="F118" s="149">
        <v>0</v>
      </c>
      <c r="G118" s="158">
        <v>1429.03</v>
      </c>
      <c r="H118" s="149">
        <v>0</v>
      </c>
      <c r="I118" s="158">
        <v>39601.06</v>
      </c>
      <c r="J118" s="149">
        <v>0</v>
      </c>
      <c r="K118" s="158">
        <v>39601.06</v>
      </c>
      <c r="L118" s="158">
        <v>0</v>
      </c>
    </row>
    <row r="119">
      <c r="A119" s="240" t="s">
        <v>1306</v>
      </c>
      <c r="B119" s="113" t="s">
        <v>1198</v>
      </c>
      <c r="C119" s="158">
        <v>0</v>
      </c>
      <c r="D119" s="158">
        <v>0</v>
      </c>
      <c r="E119" s="158">
        <v>284.96</v>
      </c>
      <c r="F119" s="149">
        <v>0</v>
      </c>
      <c r="G119" s="158">
        <v>500</v>
      </c>
      <c r="H119" s="149">
        <v>0</v>
      </c>
      <c r="I119" s="158">
        <v>784.96</v>
      </c>
      <c r="J119" s="149">
        <v>0</v>
      </c>
      <c r="K119" s="158">
        <v>784.96</v>
      </c>
      <c r="L119" s="158">
        <v>0</v>
      </c>
    </row>
    <row r="120">
      <c r="A120" s="240" t="s">
        <v>1377</v>
      </c>
      <c r="B120" s="113" t="s">
        <v>1176</v>
      </c>
      <c r="C120" s="158">
        <v>0</v>
      </c>
      <c r="D120" s="158">
        <v>0</v>
      </c>
      <c r="E120" s="158">
        <v>23641.9</v>
      </c>
      <c r="F120" s="149">
        <v>0</v>
      </c>
      <c r="G120" s="158">
        <v>5126.03</v>
      </c>
      <c r="H120" s="149">
        <v>0</v>
      </c>
      <c r="I120" s="158">
        <v>28767.93</v>
      </c>
      <c r="J120" s="149">
        <v>0</v>
      </c>
      <c r="K120" s="158">
        <v>28767.93</v>
      </c>
      <c r="L120" s="158">
        <v>0</v>
      </c>
    </row>
    <row r="121">
      <c r="A121" s="240" t="s">
        <v>246</v>
      </c>
      <c r="B121" s="113" t="s">
        <v>720</v>
      </c>
      <c r="C121" s="158">
        <v>0</v>
      </c>
      <c r="D121" s="158">
        <v>0</v>
      </c>
      <c r="E121" s="158">
        <v>400.8</v>
      </c>
      <c r="F121" s="149">
        <v>0</v>
      </c>
      <c r="G121" s="158">
        <v>148.4</v>
      </c>
      <c r="H121" s="149">
        <v>0</v>
      </c>
      <c r="I121" s="158">
        <v>549.2</v>
      </c>
      <c r="J121" s="149">
        <v>0</v>
      </c>
      <c r="K121" s="158">
        <v>549.2</v>
      </c>
      <c r="L121" s="158">
        <v>0</v>
      </c>
    </row>
    <row r="122">
      <c r="A122" s="240" t="s">
        <v>619</v>
      </c>
      <c r="B122" s="113" t="s">
        <v>816</v>
      </c>
      <c r="C122" s="158">
        <v>0</v>
      </c>
      <c r="D122" s="158">
        <v>0</v>
      </c>
      <c r="E122" s="158">
        <v>25211.69</v>
      </c>
      <c r="F122" s="149">
        <v>0</v>
      </c>
      <c r="G122" s="158">
        <v>515</v>
      </c>
      <c r="H122" s="149">
        <v>0</v>
      </c>
      <c r="I122" s="158">
        <v>25726.69</v>
      </c>
      <c r="J122" s="149">
        <v>0</v>
      </c>
      <c r="K122" s="158">
        <v>25726.69</v>
      </c>
      <c r="L122" s="158">
        <v>0</v>
      </c>
    </row>
    <row r="123">
      <c r="A123" s="240" t="s">
        <v>457</v>
      </c>
      <c r="B123" s="113" t="s">
        <v>438</v>
      </c>
      <c r="C123" s="158">
        <v>0</v>
      </c>
      <c r="D123" s="158">
        <v>0</v>
      </c>
      <c r="E123" s="158">
        <v>67267.51</v>
      </c>
      <c r="F123" s="158">
        <v>150</v>
      </c>
      <c r="G123" s="158">
        <v>2922.34</v>
      </c>
      <c r="H123" s="149">
        <v>0</v>
      </c>
      <c r="I123" s="158">
        <v>70189.85</v>
      </c>
      <c r="J123" s="158">
        <v>150</v>
      </c>
      <c r="K123" s="158">
        <v>70039.85</v>
      </c>
      <c r="L123" s="158">
        <v>0</v>
      </c>
    </row>
    <row r="124">
      <c r="A124" s="240" t="s">
        <v>965</v>
      </c>
      <c r="B124" s="113" t="s">
        <v>1290</v>
      </c>
      <c r="C124" s="158">
        <v>0</v>
      </c>
      <c r="D124" s="158">
        <v>0</v>
      </c>
      <c r="E124" s="158">
        <v>396.88</v>
      </c>
      <c r="F124" s="149">
        <v>0</v>
      </c>
      <c r="G124" s="158">
        <v>16.13</v>
      </c>
      <c r="H124" s="149">
        <v>0</v>
      </c>
      <c r="I124" s="158">
        <v>413.01</v>
      </c>
      <c r="J124" s="149">
        <v>0</v>
      </c>
      <c r="K124" s="158">
        <v>413.01</v>
      </c>
      <c r="L124" s="158">
        <v>0</v>
      </c>
    </row>
    <row r="125">
      <c r="A125" s="270" t="s">
        <v>1037</v>
      </c>
      <c r="B125" s="75" t="s">
        <v>687</v>
      </c>
      <c r="C125" s="193">
        <v>0</v>
      </c>
      <c r="D125" s="193">
        <v>0</v>
      </c>
      <c r="E125" s="193">
        <v>8100</v>
      </c>
      <c r="F125" s="178">
        <v>0</v>
      </c>
      <c r="G125" s="178">
        <v>0</v>
      </c>
      <c r="H125" s="178">
        <v>0</v>
      </c>
      <c r="I125" s="193">
        <v>8100</v>
      </c>
      <c r="J125" s="178">
        <v>0</v>
      </c>
      <c r="K125" s="193">
        <v>8100</v>
      </c>
      <c r="L125" s="193">
        <v>0</v>
      </c>
    </row>
    <row r="126">
      <c r="A126" s="270" t="s">
        <v>284</v>
      </c>
      <c r="B126" s="75" t="s">
        <v>755</v>
      </c>
      <c r="C126" s="193">
        <v>0</v>
      </c>
      <c r="D126" s="193">
        <v>0</v>
      </c>
      <c r="E126" s="193">
        <v>124.8</v>
      </c>
      <c r="F126" s="178">
        <v>0</v>
      </c>
      <c r="G126" s="178">
        <v>0</v>
      </c>
      <c r="H126" s="178">
        <v>0</v>
      </c>
      <c r="I126" s="193">
        <v>124.8</v>
      </c>
      <c r="J126" s="178">
        <v>0</v>
      </c>
      <c r="K126" s="193">
        <v>124.8</v>
      </c>
      <c r="L126" s="193">
        <v>0</v>
      </c>
    </row>
    <row r="127">
      <c r="A127" s="270" t="s">
        <v>876</v>
      </c>
      <c r="B127" s="75" t="s">
        <v>708</v>
      </c>
      <c r="C127" s="193">
        <v>0</v>
      </c>
      <c r="D127" s="193">
        <v>0</v>
      </c>
      <c r="E127" s="193">
        <v>530.32</v>
      </c>
      <c r="F127" s="178">
        <v>0</v>
      </c>
      <c r="G127" s="178">
        <v>0</v>
      </c>
      <c r="H127" s="178">
        <v>0</v>
      </c>
      <c r="I127" s="193">
        <v>530.32</v>
      </c>
      <c r="J127" s="178">
        <v>0</v>
      </c>
      <c r="K127" s="193">
        <v>530.32</v>
      </c>
      <c r="L127" s="193">
        <v>0</v>
      </c>
    </row>
    <row r="128">
      <c r="A128" s="270" t="s">
        <v>654</v>
      </c>
      <c r="B128" s="75" t="s">
        <v>968</v>
      </c>
      <c r="C128" s="193">
        <v>0</v>
      </c>
      <c r="D128" s="193">
        <v>0</v>
      </c>
      <c r="E128" s="193">
        <v>73872.35</v>
      </c>
      <c r="F128" s="178">
        <v>0</v>
      </c>
      <c r="G128" s="193">
        <v>12874.81</v>
      </c>
      <c r="H128" s="178">
        <v>0</v>
      </c>
      <c r="I128" s="193">
        <v>86747.16</v>
      </c>
      <c r="J128" s="178">
        <v>0</v>
      </c>
      <c r="K128" s="193">
        <v>86747.16</v>
      </c>
      <c r="L128" s="193">
        <v>0</v>
      </c>
    </row>
    <row r="129">
      <c r="A129" s="270" t="s">
        <v>677</v>
      </c>
      <c r="B129" s="75" t="s">
        <v>981</v>
      </c>
      <c r="C129" s="193">
        <v>0</v>
      </c>
      <c r="D129" s="193">
        <v>0</v>
      </c>
      <c r="E129" s="193">
        <v>28361.9</v>
      </c>
      <c r="F129" s="178">
        <v>0</v>
      </c>
      <c r="G129" s="193">
        <v>4802.43</v>
      </c>
      <c r="H129" s="178">
        <v>0</v>
      </c>
      <c r="I129" s="193">
        <v>33164.33</v>
      </c>
      <c r="J129" s="178">
        <v>0</v>
      </c>
      <c r="K129" s="193">
        <v>33164.33</v>
      </c>
      <c r="L129" s="193">
        <v>0</v>
      </c>
    </row>
    <row r="130">
      <c r="A130" s="270" t="s">
        <v>236</v>
      </c>
      <c r="B130" s="75" t="s">
        <v>238</v>
      </c>
      <c r="C130" s="193">
        <v>0</v>
      </c>
      <c r="D130" s="193">
        <v>0</v>
      </c>
      <c r="E130" s="193">
        <v>1905.55</v>
      </c>
      <c r="F130" s="178">
        <v>0</v>
      </c>
      <c r="G130" s="193">
        <v>16.33</v>
      </c>
      <c r="H130" s="178">
        <v>0</v>
      </c>
      <c r="I130" s="193">
        <v>1921.88</v>
      </c>
      <c r="J130" s="178">
        <v>0</v>
      </c>
      <c r="K130" s="193">
        <v>1921.88</v>
      </c>
      <c r="L130" s="193">
        <v>0</v>
      </c>
    </row>
    <row r="131">
      <c r="A131" s="270" t="s">
        <v>89</v>
      </c>
      <c r="B131" s="75" t="s">
        <v>651</v>
      </c>
      <c r="C131" s="193">
        <v>0</v>
      </c>
      <c r="D131" s="193">
        <v>0</v>
      </c>
      <c r="E131" s="193">
        <v>684.49</v>
      </c>
      <c r="F131" s="178">
        <v>0</v>
      </c>
      <c r="G131" s="193">
        <v>14.53</v>
      </c>
      <c r="H131" s="178">
        <v>0</v>
      </c>
      <c r="I131" s="193">
        <v>699.02</v>
      </c>
      <c r="J131" s="178">
        <v>0</v>
      </c>
      <c r="K131" s="193">
        <v>699.02</v>
      </c>
      <c r="L131" s="193">
        <v>0</v>
      </c>
    </row>
    <row r="132">
      <c r="A132" s="270" t="s">
        <v>20</v>
      </c>
      <c r="B132" s="75" t="s">
        <v>489</v>
      </c>
      <c r="C132" s="193">
        <v>0</v>
      </c>
      <c r="D132" s="193">
        <v>0</v>
      </c>
      <c r="E132" s="178">
        <v>0</v>
      </c>
      <c r="F132" s="178">
        <v>0</v>
      </c>
      <c r="G132" s="193">
        <v>352.15</v>
      </c>
      <c r="H132" s="178">
        <v>0</v>
      </c>
      <c r="I132" s="193">
        <v>352.15</v>
      </c>
      <c r="J132" s="178">
        <v>0</v>
      </c>
      <c r="K132" s="193">
        <v>352.15</v>
      </c>
      <c r="L132" s="193">
        <v>0</v>
      </c>
    </row>
    <row r="133">
      <c r="A133" s="270" t="s">
        <v>29</v>
      </c>
      <c r="B133" s="75" t="s">
        <v>756</v>
      </c>
      <c r="C133" s="193">
        <v>0</v>
      </c>
      <c r="D133" s="193">
        <v>0</v>
      </c>
      <c r="E133" s="193">
        <v>4083.47</v>
      </c>
      <c r="F133" s="178">
        <v>0</v>
      </c>
      <c r="G133" s="178">
        <v>0</v>
      </c>
      <c r="H133" s="178">
        <v>0</v>
      </c>
      <c r="I133" s="193">
        <v>4083.47</v>
      </c>
      <c r="J133" s="178">
        <v>0</v>
      </c>
      <c r="K133" s="193">
        <v>4083.47</v>
      </c>
      <c r="L133" s="193">
        <v>0</v>
      </c>
    </row>
    <row r="134">
      <c r="A134" s="270" t="s">
        <v>5</v>
      </c>
      <c r="B134" s="75" t="s">
        <v>1051</v>
      </c>
      <c r="C134" s="193">
        <v>0</v>
      </c>
      <c r="D134" s="193">
        <v>0</v>
      </c>
      <c r="E134" s="193">
        <v>2521.37</v>
      </c>
      <c r="F134" s="178">
        <v>0</v>
      </c>
      <c r="G134" s="178">
        <v>0</v>
      </c>
      <c r="H134" s="178">
        <v>0</v>
      </c>
      <c r="I134" s="193">
        <v>2521.37</v>
      </c>
      <c r="J134" s="178">
        <v>0</v>
      </c>
      <c r="K134" s="193">
        <v>2521.37</v>
      </c>
      <c r="L134" s="193">
        <v>0</v>
      </c>
    </row>
    <row r="135">
      <c r="A135" s="270" t="s">
        <v>819</v>
      </c>
      <c r="B135" s="75" t="s">
        <v>414</v>
      </c>
      <c r="C135" s="193">
        <v>0</v>
      </c>
      <c r="D135" s="193">
        <v>0</v>
      </c>
      <c r="E135" s="193">
        <v>3968.79</v>
      </c>
      <c r="F135" s="178">
        <v>0</v>
      </c>
      <c r="G135" s="193">
        <v>21</v>
      </c>
      <c r="H135" s="178">
        <v>0</v>
      </c>
      <c r="I135" s="193">
        <v>3989.79</v>
      </c>
      <c r="J135" s="178">
        <v>0</v>
      </c>
      <c r="K135" s="193">
        <v>3989.79</v>
      </c>
      <c r="L135" s="193">
        <v>0</v>
      </c>
    </row>
    <row r="136">
      <c r="A136" s="270" t="s">
        <v>664</v>
      </c>
      <c r="B136" s="75" t="s">
        <v>2</v>
      </c>
      <c r="C136" s="193">
        <v>0</v>
      </c>
      <c r="D136" s="193">
        <v>0</v>
      </c>
      <c r="E136" s="193">
        <v>520.77</v>
      </c>
      <c r="F136" s="178">
        <v>0</v>
      </c>
      <c r="G136" s="178">
        <v>0</v>
      </c>
      <c r="H136" s="178">
        <v>0</v>
      </c>
      <c r="I136" s="193">
        <v>520.77</v>
      </c>
      <c r="J136" s="178">
        <v>0</v>
      </c>
      <c r="K136" s="193">
        <v>520.77</v>
      </c>
      <c r="L136" s="193">
        <v>0</v>
      </c>
    </row>
    <row r="137">
      <c r="A137" s="270" t="s">
        <v>686</v>
      </c>
      <c r="B137" s="75" t="s">
        <v>1117</v>
      </c>
      <c r="C137" s="193">
        <v>0</v>
      </c>
      <c r="D137" s="193">
        <v>0</v>
      </c>
      <c r="E137" s="193">
        <v>467.79</v>
      </c>
      <c r="F137" s="178">
        <v>0</v>
      </c>
      <c r="G137" s="193">
        <v>20</v>
      </c>
      <c r="H137" s="178">
        <v>0</v>
      </c>
      <c r="I137" s="193">
        <v>487.79</v>
      </c>
      <c r="J137" s="178">
        <v>0</v>
      </c>
      <c r="K137" s="193">
        <v>487.79</v>
      </c>
      <c r="L137" s="193">
        <v>0</v>
      </c>
    </row>
    <row r="138">
      <c r="A138" s="270" t="s">
        <v>415</v>
      </c>
      <c r="B138" s="75" t="s">
        <v>308</v>
      </c>
      <c r="C138" s="193">
        <v>0</v>
      </c>
      <c r="D138" s="193">
        <v>0</v>
      </c>
      <c r="E138" s="193">
        <v>48.08</v>
      </c>
      <c r="F138" s="178">
        <v>0</v>
      </c>
      <c r="G138" s="193">
        <v>1.39</v>
      </c>
      <c r="H138" s="178">
        <v>0</v>
      </c>
      <c r="I138" s="193">
        <v>49.47</v>
      </c>
      <c r="J138" s="178">
        <v>0</v>
      </c>
      <c r="K138" s="193">
        <v>49.47</v>
      </c>
      <c r="L138" s="193">
        <v>0</v>
      </c>
    </row>
    <row r="139">
      <c r="A139" s="270" t="s">
        <v>782</v>
      </c>
      <c r="B139" s="75" t="s">
        <v>1147</v>
      </c>
      <c r="C139" s="193">
        <v>0</v>
      </c>
      <c r="D139" s="193">
        <v>0</v>
      </c>
      <c r="E139" s="193">
        <v>127.82</v>
      </c>
      <c r="F139" s="178">
        <v>0</v>
      </c>
      <c r="G139" s="178">
        <v>0</v>
      </c>
      <c r="H139" s="178">
        <v>0</v>
      </c>
      <c r="I139" s="193">
        <v>127.82</v>
      </c>
      <c r="J139" s="178">
        <v>0</v>
      </c>
      <c r="K139" s="193">
        <v>127.82</v>
      </c>
      <c r="L139" s="193">
        <v>0</v>
      </c>
    </row>
    <row r="140">
      <c r="A140" s="270" t="s">
        <v>616</v>
      </c>
      <c r="B140" s="75" t="s">
        <v>1251</v>
      </c>
      <c r="C140" s="193">
        <v>0</v>
      </c>
      <c r="D140" s="193">
        <v>0</v>
      </c>
      <c r="E140" s="193">
        <v>6817.77</v>
      </c>
      <c r="F140" s="178">
        <v>0</v>
      </c>
      <c r="G140" s="193">
        <v>1316.36</v>
      </c>
      <c r="H140" s="178">
        <v>0</v>
      </c>
      <c r="I140" s="193">
        <v>8134.13</v>
      </c>
      <c r="J140" s="178">
        <v>0</v>
      </c>
      <c r="K140" s="193">
        <v>8134.13</v>
      </c>
      <c r="L140" s="193">
        <v>0</v>
      </c>
    </row>
    <row r="141">
      <c r="A141" s="270" t="s">
        <v>904</v>
      </c>
      <c r="B141" s="75" t="s">
        <v>956</v>
      </c>
      <c r="C141" s="193">
        <v>0</v>
      </c>
      <c r="D141" s="193">
        <v>0</v>
      </c>
      <c r="E141" s="193">
        <v>14972.72</v>
      </c>
      <c r="F141" s="178">
        <v>0</v>
      </c>
      <c r="G141" s="193">
        <v>1450.5</v>
      </c>
      <c r="H141" s="178">
        <v>0</v>
      </c>
      <c r="I141" s="193">
        <v>16423.22</v>
      </c>
      <c r="J141" s="178">
        <v>0</v>
      </c>
      <c r="K141" s="193">
        <v>16423.22</v>
      </c>
      <c r="L141" s="193">
        <v>0</v>
      </c>
    </row>
    <row r="142">
      <c r="A142" s="270" t="s">
        <v>681</v>
      </c>
      <c r="B142" s="75" t="s">
        <v>1019</v>
      </c>
      <c r="C142" s="193">
        <v>0</v>
      </c>
      <c r="D142" s="193">
        <v>0</v>
      </c>
      <c r="E142" s="193">
        <v>770.57</v>
      </c>
      <c r="F142" s="178">
        <v>0</v>
      </c>
      <c r="G142" s="193">
        <v>66.78</v>
      </c>
      <c r="H142" s="178">
        <v>0</v>
      </c>
      <c r="I142" s="193">
        <v>837.35</v>
      </c>
      <c r="J142" s="178">
        <v>0</v>
      </c>
      <c r="K142" s="193">
        <v>837.35</v>
      </c>
      <c r="L142" s="193">
        <v>0</v>
      </c>
    </row>
    <row r="143">
      <c r="A143" s="270" t="s">
        <v>99</v>
      </c>
      <c r="B143" s="75" t="s">
        <v>189</v>
      </c>
      <c r="C143" s="193">
        <v>0</v>
      </c>
      <c r="D143" s="193">
        <v>0</v>
      </c>
      <c r="E143" s="193">
        <v>1523.77</v>
      </c>
      <c r="F143" s="178">
        <v>0</v>
      </c>
      <c r="G143" s="193">
        <v>54</v>
      </c>
      <c r="H143" s="178">
        <v>0</v>
      </c>
      <c r="I143" s="193">
        <v>1577.77</v>
      </c>
      <c r="J143" s="178">
        <v>0</v>
      </c>
      <c r="K143" s="193">
        <v>1577.77</v>
      </c>
      <c r="L143" s="193">
        <v>0</v>
      </c>
    </row>
    <row r="144">
      <c r="A144" s="270" t="s">
        <v>1294</v>
      </c>
      <c r="B144" s="75" t="s">
        <v>1076</v>
      </c>
      <c r="C144" s="193">
        <v>0</v>
      </c>
      <c r="D144" s="193">
        <v>0</v>
      </c>
      <c r="E144" s="193">
        <v>3507.92</v>
      </c>
      <c r="F144" s="178">
        <v>0</v>
      </c>
      <c r="G144" s="193">
        <v>20.49</v>
      </c>
      <c r="H144" s="178">
        <v>0</v>
      </c>
      <c r="I144" s="193">
        <v>3528.41</v>
      </c>
      <c r="J144" s="178">
        <v>0</v>
      </c>
      <c r="K144" s="193">
        <v>3528.41</v>
      </c>
      <c r="L144" s="193">
        <v>0</v>
      </c>
    </row>
    <row r="145">
      <c r="A145" s="270" t="s">
        <v>1112</v>
      </c>
      <c r="B145" s="75" t="s">
        <v>914</v>
      </c>
      <c r="C145" s="178">
        <v>0</v>
      </c>
      <c r="D145" s="178">
        <v>0</v>
      </c>
      <c r="E145" s="178">
        <v>0</v>
      </c>
      <c r="F145" s="178">
        <v>0</v>
      </c>
      <c r="G145" s="193">
        <v>9717.3</v>
      </c>
      <c r="H145" s="178">
        <v>0</v>
      </c>
      <c r="I145" s="193">
        <v>9717.3</v>
      </c>
      <c r="J145" s="178">
        <v>0</v>
      </c>
      <c r="K145" s="193">
        <v>9717.3</v>
      </c>
      <c r="L145" s="193">
        <v>0</v>
      </c>
    </row>
    <row r="146">
      <c r="A146" s="270" t="s">
        <v>1236</v>
      </c>
      <c r="B146" s="75" t="s">
        <v>364</v>
      </c>
      <c r="C146" s="193">
        <v>0</v>
      </c>
      <c r="D146" s="193">
        <v>0</v>
      </c>
      <c r="E146" s="178">
        <v>0</v>
      </c>
      <c r="F146" s="193">
        <v>30000</v>
      </c>
      <c r="G146" s="178">
        <v>0</v>
      </c>
      <c r="H146" s="178">
        <v>0</v>
      </c>
      <c r="I146" s="178">
        <v>0</v>
      </c>
      <c r="J146" s="193">
        <v>30000</v>
      </c>
      <c r="K146" s="193">
        <v>0</v>
      </c>
      <c r="L146" s="193">
        <v>30000</v>
      </c>
    </row>
    <row r="147">
      <c r="A147" s="270" t="s">
        <v>750</v>
      </c>
      <c r="B147" s="75" t="s">
        <v>49</v>
      </c>
      <c r="C147" s="193">
        <v>0</v>
      </c>
      <c r="D147" s="193">
        <v>0</v>
      </c>
      <c r="E147" s="178">
        <v>0</v>
      </c>
      <c r="F147" s="193">
        <v>215124.87</v>
      </c>
      <c r="G147" s="178">
        <v>0</v>
      </c>
      <c r="H147" s="193">
        <v>1027.42</v>
      </c>
      <c r="I147" s="178">
        <v>0</v>
      </c>
      <c r="J147" s="193">
        <v>216152.29</v>
      </c>
      <c r="K147" s="193">
        <v>0</v>
      </c>
      <c r="L147" s="193">
        <v>216152.29</v>
      </c>
    </row>
    <row r="148">
      <c r="A148" s="270" t="s">
        <v>306</v>
      </c>
      <c r="B148" s="75" t="s">
        <v>18</v>
      </c>
      <c r="C148" s="193">
        <v>0</v>
      </c>
      <c r="D148" s="193">
        <v>0</v>
      </c>
      <c r="E148" s="178">
        <v>0</v>
      </c>
      <c r="F148" s="193">
        <v>74821.92</v>
      </c>
      <c r="G148" s="178">
        <v>0</v>
      </c>
      <c r="H148" s="193">
        <v>48.16</v>
      </c>
      <c r="I148" s="178">
        <v>0</v>
      </c>
      <c r="J148" s="193">
        <v>74870.08</v>
      </c>
      <c r="K148" s="193">
        <v>0</v>
      </c>
      <c r="L148" s="193">
        <v>74870.08</v>
      </c>
    </row>
    <row r="149">
      <c r="A149" s="270" t="s">
        <v>1222</v>
      </c>
      <c r="B149" s="75" t="s">
        <v>1370</v>
      </c>
      <c r="C149" s="193">
        <v>0</v>
      </c>
      <c r="D149" s="193">
        <v>0</v>
      </c>
      <c r="E149" s="178">
        <v>0</v>
      </c>
      <c r="F149" s="193">
        <v>115887.08</v>
      </c>
      <c r="G149" s="178">
        <v>0</v>
      </c>
      <c r="H149" s="193">
        <v>7327.56</v>
      </c>
      <c r="I149" s="178">
        <v>0</v>
      </c>
      <c r="J149" s="193">
        <v>123214.64</v>
      </c>
      <c r="K149" s="193">
        <v>0</v>
      </c>
      <c r="L149" s="193">
        <v>123214.64</v>
      </c>
    </row>
    <row r="150">
      <c r="A150" s="270" t="s">
        <v>233</v>
      </c>
      <c r="B150" s="75" t="s">
        <v>1072</v>
      </c>
      <c r="C150" s="193">
        <v>0</v>
      </c>
      <c r="D150" s="193">
        <v>0</v>
      </c>
      <c r="E150" s="178">
        <v>0</v>
      </c>
      <c r="F150" s="193">
        <v>22342.93</v>
      </c>
      <c r="G150" s="178">
        <v>0</v>
      </c>
      <c r="H150" s="193">
        <v>40.17</v>
      </c>
      <c r="I150" s="178">
        <v>0</v>
      </c>
      <c r="J150" s="193">
        <v>22383.1</v>
      </c>
      <c r="K150" s="193">
        <v>0</v>
      </c>
      <c r="L150" s="193">
        <v>22383.1</v>
      </c>
    </row>
    <row r="151">
      <c r="A151" s="270" t="s">
        <v>510</v>
      </c>
      <c r="B151" s="75" t="s">
        <v>554</v>
      </c>
      <c r="C151" s="193">
        <v>0</v>
      </c>
      <c r="D151" s="193">
        <v>0</v>
      </c>
      <c r="E151" s="178">
        <v>0</v>
      </c>
      <c r="F151" s="193">
        <v>28261.89</v>
      </c>
      <c r="G151" s="178">
        <v>0</v>
      </c>
      <c r="H151" s="193">
        <v>67.02</v>
      </c>
      <c r="I151" s="178">
        <v>0</v>
      </c>
      <c r="J151" s="193">
        <v>28328.91</v>
      </c>
      <c r="K151" s="193">
        <v>0</v>
      </c>
      <c r="L151" s="193">
        <v>28328.91</v>
      </c>
    </row>
    <row r="152">
      <c r="A152" s="270" t="s">
        <v>933</v>
      </c>
      <c r="B152" s="75" t="s">
        <v>154</v>
      </c>
      <c r="C152" s="193">
        <v>0</v>
      </c>
      <c r="D152" s="193">
        <v>0</v>
      </c>
      <c r="E152" s="178">
        <v>0</v>
      </c>
      <c r="F152" s="193">
        <v>38315.41</v>
      </c>
      <c r="G152" s="178">
        <v>0</v>
      </c>
      <c r="H152" s="178">
        <v>0</v>
      </c>
      <c r="I152" s="178">
        <v>0</v>
      </c>
      <c r="J152" s="193">
        <v>38315.41</v>
      </c>
      <c r="K152" s="193">
        <v>0</v>
      </c>
      <c r="L152" s="193">
        <v>38315.41</v>
      </c>
    </row>
    <row r="153">
      <c r="A153" s="270" t="s">
        <v>1172</v>
      </c>
      <c r="B153" s="75" t="s">
        <v>557</v>
      </c>
      <c r="C153" s="193">
        <v>0</v>
      </c>
      <c r="D153" s="193">
        <v>0</v>
      </c>
      <c r="E153" s="178">
        <v>0</v>
      </c>
      <c r="F153" s="193">
        <v>89.17</v>
      </c>
      <c r="G153" s="178">
        <v>0</v>
      </c>
      <c r="H153" s="178">
        <v>0</v>
      </c>
      <c r="I153" s="178">
        <v>0</v>
      </c>
      <c r="J153" s="193">
        <v>89.17</v>
      </c>
      <c r="K153" s="193">
        <v>0</v>
      </c>
      <c r="L153" s="193">
        <v>89.17</v>
      </c>
    </row>
    <row r="154">
      <c r="A154" s="270" t="s">
        <v>1255</v>
      </c>
      <c r="B154" s="75" t="s">
        <v>726</v>
      </c>
      <c r="C154" s="193">
        <v>0</v>
      </c>
      <c r="D154" s="193">
        <v>0</v>
      </c>
      <c r="E154" s="178">
        <v>0</v>
      </c>
      <c r="F154" s="193">
        <v>3405.08</v>
      </c>
      <c r="G154" s="178">
        <v>0</v>
      </c>
      <c r="H154" s="193">
        <v>1666.67</v>
      </c>
      <c r="I154" s="178">
        <v>0</v>
      </c>
      <c r="J154" s="193">
        <v>5071.75</v>
      </c>
      <c r="K154" s="193">
        <v>0</v>
      </c>
      <c r="L154" s="193">
        <v>5071.75</v>
      </c>
    </row>
    <row r="155">
      <c r="A155" s="270" t="s">
        <v>973</v>
      </c>
      <c r="B155" s="75" t="s">
        <v>1340</v>
      </c>
      <c r="C155" s="193">
        <v>0</v>
      </c>
      <c r="D155" s="193">
        <v>0</v>
      </c>
      <c r="E155" s="178">
        <v>0</v>
      </c>
      <c r="F155" s="193">
        <v>6097.96</v>
      </c>
      <c r="G155" s="178">
        <v>0</v>
      </c>
      <c r="H155" s="193">
        <v>225.75</v>
      </c>
      <c r="I155" s="178">
        <v>0</v>
      </c>
      <c r="J155" s="193">
        <v>6323.71</v>
      </c>
      <c r="K155" s="193">
        <v>0</v>
      </c>
      <c r="L155" s="193">
        <v>6323.71</v>
      </c>
    </row>
    <row r="156">
      <c r="A156" s="270" t="s">
        <v>1272</v>
      </c>
      <c r="B156" s="75" t="s">
        <v>366</v>
      </c>
      <c r="C156" s="193">
        <v>0</v>
      </c>
      <c r="D156" s="193">
        <v>0</v>
      </c>
      <c r="E156" s="178">
        <v>0</v>
      </c>
      <c r="F156" s="193">
        <v>26636.83</v>
      </c>
      <c r="G156" s="178">
        <v>0</v>
      </c>
      <c r="H156" s="178">
        <v>0</v>
      </c>
      <c r="I156" s="178">
        <v>0</v>
      </c>
      <c r="J156" s="193">
        <v>26636.83</v>
      </c>
      <c r="K156" s="193">
        <v>0</v>
      </c>
      <c r="L156" s="193">
        <v>26636.83</v>
      </c>
    </row>
    <row r="157">
      <c r="A157" s="270" t="s">
        <v>1283</v>
      </c>
      <c r="B157" s="75" t="s">
        <v>1305</v>
      </c>
      <c r="C157" s="193">
        <v>0</v>
      </c>
      <c r="D157" s="193">
        <v>0</v>
      </c>
      <c r="E157" s="178">
        <v>0</v>
      </c>
      <c r="F157" s="193">
        <v>1147.77</v>
      </c>
      <c r="G157" s="178">
        <v>0</v>
      </c>
      <c r="H157" s="178">
        <v>0</v>
      </c>
      <c r="I157" s="178">
        <v>0</v>
      </c>
      <c r="J157" s="193">
        <v>1147.77</v>
      </c>
      <c r="K157" s="193">
        <v>0</v>
      </c>
      <c r="L157" s="193">
        <v>1147.77</v>
      </c>
    </row>
    <row r="158">
      <c r="A158" s="270" t="s">
        <v>1167</v>
      </c>
      <c r="B158" s="75" t="s">
        <v>52</v>
      </c>
      <c r="C158" s="193">
        <v>0</v>
      </c>
      <c r="D158" s="193">
        <v>0</v>
      </c>
      <c r="E158" s="178">
        <v>0</v>
      </c>
      <c r="F158" s="193">
        <v>5</v>
      </c>
      <c r="G158" s="178">
        <v>0</v>
      </c>
      <c r="H158" s="178">
        <v>0</v>
      </c>
      <c r="I158" s="178">
        <v>0</v>
      </c>
      <c r="J158" s="193">
        <v>5</v>
      </c>
      <c r="K158" s="193">
        <v>0</v>
      </c>
      <c r="L158" s="193">
        <v>5</v>
      </c>
    </row>
    <row r="159">
      <c r="A159" s="270" t="s">
        <v>1355</v>
      </c>
      <c r="B159" s="75" t="s">
        <v>349</v>
      </c>
      <c r="C159" s="193">
        <v>0</v>
      </c>
      <c r="D159" s="193">
        <v>0</v>
      </c>
      <c r="E159" s="178">
        <v>0</v>
      </c>
      <c r="F159" s="193">
        <v>14385.04</v>
      </c>
      <c r="G159" s="178">
        <v>0</v>
      </c>
      <c r="H159" s="193">
        <v>-99.13</v>
      </c>
      <c r="I159" s="178">
        <v>0</v>
      </c>
      <c r="J159" s="193">
        <v>14285.91</v>
      </c>
      <c r="K159" s="193">
        <v>0</v>
      </c>
      <c r="L159" s="193">
        <v>14285.91</v>
      </c>
    </row>
    <row r="160">
      <c r="A160" s="270" t="s">
        <v>612</v>
      </c>
      <c r="B160" s="75" t="s">
        <v>833</v>
      </c>
      <c r="C160" s="193">
        <v>0</v>
      </c>
      <c r="D160" s="193">
        <v>0</v>
      </c>
      <c r="E160" s="178">
        <v>0</v>
      </c>
      <c r="F160" s="193">
        <v>0.17</v>
      </c>
      <c r="G160" s="178">
        <v>0</v>
      </c>
      <c r="H160" s="178">
        <v>0</v>
      </c>
      <c r="I160" s="178">
        <v>0</v>
      </c>
      <c r="J160" s="193">
        <v>0.17</v>
      </c>
      <c r="K160" s="193">
        <v>0</v>
      </c>
      <c r="L160" s="193">
        <v>0.17</v>
      </c>
    </row>
    <row r="161">
      <c r="A161" s="270" t="s">
        <v>469</v>
      </c>
      <c r="B161" s="75" t="s">
        <v>1196</v>
      </c>
      <c r="C161" s="193">
        <v>0</v>
      </c>
      <c r="D161" s="193">
        <v>0</v>
      </c>
      <c r="E161" s="178">
        <v>0</v>
      </c>
      <c r="F161" s="193">
        <v>3788.77</v>
      </c>
      <c r="G161" s="178">
        <v>0</v>
      </c>
      <c r="H161" s="193">
        <v>11.25</v>
      </c>
      <c r="I161" s="178">
        <v>0</v>
      </c>
      <c r="J161" s="193">
        <v>3800.02</v>
      </c>
      <c r="K161" s="193">
        <v>0</v>
      </c>
      <c r="L161" s="193">
        <v>3800.02</v>
      </c>
    </row>
    <row r="162">
      <c r="A162" s="270" t="s">
        <v>416</v>
      </c>
      <c r="B162" s="75" t="s">
        <v>599</v>
      </c>
      <c r="C162" s="193">
        <v>0</v>
      </c>
      <c r="D162" s="193">
        <v>0</v>
      </c>
      <c r="E162" s="178">
        <v>0</v>
      </c>
      <c r="F162" s="193">
        <v>13797.75</v>
      </c>
      <c r="G162" s="178">
        <v>0</v>
      </c>
      <c r="H162" s="193">
        <v>660.8</v>
      </c>
      <c r="I162" s="178">
        <v>0</v>
      </c>
      <c r="J162" s="193">
        <v>14458.55</v>
      </c>
      <c r="K162" s="193">
        <v>0</v>
      </c>
      <c r="L162" s="193">
        <v>14458.55</v>
      </c>
    </row>
    <row r="163">
      <c r="A163" s="270" t="s">
        <v>529</v>
      </c>
      <c r="B163" s="75" t="s">
        <v>814</v>
      </c>
      <c r="C163" s="193">
        <v>0</v>
      </c>
      <c r="D163" s="193">
        <v>0</v>
      </c>
      <c r="E163" s="178">
        <v>0</v>
      </c>
      <c r="F163" s="193">
        <v>198.86</v>
      </c>
      <c r="G163" s="178">
        <v>0</v>
      </c>
      <c r="H163" s="193">
        <v>10.32</v>
      </c>
      <c r="I163" s="178">
        <v>0</v>
      </c>
      <c r="J163" s="193">
        <v>209.18</v>
      </c>
      <c r="K163" s="193">
        <v>0</v>
      </c>
      <c r="L163" s="193">
        <v>209.18</v>
      </c>
    </row>
    <row r="164">
      <c r="A164" s="270" t="s">
        <v>689</v>
      </c>
      <c r="B164" s="75" t="s">
        <v>1235</v>
      </c>
      <c r="C164" s="193">
        <v>0</v>
      </c>
      <c r="D164" s="193">
        <v>0</v>
      </c>
      <c r="E164" s="178">
        <v>0</v>
      </c>
      <c r="F164" s="193">
        <v>80326.01</v>
      </c>
      <c r="G164" s="178">
        <v>0</v>
      </c>
      <c r="H164" s="193">
        <v>6452.86</v>
      </c>
      <c r="I164" s="178">
        <v>0</v>
      </c>
      <c r="J164" s="193">
        <v>86778.87</v>
      </c>
      <c r="K164" s="193">
        <v>0</v>
      </c>
      <c r="L164" s="193">
        <v>86778.87</v>
      </c>
    </row>
    <row r="165">
      <c r="A165" s="270" t="s">
        <v>549</v>
      </c>
      <c r="B165" s="75" t="s">
        <v>1235</v>
      </c>
      <c r="C165" s="193">
        <v>0</v>
      </c>
      <c r="D165" s="193">
        <v>0</v>
      </c>
      <c r="E165" s="178">
        <v>0</v>
      </c>
      <c r="F165" s="193">
        <v>9244.9</v>
      </c>
      <c r="G165" s="178">
        <v>0</v>
      </c>
      <c r="H165" s="193">
        <v>29296.77</v>
      </c>
      <c r="I165" s="178">
        <v>0</v>
      </c>
      <c r="J165" s="193">
        <v>38541.67</v>
      </c>
      <c r="K165" s="193">
        <v>0</v>
      </c>
      <c r="L165" s="193">
        <v>38541.67</v>
      </c>
    </row>
    <row r="166">
      <c r="A166" s="270" t="s">
        <v>502</v>
      </c>
      <c r="B166" s="75" t="s">
        <v>1204</v>
      </c>
      <c r="C166" s="193">
        <v>0</v>
      </c>
      <c r="D166" s="193">
        <v>0</v>
      </c>
      <c r="E166" s="178">
        <v>0</v>
      </c>
      <c r="F166" s="193">
        <v>2.88</v>
      </c>
      <c r="G166" s="178">
        <v>0</v>
      </c>
      <c r="H166" s="178">
        <v>0</v>
      </c>
      <c r="I166" s="178">
        <v>0</v>
      </c>
      <c r="J166" s="193">
        <v>2.88</v>
      </c>
      <c r="K166" s="193">
        <v>0</v>
      </c>
      <c r="L166" s="193">
        <v>2.88</v>
      </c>
    </row>
    <row r="167">
      <c r="A167" s="270" t="s">
        <v>1300</v>
      </c>
      <c r="B167" s="75" t="s">
        <v>1254</v>
      </c>
      <c r="C167" s="178">
        <v>0</v>
      </c>
      <c r="D167" s="178">
        <v>0</v>
      </c>
      <c r="E167" s="178">
        <v>0</v>
      </c>
      <c r="F167" s="178">
        <v>0</v>
      </c>
      <c r="G167" s="178">
        <v>0</v>
      </c>
      <c r="H167" s="193">
        <v>70504.39</v>
      </c>
      <c r="I167" s="178">
        <v>0</v>
      </c>
      <c r="J167" s="193">
        <v>70504.39</v>
      </c>
      <c r="K167" s="193">
        <v>0</v>
      </c>
      <c r="L167" s="193">
        <v>70504.39</v>
      </c>
    </row>
    <row r="168">
      <c r="A168" s="270" t="s">
        <v>256</v>
      </c>
      <c r="B168" s="75" t="s">
        <v>645</v>
      </c>
      <c r="C168" s="193">
        <v>0</v>
      </c>
      <c r="D168" s="193">
        <v>0</v>
      </c>
      <c r="E168" s="178">
        <v>0</v>
      </c>
      <c r="F168" s="193">
        <v>10.81</v>
      </c>
      <c r="G168" s="178">
        <v>0</v>
      </c>
      <c r="H168" s="178">
        <v>0</v>
      </c>
      <c r="I168" s="178">
        <v>0</v>
      </c>
      <c r="J168" s="193">
        <v>10.81</v>
      </c>
      <c r="K168" s="193">
        <v>0</v>
      </c>
      <c r="L168" s="193">
        <v>10.81</v>
      </c>
    </row>
    <row r="169">
      <c r="A169" s="270" t="s">
        <v>61</v>
      </c>
      <c r="B169" s="75" t="s">
        <v>1372</v>
      </c>
      <c r="C169" s="193">
        <v>0</v>
      </c>
      <c r="D169" s="193">
        <v>0</v>
      </c>
      <c r="E169" s="178">
        <v>0</v>
      </c>
      <c r="F169" s="178">
        <v>0</v>
      </c>
      <c r="G169" s="178">
        <v>0</v>
      </c>
      <c r="H169" s="178">
        <v>0</v>
      </c>
      <c r="I169" s="193">
        <v>1330782.86</v>
      </c>
      <c r="J169" s="193">
        <v>1330782.86</v>
      </c>
      <c r="K169" s="193">
        <v>0</v>
      </c>
      <c r="L169" s="193">
        <v>0</v>
      </c>
    </row>
  </sheetData>
  <sheetCalcPr fullCalcOnLoad="1"/>
  <printOptions/>
  <pageMargins left="0.7" right="0.7" top="0.75" bottom="0.75" header="0.3" footer="0.3"/>
</worksheet>
</file>

<file path=xl/worksheets/sheet44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593</v>
      </c>
      <c r="B1" s="11" t="s">
        <v>1130</v>
      </c>
      <c r="C1" s="173" t="s">
        <v>321</v>
      </c>
      <c r="D1" s="173" t="s">
        <v>717</v>
      </c>
      <c r="E1" s="173" t="s">
        <v>644</v>
      </c>
      <c r="F1" s="173" t="s">
        <v>372</v>
      </c>
      <c r="G1" s="173" t="s">
        <v>742</v>
      </c>
      <c r="H1" s="173" t="s">
        <v>707</v>
      </c>
      <c r="I1" s="173" t="s">
        <v>1145</v>
      </c>
      <c r="J1" s="173" t="s">
        <v>1351</v>
      </c>
      <c r="K1" s="173" t="s">
        <v>1275</v>
      </c>
      <c r="L1" s="173" t="s">
        <v>298</v>
      </c>
    </row>
    <row r="2">
      <c r="A2" s="240" t="s">
        <v>374</v>
      </c>
      <c r="B2" s="113" t="s">
        <v>937</v>
      </c>
      <c r="C2" s="158">
        <v>7957.68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7957.68</v>
      </c>
      <c r="L2" s="158">
        <v>0</v>
      </c>
    </row>
    <row r="3">
      <c r="A3" s="240" t="s">
        <v>1369</v>
      </c>
      <c r="B3" s="113" t="s">
        <v>177</v>
      </c>
      <c r="C3" s="158">
        <v>252901.07</v>
      </c>
      <c r="D3" s="158">
        <v>0</v>
      </c>
      <c r="E3" s="158">
        <v>0</v>
      </c>
      <c r="F3" s="158">
        <v>0</v>
      </c>
      <c r="G3" s="158">
        <v>0</v>
      </c>
      <c r="H3" s="158">
        <v>0</v>
      </c>
      <c r="I3" s="158">
        <v>0</v>
      </c>
      <c r="J3" s="158">
        <v>0</v>
      </c>
      <c r="K3" s="158">
        <v>252901.07</v>
      </c>
      <c r="L3" s="158">
        <v>0</v>
      </c>
    </row>
    <row r="4">
      <c r="A4" s="240" t="s">
        <v>974</v>
      </c>
      <c r="B4" s="113" t="s">
        <v>1127</v>
      </c>
      <c r="C4" s="158">
        <v>146152.91</v>
      </c>
      <c r="D4" s="158">
        <v>0</v>
      </c>
      <c r="E4" s="158">
        <v>15233.33</v>
      </c>
      <c r="F4" s="158">
        <v>0</v>
      </c>
      <c r="G4" s="158">
        <v>0</v>
      </c>
      <c r="H4" s="158">
        <v>0</v>
      </c>
      <c r="I4" s="158">
        <v>15233.33</v>
      </c>
      <c r="J4" s="158">
        <v>0</v>
      </c>
      <c r="K4" s="158">
        <v>161386.24</v>
      </c>
      <c r="L4" s="158">
        <v>0</v>
      </c>
    </row>
    <row r="5">
      <c r="A5" s="240" t="s">
        <v>592</v>
      </c>
      <c r="B5" s="113" t="s">
        <v>558</v>
      </c>
      <c r="C5" s="158">
        <v>6399.38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8">
        <v>6399.38</v>
      </c>
      <c r="L5" s="158">
        <v>0</v>
      </c>
    </row>
    <row r="6">
      <c r="A6" s="240" t="s">
        <v>845</v>
      </c>
      <c r="B6" s="113" t="s">
        <v>1121</v>
      </c>
      <c r="C6" s="158">
        <v>30163</v>
      </c>
      <c r="D6" s="158">
        <v>0</v>
      </c>
      <c r="E6" s="158">
        <v>0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8">
        <v>30163</v>
      </c>
      <c r="L6" s="158">
        <v>0</v>
      </c>
    </row>
    <row r="7">
      <c r="A7" s="240" t="s">
        <v>743</v>
      </c>
      <c r="B7" s="113" t="s">
        <v>826</v>
      </c>
      <c r="C7" s="158">
        <v>53527.24</v>
      </c>
      <c r="D7" s="158">
        <v>0</v>
      </c>
      <c r="E7" s="158">
        <v>15233.33</v>
      </c>
      <c r="F7" s="158">
        <v>15233.33</v>
      </c>
      <c r="G7" s="158">
        <v>0</v>
      </c>
      <c r="H7" s="158">
        <v>0</v>
      </c>
      <c r="I7" s="158">
        <v>15233.33</v>
      </c>
      <c r="J7" s="158">
        <v>15233.33</v>
      </c>
      <c r="K7" s="158">
        <v>53527.24</v>
      </c>
      <c r="L7" s="158">
        <v>0</v>
      </c>
    </row>
    <row r="8">
      <c r="A8" s="240" t="s">
        <v>772</v>
      </c>
      <c r="B8" s="113" t="s">
        <v>146</v>
      </c>
      <c r="C8" s="158">
        <v>0</v>
      </c>
      <c r="D8" s="158">
        <v>7957.68</v>
      </c>
      <c r="E8" s="158">
        <v>0</v>
      </c>
      <c r="F8" s="158">
        <v>0</v>
      </c>
      <c r="G8" s="158">
        <v>0</v>
      </c>
      <c r="H8" s="158">
        <v>0</v>
      </c>
      <c r="I8" s="158">
        <v>0</v>
      </c>
      <c r="J8" s="158">
        <v>0</v>
      </c>
      <c r="K8" s="158">
        <v>0</v>
      </c>
      <c r="L8" s="158">
        <v>7957.68</v>
      </c>
    </row>
    <row r="9">
      <c r="A9" s="240" t="s">
        <v>812</v>
      </c>
      <c r="B9" s="113" t="s">
        <v>881</v>
      </c>
      <c r="C9" s="158">
        <v>0</v>
      </c>
      <c r="D9" s="158">
        <v>117045.08</v>
      </c>
      <c r="E9" s="158">
        <v>0</v>
      </c>
      <c r="F9" s="158">
        <v>7914.06</v>
      </c>
      <c r="G9" s="158">
        <v>0</v>
      </c>
      <c r="H9" s="158">
        <v>719.46</v>
      </c>
      <c r="I9" s="158">
        <v>0</v>
      </c>
      <c r="J9" s="158">
        <v>8633.52</v>
      </c>
      <c r="K9" s="158">
        <v>0</v>
      </c>
      <c r="L9" s="158">
        <v>125678.6</v>
      </c>
    </row>
    <row r="10">
      <c r="A10" s="240" t="s">
        <v>886</v>
      </c>
      <c r="B10" s="113" t="s">
        <v>1284</v>
      </c>
      <c r="C10" s="158">
        <v>0</v>
      </c>
      <c r="D10" s="158">
        <v>111481.4</v>
      </c>
      <c r="E10" s="158">
        <v>0</v>
      </c>
      <c r="F10" s="158">
        <v>6977.22</v>
      </c>
      <c r="G10" s="158">
        <v>0</v>
      </c>
      <c r="H10" s="158">
        <v>731.04</v>
      </c>
      <c r="I10" s="158">
        <v>0</v>
      </c>
      <c r="J10" s="158">
        <v>7708.26</v>
      </c>
      <c r="K10" s="158">
        <v>0</v>
      </c>
      <c r="L10" s="158">
        <v>119189.66</v>
      </c>
    </row>
    <row r="11">
      <c r="A11" s="240" t="s">
        <v>811</v>
      </c>
      <c r="B11" s="113" t="s">
        <v>547</v>
      </c>
      <c r="C11" s="158">
        <v>0</v>
      </c>
      <c r="D11" s="158">
        <v>6113.74</v>
      </c>
      <c r="E11" s="158">
        <v>0</v>
      </c>
      <c r="F11" s="158">
        <v>81.44</v>
      </c>
      <c r="G11" s="158">
        <v>0</v>
      </c>
      <c r="H11" s="158">
        <v>0</v>
      </c>
      <c r="I11" s="158">
        <v>0</v>
      </c>
      <c r="J11" s="158">
        <v>81.44</v>
      </c>
      <c r="K11" s="158">
        <v>0</v>
      </c>
      <c r="L11" s="158">
        <v>6195.18</v>
      </c>
    </row>
    <row r="12">
      <c r="A12" s="240" t="s">
        <v>1081</v>
      </c>
      <c r="B12" s="113" t="s">
        <v>967</v>
      </c>
      <c r="C12" s="158">
        <v>1176.23</v>
      </c>
      <c r="D12" s="158">
        <v>0</v>
      </c>
      <c r="E12" s="158">
        <v>219290.59</v>
      </c>
      <c r="F12" s="158">
        <v>220466.82</v>
      </c>
      <c r="G12" s="158">
        <v>4756.6</v>
      </c>
      <c r="H12" s="158">
        <v>4756.6</v>
      </c>
      <c r="I12" s="158">
        <v>224047.19</v>
      </c>
      <c r="J12" s="158">
        <v>225223.42</v>
      </c>
      <c r="K12" s="158">
        <v>0</v>
      </c>
      <c r="L12" s="158">
        <v>0</v>
      </c>
    </row>
    <row r="13">
      <c r="A13" s="240" t="s">
        <v>475</v>
      </c>
      <c r="B13" s="113" t="s">
        <v>575</v>
      </c>
      <c r="C13" s="158">
        <v>15243.52</v>
      </c>
      <c r="D13" s="158">
        <v>0</v>
      </c>
      <c r="E13" s="158">
        <v>218021.56</v>
      </c>
      <c r="F13" s="158">
        <v>212874.96</v>
      </c>
      <c r="G13" s="158">
        <v>5856.11</v>
      </c>
      <c r="H13" s="158">
        <v>7906.03</v>
      </c>
      <c r="I13" s="158">
        <v>223877.67</v>
      </c>
      <c r="J13" s="158">
        <v>220780.99</v>
      </c>
      <c r="K13" s="158">
        <v>18340.2</v>
      </c>
      <c r="L13" s="158">
        <v>0</v>
      </c>
    </row>
    <row r="14">
      <c r="A14" s="240" t="s">
        <v>318</v>
      </c>
      <c r="B14" s="113" t="s">
        <v>474</v>
      </c>
      <c r="C14" s="158">
        <v>8700</v>
      </c>
      <c r="D14" s="158">
        <v>0</v>
      </c>
      <c r="E14" s="158">
        <v>0</v>
      </c>
      <c r="F14" s="158">
        <v>320</v>
      </c>
      <c r="G14" s="158">
        <v>0</v>
      </c>
      <c r="H14" s="158">
        <v>0</v>
      </c>
      <c r="I14" s="158">
        <v>0</v>
      </c>
      <c r="J14" s="158">
        <v>320</v>
      </c>
      <c r="K14" s="158">
        <v>8380</v>
      </c>
      <c r="L14" s="158">
        <v>0</v>
      </c>
    </row>
    <row r="15">
      <c r="A15" s="240" t="s">
        <v>70</v>
      </c>
      <c r="B15" s="113" t="s">
        <v>259</v>
      </c>
      <c r="C15" s="158">
        <v>5304.63</v>
      </c>
      <c r="D15" s="158">
        <v>0</v>
      </c>
      <c r="E15" s="158">
        <v>601050.21</v>
      </c>
      <c r="F15" s="158">
        <v>600281.43</v>
      </c>
      <c r="G15" s="158">
        <v>29731.67</v>
      </c>
      <c r="H15" s="158">
        <v>32213.29</v>
      </c>
      <c r="I15" s="158">
        <v>630781.88</v>
      </c>
      <c r="J15" s="158">
        <v>632494.72</v>
      </c>
      <c r="K15" s="158">
        <v>3591.79</v>
      </c>
      <c r="L15" s="158">
        <v>0</v>
      </c>
    </row>
    <row r="16">
      <c r="A16" s="240" t="s">
        <v>1155</v>
      </c>
      <c r="B16" s="113" t="s">
        <v>660</v>
      </c>
      <c r="C16" s="158">
        <v>2749.17</v>
      </c>
      <c r="D16" s="158">
        <v>0</v>
      </c>
      <c r="E16" s="158">
        <v>54913.33</v>
      </c>
      <c r="F16" s="158">
        <v>50777.75</v>
      </c>
      <c r="G16" s="158">
        <v>21100</v>
      </c>
      <c r="H16" s="158">
        <v>26829.39</v>
      </c>
      <c r="I16" s="158">
        <v>76013.33</v>
      </c>
      <c r="J16" s="158">
        <v>77607.14</v>
      </c>
      <c r="K16" s="158">
        <v>1155.36</v>
      </c>
      <c r="L16" s="158">
        <v>0</v>
      </c>
    </row>
    <row r="17">
      <c r="A17" s="240" t="s">
        <v>501</v>
      </c>
      <c r="B17" s="113" t="s">
        <v>47</v>
      </c>
      <c r="C17" s="158">
        <v>0</v>
      </c>
      <c r="D17" s="158">
        <v>32038.78</v>
      </c>
      <c r="E17" s="158">
        <v>620541.61</v>
      </c>
      <c r="F17" s="158">
        <v>574937.95</v>
      </c>
      <c r="G17" s="158">
        <v>27733.46</v>
      </c>
      <c r="H17" s="158">
        <v>59566.09</v>
      </c>
      <c r="I17" s="158">
        <v>648275.07</v>
      </c>
      <c r="J17" s="158">
        <v>634504.04</v>
      </c>
      <c r="K17" s="158">
        <v>0</v>
      </c>
      <c r="L17" s="158">
        <v>18267.75</v>
      </c>
    </row>
    <row r="18">
      <c r="A18" s="240" t="s">
        <v>79</v>
      </c>
      <c r="B18" s="113" t="s">
        <v>989</v>
      </c>
      <c r="C18" s="158">
        <v>0</v>
      </c>
      <c r="D18" s="158">
        <v>27018.07</v>
      </c>
      <c r="E18" s="158">
        <v>3859.05</v>
      </c>
      <c r="F18" s="158">
        <v>0</v>
      </c>
      <c r="G18" s="158">
        <v>0</v>
      </c>
      <c r="H18" s="158">
        <v>0</v>
      </c>
      <c r="I18" s="158">
        <v>3859.05</v>
      </c>
      <c r="J18" s="158">
        <v>0</v>
      </c>
      <c r="K18" s="158">
        <v>0</v>
      </c>
      <c r="L18" s="158">
        <v>23159.02</v>
      </c>
    </row>
    <row r="19">
      <c r="A19" s="240" t="s">
        <v>738</v>
      </c>
      <c r="B19" s="113" t="s">
        <v>320</v>
      </c>
      <c r="C19" s="158">
        <v>0</v>
      </c>
      <c r="D19" s="158">
        <v>0</v>
      </c>
      <c r="E19" s="158">
        <v>498553.54</v>
      </c>
      <c r="F19" s="158">
        <v>485284.76</v>
      </c>
      <c r="G19" s="158">
        <v>43570.12</v>
      </c>
      <c r="H19" s="158">
        <v>56838.9</v>
      </c>
      <c r="I19" s="158">
        <v>542123.66</v>
      </c>
      <c r="J19" s="158">
        <v>542123.66</v>
      </c>
      <c r="K19" s="158">
        <v>0</v>
      </c>
      <c r="L19" s="158">
        <v>0</v>
      </c>
    </row>
    <row r="20">
      <c r="A20" s="240" t="s">
        <v>412</v>
      </c>
      <c r="B20" s="113" t="s">
        <v>172</v>
      </c>
      <c r="C20" s="158">
        <v>0</v>
      </c>
      <c r="D20" s="158">
        <v>4867.4</v>
      </c>
      <c r="E20" s="158">
        <v>297830.71</v>
      </c>
      <c r="F20" s="158">
        <v>287044.31</v>
      </c>
      <c r="G20" s="158">
        <v>2097</v>
      </c>
      <c r="H20" s="158">
        <v>5805.5</v>
      </c>
      <c r="I20" s="158">
        <v>299927.71</v>
      </c>
      <c r="J20" s="158">
        <v>292849.81</v>
      </c>
      <c r="K20" s="158">
        <v>2210.5</v>
      </c>
      <c r="L20" s="158">
        <v>0</v>
      </c>
    </row>
    <row r="21">
      <c r="A21" s="240" t="s">
        <v>771</v>
      </c>
      <c r="B21" s="113" t="s">
        <v>1208</v>
      </c>
      <c r="C21" s="158">
        <v>0</v>
      </c>
      <c r="D21" s="158">
        <v>0</v>
      </c>
      <c r="E21" s="158">
        <v>1372</v>
      </c>
      <c r="F21" s="158">
        <v>0</v>
      </c>
      <c r="G21" s="158">
        <v>0</v>
      </c>
      <c r="H21" s="158">
        <v>0</v>
      </c>
      <c r="I21" s="158">
        <v>1372</v>
      </c>
      <c r="J21" s="158">
        <v>0</v>
      </c>
      <c r="K21" s="158">
        <v>1372</v>
      </c>
      <c r="L21" s="158">
        <v>0</v>
      </c>
    </row>
    <row r="22">
      <c r="A22" s="240" t="s">
        <v>792</v>
      </c>
      <c r="B22" s="113" t="s">
        <v>880</v>
      </c>
      <c r="C22" s="158">
        <v>0</v>
      </c>
      <c r="D22" s="158">
        <v>0</v>
      </c>
      <c r="E22" s="158">
        <v>215769.76</v>
      </c>
      <c r="F22" s="158">
        <v>215766.43</v>
      </c>
      <c r="G22" s="158">
        <v>5650.45</v>
      </c>
      <c r="H22" s="158">
        <v>5653.78</v>
      </c>
      <c r="I22" s="158">
        <v>221420.21</v>
      </c>
      <c r="J22" s="158">
        <v>221420.21</v>
      </c>
      <c r="K22" s="158">
        <v>0</v>
      </c>
      <c r="L22" s="158">
        <v>0</v>
      </c>
    </row>
    <row r="23">
      <c r="A23" s="240" t="s">
        <v>428</v>
      </c>
      <c r="B23" s="113" t="s">
        <v>1229</v>
      </c>
      <c r="C23" s="158">
        <v>0</v>
      </c>
      <c r="D23" s="158">
        <v>161126.08</v>
      </c>
      <c r="E23" s="158">
        <v>521049.19</v>
      </c>
      <c r="F23" s="158">
        <v>473931.49</v>
      </c>
      <c r="G23" s="158">
        <v>110277.52</v>
      </c>
      <c r="H23" s="158">
        <v>35311.66</v>
      </c>
      <c r="I23" s="158">
        <v>631326.71</v>
      </c>
      <c r="J23" s="158">
        <v>509243.15</v>
      </c>
      <c r="K23" s="158">
        <v>0</v>
      </c>
      <c r="L23" s="158">
        <v>39042.52</v>
      </c>
    </row>
    <row r="24">
      <c r="A24" s="240" t="s">
        <v>383</v>
      </c>
      <c r="B24" s="113" t="s">
        <v>895</v>
      </c>
      <c r="C24" s="158">
        <v>0</v>
      </c>
      <c r="D24" s="158">
        <v>0</v>
      </c>
      <c r="E24" s="158">
        <v>0</v>
      </c>
      <c r="F24" s="158">
        <v>0</v>
      </c>
      <c r="G24" s="158">
        <v>0</v>
      </c>
      <c r="H24" s="158">
        <v>497.78</v>
      </c>
      <c r="I24" s="158">
        <v>0</v>
      </c>
      <c r="J24" s="158">
        <v>497.78</v>
      </c>
      <c r="K24" s="158">
        <v>0</v>
      </c>
      <c r="L24" s="158">
        <v>497.78</v>
      </c>
    </row>
    <row r="25">
      <c r="A25" s="240" t="s">
        <v>537</v>
      </c>
      <c r="B25" s="113" t="s">
        <v>801</v>
      </c>
      <c r="C25" s="158">
        <v>0</v>
      </c>
      <c r="D25" s="158">
        <v>1154.38</v>
      </c>
      <c r="E25" s="158">
        <v>53265.6</v>
      </c>
      <c r="F25" s="158">
        <v>52856.27</v>
      </c>
      <c r="G25" s="158">
        <v>-644.35</v>
      </c>
      <c r="H25" s="158">
        <v>-1666.67</v>
      </c>
      <c r="I25" s="158">
        <v>52621.25</v>
      </c>
      <c r="J25" s="158">
        <v>51189.6</v>
      </c>
      <c r="K25" s="158">
        <v>277.27</v>
      </c>
      <c r="L25" s="158">
        <v>0</v>
      </c>
    </row>
    <row r="26">
      <c r="A26" s="240" t="s">
        <v>265</v>
      </c>
      <c r="B26" s="113" t="s">
        <v>949</v>
      </c>
      <c r="C26" s="158">
        <v>0</v>
      </c>
      <c r="D26" s="158">
        <v>21111.64</v>
      </c>
      <c r="E26" s="158">
        <v>9013.9</v>
      </c>
      <c r="F26" s="158">
        <v>9283.63</v>
      </c>
      <c r="G26" s="158">
        <v>779.41</v>
      </c>
      <c r="H26" s="158">
        <v>21</v>
      </c>
      <c r="I26" s="158">
        <v>9793.31</v>
      </c>
      <c r="J26" s="158">
        <v>9304.63</v>
      </c>
      <c r="K26" s="158">
        <v>0</v>
      </c>
      <c r="L26" s="158">
        <v>20622.96</v>
      </c>
    </row>
    <row r="27">
      <c r="A27" s="240" t="s">
        <v>120</v>
      </c>
      <c r="B27" s="113" t="s">
        <v>1163</v>
      </c>
      <c r="C27" s="158">
        <v>0</v>
      </c>
      <c r="D27" s="158">
        <v>3859.05</v>
      </c>
      <c r="E27" s="158">
        <v>3859.05</v>
      </c>
      <c r="F27" s="158">
        <v>0</v>
      </c>
      <c r="G27" s="158">
        <v>0</v>
      </c>
      <c r="H27" s="158">
        <v>0</v>
      </c>
      <c r="I27" s="158">
        <v>3859.05</v>
      </c>
      <c r="J27" s="158">
        <v>0</v>
      </c>
      <c r="K27" s="158">
        <v>0</v>
      </c>
      <c r="L27" s="158">
        <v>0</v>
      </c>
    </row>
    <row r="28">
      <c r="A28" s="240" t="s">
        <v>319</v>
      </c>
      <c r="B28" s="113" t="s">
        <v>633</v>
      </c>
      <c r="C28" s="158">
        <v>0</v>
      </c>
      <c r="D28" s="158">
        <v>6277.97</v>
      </c>
      <c r="E28" s="158">
        <v>107260.81</v>
      </c>
      <c r="F28" s="158">
        <v>112672.97</v>
      </c>
      <c r="G28" s="158">
        <v>20405.05</v>
      </c>
      <c r="H28" s="158">
        <v>19170.9</v>
      </c>
      <c r="I28" s="158">
        <v>127665.86</v>
      </c>
      <c r="J28" s="158">
        <v>131843.87</v>
      </c>
      <c r="K28" s="158">
        <v>0</v>
      </c>
      <c r="L28" s="158">
        <v>10455.98</v>
      </c>
    </row>
    <row r="29">
      <c r="A29" s="240" t="s">
        <v>840</v>
      </c>
      <c r="B29" s="113" t="s">
        <v>77</v>
      </c>
      <c r="C29" s="158">
        <v>0</v>
      </c>
      <c r="D29" s="158">
        <v>4779.93</v>
      </c>
      <c r="E29" s="158">
        <v>28942.73</v>
      </c>
      <c r="F29" s="158">
        <v>34610.54</v>
      </c>
      <c r="G29" s="158">
        <v>2648.96</v>
      </c>
      <c r="H29" s="158">
        <v>7757.61</v>
      </c>
      <c r="I29" s="158">
        <v>31591.69</v>
      </c>
      <c r="J29" s="158">
        <v>42368.15</v>
      </c>
      <c r="K29" s="158">
        <v>0</v>
      </c>
      <c r="L29" s="158">
        <v>15556.39</v>
      </c>
    </row>
    <row r="30">
      <c r="A30" s="240" t="s">
        <v>1148</v>
      </c>
      <c r="B30" s="113" t="s">
        <v>155</v>
      </c>
      <c r="C30" s="149">
        <v>0</v>
      </c>
      <c r="D30" s="149">
        <v>0</v>
      </c>
      <c r="E30" s="149">
        <v>0</v>
      </c>
      <c r="F30" s="149">
        <v>0</v>
      </c>
      <c r="G30" s="149">
        <v>0</v>
      </c>
      <c r="H30" s="158">
        <v>9717.3</v>
      </c>
      <c r="I30" s="149">
        <v>0</v>
      </c>
      <c r="J30" s="158">
        <v>9717.3</v>
      </c>
      <c r="K30" s="158">
        <v>0</v>
      </c>
      <c r="L30" s="158">
        <v>9717.3</v>
      </c>
    </row>
    <row r="31">
      <c r="A31" s="240" t="s">
        <v>1190</v>
      </c>
      <c r="B31" s="113" t="s">
        <v>825</v>
      </c>
      <c r="C31" s="158">
        <v>0</v>
      </c>
      <c r="D31" s="158">
        <v>226.51</v>
      </c>
      <c r="E31" s="158">
        <v>4838.54</v>
      </c>
      <c r="F31" s="158">
        <v>5444.83</v>
      </c>
      <c r="G31" s="158">
        <v>28.69</v>
      </c>
      <c r="H31" s="158">
        <v>250.43</v>
      </c>
      <c r="I31" s="158">
        <v>4867.23</v>
      </c>
      <c r="J31" s="158">
        <v>5695.26</v>
      </c>
      <c r="K31" s="158">
        <v>0</v>
      </c>
      <c r="L31" s="158">
        <v>1054.54</v>
      </c>
    </row>
    <row r="32">
      <c r="A32" s="240" t="s">
        <v>153</v>
      </c>
      <c r="B32" s="113" t="s">
        <v>1092</v>
      </c>
      <c r="C32" s="158">
        <v>2043.52</v>
      </c>
      <c r="D32" s="158">
        <v>0</v>
      </c>
      <c r="E32" s="158">
        <v>282647.64</v>
      </c>
      <c r="F32" s="158">
        <v>293777.06</v>
      </c>
      <c r="G32" s="158">
        <v>21455.42</v>
      </c>
      <c r="H32" s="158">
        <v>10272.53</v>
      </c>
      <c r="I32" s="158">
        <v>304103.06</v>
      </c>
      <c r="J32" s="158">
        <v>304049.59</v>
      </c>
      <c r="K32" s="158">
        <v>2096.99</v>
      </c>
      <c r="L32" s="158">
        <v>0</v>
      </c>
    </row>
    <row r="33">
      <c r="A33" s="240" t="s">
        <v>683</v>
      </c>
      <c r="B33" s="113" t="s">
        <v>1087</v>
      </c>
      <c r="C33" s="158">
        <v>0</v>
      </c>
      <c r="D33" s="158">
        <v>349.75</v>
      </c>
      <c r="E33" s="158">
        <v>349.75</v>
      </c>
      <c r="F33" s="158">
        <v>1290</v>
      </c>
      <c r="G33" s="158">
        <v>0</v>
      </c>
      <c r="H33" s="158">
        <v>352.15</v>
      </c>
      <c r="I33" s="158">
        <v>349.75</v>
      </c>
      <c r="J33" s="158">
        <v>1642.15</v>
      </c>
      <c r="K33" s="158">
        <v>0</v>
      </c>
      <c r="L33" s="158">
        <v>1642.15</v>
      </c>
    </row>
    <row r="34">
      <c r="A34" s="240" t="s">
        <v>288</v>
      </c>
      <c r="B34" s="113" t="s">
        <v>1140</v>
      </c>
      <c r="C34" s="158">
        <v>0</v>
      </c>
      <c r="D34" s="158">
        <v>0</v>
      </c>
      <c r="E34" s="158">
        <v>77041.65</v>
      </c>
      <c r="F34" s="158">
        <v>77041.65</v>
      </c>
      <c r="G34" s="158">
        <v>17775.3</v>
      </c>
      <c r="H34" s="158">
        <v>0</v>
      </c>
      <c r="I34" s="158">
        <v>94816.95</v>
      </c>
      <c r="J34" s="158">
        <v>77041.65</v>
      </c>
      <c r="K34" s="158">
        <v>17775.3</v>
      </c>
      <c r="L34" s="158">
        <v>0</v>
      </c>
    </row>
    <row r="35">
      <c r="A35" s="240" t="s">
        <v>1166</v>
      </c>
      <c r="B35" s="113" t="s">
        <v>65</v>
      </c>
      <c r="C35" s="158">
        <v>0</v>
      </c>
      <c r="D35" s="158">
        <v>90000</v>
      </c>
      <c r="E35" s="158">
        <v>0</v>
      </c>
      <c r="F35" s="158">
        <v>0</v>
      </c>
      <c r="G35" s="158">
        <v>0</v>
      </c>
      <c r="H35" s="158">
        <v>0</v>
      </c>
      <c r="I35" s="158">
        <v>0</v>
      </c>
      <c r="J35" s="158">
        <v>0</v>
      </c>
      <c r="K35" s="158">
        <v>0</v>
      </c>
      <c r="L35" s="158">
        <v>90000</v>
      </c>
    </row>
    <row r="36">
      <c r="A36" s="240" t="s">
        <v>1008</v>
      </c>
      <c r="B36" s="113" t="s">
        <v>1258</v>
      </c>
      <c r="C36" s="158">
        <v>0</v>
      </c>
      <c r="D36" s="158">
        <v>0</v>
      </c>
      <c r="E36" s="158">
        <v>11936.39</v>
      </c>
      <c r="F36" s="158">
        <v>30070</v>
      </c>
      <c r="G36" s="158">
        <v>18133.61</v>
      </c>
      <c r="H36" s="158">
        <v>0</v>
      </c>
      <c r="I36" s="158">
        <v>30070</v>
      </c>
      <c r="J36" s="158">
        <v>30070</v>
      </c>
      <c r="K36" s="158">
        <v>0</v>
      </c>
      <c r="L36" s="158">
        <v>0</v>
      </c>
    </row>
    <row r="37">
      <c r="A37" s="240" t="s">
        <v>239</v>
      </c>
      <c r="B37" s="113" t="s">
        <v>900</v>
      </c>
      <c r="C37" s="158">
        <v>0</v>
      </c>
      <c r="D37" s="158">
        <v>10500</v>
      </c>
      <c r="E37" s="158">
        <v>0</v>
      </c>
      <c r="F37" s="158">
        <v>0</v>
      </c>
      <c r="G37" s="158">
        <v>0</v>
      </c>
      <c r="H37" s="158">
        <v>0</v>
      </c>
      <c r="I37" s="158">
        <v>0</v>
      </c>
      <c r="J37" s="158">
        <v>0</v>
      </c>
      <c r="K37" s="158">
        <v>0</v>
      </c>
      <c r="L37" s="158">
        <v>10500</v>
      </c>
    </row>
    <row r="38">
      <c r="A38" s="240" t="s">
        <v>14</v>
      </c>
      <c r="B38" s="113" t="s">
        <v>555</v>
      </c>
      <c r="C38" s="158">
        <v>350.6</v>
      </c>
      <c r="D38" s="158">
        <v>0</v>
      </c>
      <c r="E38" s="158">
        <v>0</v>
      </c>
      <c r="F38" s="158">
        <v>350.6</v>
      </c>
      <c r="G38" s="158">
        <v>785.65</v>
      </c>
      <c r="H38" s="158">
        <v>0</v>
      </c>
      <c r="I38" s="158">
        <v>785.65</v>
      </c>
      <c r="J38" s="158">
        <v>350.6</v>
      </c>
      <c r="K38" s="158">
        <v>785.65</v>
      </c>
      <c r="L38" s="158">
        <v>0</v>
      </c>
    </row>
    <row r="39">
      <c r="A39" s="240" t="s">
        <v>576</v>
      </c>
      <c r="B39" s="113" t="s">
        <v>393</v>
      </c>
      <c r="C39" s="158">
        <v>0</v>
      </c>
      <c r="D39" s="158">
        <v>234635</v>
      </c>
      <c r="E39" s="158">
        <v>0</v>
      </c>
      <c r="F39" s="158">
        <v>0</v>
      </c>
      <c r="G39" s="158">
        <v>0</v>
      </c>
      <c r="H39" s="158">
        <v>0</v>
      </c>
      <c r="I39" s="158">
        <v>0</v>
      </c>
      <c r="J39" s="158">
        <v>0</v>
      </c>
      <c r="K39" s="158">
        <v>0</v>
      </c>
      <c r="L39" s="158">
        <v>234635</v>
      </c>
    </row>
    <row r="40">
      <c r="A40" s="240" t="s">
        <v>567</v>
      </c>
      <c r="B40" s="113" t="s">
        <v>1384</v>
      </c>
      <c r="C40" s="158">
        <v>0</v>
      </c>
      <c r="D40" s="158">
        <v>4137.74</v>
      </c>
      <c r="E40" s="158">
        <v>0</v>
      </c>
      <c r="F40" s="158">
        <v>0</v>
      </c>
      <c r="G40" s="158">
        <v>0</v>
      </c>
      <c r="H40" s="158">
        <v>0</v>
      </c>
      <c r="I40" s="158">
        <v>0</v>
      </c>
      <c r="J40" s="158">
        <v>0</v>
      </c>
      <c r="K40" s="158">
        <v>0</v>
      </c>
      <c r="L40" s="158">
        <v>4137.74</v>
      </c>
    </row>
    <row r="41">
      <c r="A41" s="240" t="s">
        <v>300</v>
      </c>
      <c r="B41" s="113" t="s">
        <v>1308</v>
      </c>
      <c r="C41" s="158">
        <v>0</v>
      </c>
      <c r="D41" s="158">
        <v>116240.16</v>
      </c>
      <c r="E41" s="158">
        <v>0</v>
      </c>
      <c r="F41" s="158">
        <v>0</v>
      </c>
      <c r="G41" s="158">
        <v>0</v>
      </c>
      <c r="H41" s="158">
        <v>0</v>
      </c>
      <c r="I41" s="158">
        <v>0</v>
      </c>
      <c r="J41" s="158">
        <v>0</v>
      </c>
      <c r="K41" s="158">
        <v>0</v>
      </c>
      <c r="L41" s="158">
        <v>116240.16</v>
      </c>
    </row>
    <row r="42">
      <c r="A42" s="240" t="s">
        <v>1168</v>
      </c>
      <c r="B42" s="113" t="s">
        <v>220</v>
      </c>
      <c r="C42" s="158">
        <v>754511.48</v>
      </c>
      <c r="D42" s="158">
        <v>0</v>
      </c>
      <c r="E42" s="158">
        <v>0</v>
      </c>
      <c r="F42" s="158">
        <v>0</v>
      </c>
      <c r="G42" s="158">
        <v>38302.43</v>
      </c>
      <c r="H42" s="158">
        <v>0</v>
      </c>
      <c r="I42" s="158">
        <v>38302.43</v>
      </c>
      <c r="J42" s="158">
        <v>0</v>
      </c>
      <c r="K42" s="158">
        <v>792813.91</v>
      </c>
      <c r="L42" s="158">
        <v>0</v>
      </c>
    </row>
    <row r="43">
      <c r="A43" s="240" t="s">
        <v>1055</v>
      </c>
      <c r="B43" s="113" t="s">
        <v>1277</v>
      </c>
      <c r="C43" s="158">
        <v>38302.43</v>
      </c>
      <c r="D43" s="158">
        <v>0</v>
      </c>
      <c r="E43" s="158">
        <v>0</v>
      </c>
      <c r="F43" s="158">
        <v>0</v>
      </c>
      <c r="G43" s="158">
        <v>0</v>
      </c>
      <c r="H43" s="158">
        <v>38302.43</v>
      </c>
      <c r="I43" s="158">
        <v>0</v>
      </c>
      <c r="J43" s="158">
        <v>38302.43</v>
      </c>
      <c r="K43" s="158">
        <v>0</v>
      </c>
      <c r="L43" s="158">
        <v>0</v>
      </c>
    </row>
    <row r="44">
      <c r="A44" s="240" t="s">
        <v>1078</v>
      </c>
      <c r="B44" s="113" t="s">
        <v>500</v>
      </c>
      <c r="C44" s="158">
        <v>0</v>
      </c>
      <c r="D44" s="158">
        <v>5636.97</v>
      </c>
      <c r="E44" s="158">
        <v>0</v>
      </c>
      <c r="F44" s="158">
        <v>373.19</v>
      </c>
      <c r="G44" s="158">
        <v>0</v>
      </c>
      <c r="H44" s="158">
        <v>16.33</v>
      </c>
      <c r="I44" s="158">
        <v>0</v>
      </c>
      <c r="J44" s="158">
        <v>389.52</v>
      </c>
      <c r="K44" s="158">
        <v>0</v>
      </c>
      <c r="L44" s="158">
        <v>6026.49</v>
      </c>
    </row>
    <row r="45">
      <c r="A45" s="240" t="s">
        <v>1286</v>
      </c>
      <c r="B45" s="113" t="s">
        <v>420</v>
      </c>
      <c r="C45" s="158">
        <v>0</v>
      </c>
      <c r="D45" s="158">
        <v>358925.53</v>
      </c>
      <c r="E45" s="158">
        <v>371395</v>
      </c>
      <c r="F45" s="158">
        <v>383395</v>
      </c>
      <c r="G45" s="158">
        <v>0.6</v>
      </c>
      <c r="H45" s="158">
        <v>470.07</v>
      </c>
      <c r="I45" s="158">
        <v>371395.6</v>
      </c>
      <c r="J45" s="158">
        <v>383865.07</v>
      </c>
      <c r="K45" s="158">
        <v>0</v>
      </c>
      <c r="L45" s="158">
        <v>371395</v>
      </c>
    </row>
    <row r="46">
      <c r="A46" s="240" t="s">
        <v>25</v>
      </c>
      <c r="B46" s="113" t="s">
        <v>797</v>
      </c>
      <c r="C46" s="158">
        <v>0</v>
      </c>
      <c r="D46" s="158">
        <v>0</v>
      </c>
      <c r="E46" s="158">
        <v>180443.46</v>
      </c>
      <c r="F46" s="158">
        <v>0</v>
      </c>
      <c r="G46" s="158">
        <v>16260.35</v>
      </c>
      <c r="H46" s="158">
        <v>0</v>
      </c>
      <c r="I46" s="158">
        <v>196703.81</v>
      </c>
      <c r="J46" s="158">
        <v>0</v>
      </c>
      <c r="K46" s="158">
        <v>196703.81</v>
      </c>
      <c r="L46" s="158">
        <v>0</v>
      </c>
    </row>
    <row r="47">
      <c r="A47" s="240" t="s">
        <v>1331</v>
      </c>
      <c r="B47" s="113" t="s">
        <v>234</v>
      </c>
      <c r="C47" s="158">
        <v>0</v>
      </c>
      <c r="D47" s="158">
        <v>0</v>
      </c>
      <c r="E47" s="158">
        <v>63672.23</v>
      </c>
      <c r="F47" s="158">
        <v>0</v>
      </c>
      <c r="G47" s="158">
        <v>8078.68</v>
      </c>
      <c r="H47" s="158">
        <v>0</v>
      </c>
      <c r="I47" s="158">
        <v>71750.91</v>
      </c>
      <c r="J47" s="158">
        <v>0</v>
      </c>
      <c r="K47" s="158">
        <v>71750.91</v>
      </c>
      <c r="L47" s="158">
        <v>0</v>
      </c>
    </row>
    <row r="48">
      <c r="A48" s="240" t="s">
        <v>918</v>
      </c>
      <c r="B48" s="113" t="s">
        <v>1009</v>
      </c>
      <c r="C48" s="158">
        <v>0</v>
      </c>
      <c r="D48" s="158">
        <v>0</v>
      </c>
      <c r="E48" s="158">
        <v>20909.32</v>
      </c>
      <c r="F48" s="158">
        <v>0</v>
      </c>
      <c r="G48" s="158">
        <v>0</v>
      </c>
      <c r="H48" s="158">
        <v>0</v>
      </c>
      <c r="I48" s="158">
        <v>20909.32</v>
      </c>
      <c r="J48" s="158">
        <v>0</v>
      </c>
      <c r="K48" s="158">
        <v>20909.32</v>
      </c>
      <c r="L48" s="158">
        <v>0</v>
      </c>
    </row>
    <row r="49">
      <c r="A49" s="240" t="s">
        <v>1065</v>
      </c>
      <c r="B49" s="113" t="s">
        <v>352</v>
      </c>
      <c r="C49" s="158">
        <v>0</v>
      </c>
      <c r="D49" s="158">
        <v>0</v>
      </c>
      <c r="E49" s="158">
        <v>238.64</v>
      </c>
      <c r="F49" s="158">
        <v>0</v>
      </c>
      <c r="G49" s="158">
        <v>12.04</v>
      </c>
      <c r="H49" s="158">
        <v>0</v>
      </c>
      <c r="I49" s="158">
        <v>250.68</v>
      </c>
      <c r="J49" s="158">
        <v>0</v>
      </c>
      <c r="K49" s="158">
        <v>250.68</v>
      </c>
      <c r="L49" s="158">
        <v>0</v>
      </c>
    </row>
    <row r="50">
      <c r="A50" s="240" t="s">
        <v>1049</v>
      </c>
      <c r="B50" s="113" t="s">
        <v>389</v>
      </c>
      <c r="C50" s="158">
        <v>0</v>
      </c>
      <c r="D50" s="158">
        <v>0</v>
      </c>
      <c r="E50" s="158">
        <v>194410.74</v>
      </c>
      <c r="F50" s="158">
        <v>150</v>
      </c>
      <c r="G50" s="158">
        <v>13210.77</v>
      </c>
      <c r="H50" s="158">
        <v>0</v>
      </c>
      <c r="I50" s="158">
        <v>207621.51</v>
      </c>
      <c r="J50" s="158">
        <v>150</v>
      </c>
      <c r="K50" s="158">
        <v>207471.51</v>
      </c>
      <c r="L50" s="158">
        <v>0</v>
      </c>
    </row>
    <row r="51">
      <c r="A51" s="240" t="s">
        <v>328</v>
      </c>
      <c r="B51" s="113" t="s">
        <v>968</v>
      </c>
      <c r="C51" s="158">
        <v>0</v>
      </c>
      <c r="D51" s="158">
        <v>0</v>
      </c>
      <c r="E51" s="158">
        <v>73872.35</v>
      </c>
      <c r="F51" s="158">
        <v>0</v>
      </c>
      <c r="G51" s="158">
        <v>12874.81</v>
      </c>
      <c r="H51" s="158">
        <v>0</v>
      </c>
      <c r="I51" s="158">
        <v>86747.16</v>
      </c>
      <c r="J51" s="158">
        <v>0</v>
      </c>
      <c r="K51" s="158">
        <v>86747.16</v>
      </c>
      <c r="L51" s="158">
        <v>0</v>
      </c>
    </row>
    <row r="52">
      <c r="A52" s="240" t="s">
        <v>297</v>
      </c>
      <c r="B52" s="113" t="s">
        <v>981</v>
      </c>
      <c r="C52" s="158">
        <v>0</v>
      </c>
      <c r="D52" s="158">
        <v>0</v>
      </c>
      <c r="E52" s="158">
        <v>28361.9</v>
      </c>
      <c r="F52" s="158">
        <v>0</v>
      </c>
      <c r="G52" s="158">
        <v>4802.43</v>
      </c>
      <c r="H52" s="158">
        <v>0</v>
      </c>
      <c r="I52" s="158">
        <v>33164.33</v>
      </c>
      <c r="J52" s="158">
        <v>0</v>
      </c>
      <c r="K52" s="158">
        <v>33164.33</v>
      </c>
      <c r="L52" s="158">
        <v>0</v>
      </c>
    </row>
    <row r="53">
      <c r="A53" s="240" t="s">
        <v>1239</v>
      </c>
      <c r="B53" s="113" t="s">
        <v>238</v>
      </c>
      <c r="C53" s="158">
        <v>0</v>
      </c>
      <c r="D53" s="158">
        <v>0</v>
      </c>
      <c r="E53" s="158">
        <v>2590.04</v>
      </c>
      <c r="F53" s="158">
        <v>0</v>
      </c>
      <c r="G53" s="158">
        <v>30.86</v>
      </c>
      <c r="H53" s="158">
        <v>0</v>
      </c>
      <c r="I53" s="158">
        <v>2620.9</v>
      </c>
      <c r="J53" s="158">
        <v>0</v>
      </c>
      <c r="K53" s="158">
        <v>2620.9</v>
      </c>
      <c r="L53" s="158">
        <v>0</v>
      </c>
    </row>
    <row r="54">
      <c r="A54" s="240" t="s">
        <v>1177</v>
      </c>
      <c r="B54" s="113" t="s">
        <v>489</v>
      </c>
      <c r="C54" s="158">
        <v>0</v>
      </c>
      <c r="D54" s="158">
        <v>0</v>
      </c>
      <c r="E54" s="158">
        <v>0</v>
      </c>
      <c r="F54" s="158">
        <v>0</v>
      </c>
      <c r="G54" s="158">
        <v>352.15</v>
      </c>
      <c r="H54" s="158">
        <v>0</v>
      </c>
      <c r="I54" s="158">
        <v>352.15</v>
      </c>
      <c r="J54" s="158">
        <v>0</v>
      </c>
      <c r="K54" s="158">
        <v>352.15</v>
      </c>
      <c r="L54" s="158">
        <v>0</v>
      </c>
    </row>
    <row r="55">
      <c r="A55" s="240" t="s">
        <v>1217</v>
      </c>
      <c r="B55" s="113" t="s">
        <v>756</v>
      </c>
      <c r="C55" s="158">
        <v>0</v>
      </c>
      <c r="D55" s="158">
        <v>0</v>
      </c>
      <c r="E55" s="158">
        <v>4083.47</v>
      </c>
      <c r="F55" s="158">
        <v>0</v>
      </c>
      <c r="G55" s="158">
        <v>0</v>
      </c>
      <c r="H55" s="158">
        <v>0</v>
      </c>
      <c r="I55" s="158">
        <v>4083.47</v>
      </c>
      <c r="J55" s="158">
        <v>0</v>
      </c>
      <c r="K55" s="158">
        <v>4083.47</v>
      </c>
      <c r="L55" s="158">
        <v>0</v>
      </c>
    </row>
    <row r="56">
      <c r="A56" s="240" t="s">
        <v>452</v>
      </c>
      <c r="B56" s="113" t="s">
        <v>1087</v>
      </c>
      <c r="C56" s="158">
        <v>0</v>
      </c>
      <c r="D56" s="158">
        <v>0</v>
      </c>
      <c r="E56" s="158">
        <v>6490.16</v>
      </c>
      <c r="F56" s="158">
        <v>0</v>
      </c>
      <c r="G56" s="158">
        <v>21</v>
      </c>
      <c r="H56" s="158">
        <v>0</v>
      </c>
      <c r="I56" s="158">
        <v>6511.16</v>
      </c>
      <c r="J56" s="158">
        <v>0</v>
      </c>
      <c r="K56" s="158">
        <v>6511.16</v>
      </c>
      <c r="L56" s="158">
        <v>0</v>
      </c>
    </row>
    <row r="57">
      <c r="A57" s="240" t="s">
        <v>1189</v>
      </c>
      <c r="B57" s="113" t="s">
        <v>1187</v>
      </c>
      <c r="C57" s="158">
        <v>0</v>
      </c>
      <c r="D57" s="158">
        <v>0</v>
      </c>
      <c r="E57" s="158">
        <v>520.77</v>
      </c>
      <c r="F57" s="158">
        <v>0</v>
      </c>
      <c r="G57" s="158">
        <v>0</v>
      </c>
      <c r="H57" s="158">
        <v>0</v>
      </c>
      <c r="I57" s="158">
        <v>520.77</v>
      </c>
      <c r="J57" s="158">
        <v>0</v>
      </c>
      <c r="K57" s="158">
        <v>520.77</v>
      </c>
      <c r="L57" s="158">
        <v>0</v>
      </c>
    </row>
    <row r="58">
      <c r="A58" s="240" t="s">
        <v>984</v>
      </c>
      <c r="B58" s="113" t="s">
        <v>561</v>
      </c>
      <c r="C58" s="158">
        <v>0</v>
      </c>
      <c r="D58" s="158">
        <v>0</v>
      </c>
      <c r="E58" s="158">
        <v>467.79</v>
      </c>
      <c r="F58" s="158">
        <v>0</v>
      </c>
      <c r="G58" s="158">
        <v>20</v>
      </c>
      <c r="H58" s="158">
        <v>0</v>
      </c>
      <c r="I58" s="158">
        <v>487.79</v>
      </c>
      <c r="J58" s="158">
        <v>0</v>
      </c>
      <c r="K58" s="158">
        <v>487.79</v>
      </c>
      <c r="L58" s="158">
        <v>0</v>
      </c>
    </row>
    <row r="59">
      <c r="A59" s="240" t="s">
        <v>1004</v>
      </c>
      <c r="B59" s="113" t="s">
        <v>862</v>
      </c>
      <c r="C59" s="158">
        <v>0</v>
      </c>
      <c r="D59" s="158">
        <v>0</v>
      </c>
      <c r="E59" s="158">
        <v>6993.67</v>
      </c>
      <c r="F59" s="158">
        <v>0</v>
      </c>
      <c r="G59" s="158">
        <v>1317.75</v>
      </c>
      <c r="H59" s="158">
        <v>0</v>
      </c>
      <c r="I59" s="158">
        <v>8311.42</v>
      </c>
      <c r="J59" s="158">
        <v>0</v>
      </c>
      <c r="K59" s="158">
        <v>8311.42</v>
      </c>
      <c r="L59" s="158">
        <v>0</v>
      </c>
    </row>
    <row r="60">
      <c r="A60" s="240" t="s">
        <v>112</v>
      </c>
      <c r="B60" s="113" t="s">
        <v>953</v>
      </c>
      <c r="C60" s="158">
        <v>0</v>
      </c>
      <c r="D60" s="158">
        <v>0</v>
      </c>
      <c r="E60" s="158">
        <v>14972.72</v>
      </c>
      <c r="F60" s="158">
        <v>0</v>
      </c>
      <c r="G60" s="158">
        <v>1450.5</v>
      </c>
      <c r="H60" s="158">
        <v>0</v>
      </c>
      <c r="I60" s="158">
        <v>16423.22</v>
      </c>
      <c r="J60" s="158">
        <v>0</v>
      </c>
      <c r="K60" s="158">
        <v>16423.22</v>
      </c>
      <c r="L60" s="158">
        <v>0</v>
      </c>
    </row>
    <row r="61">
      <c r="A61" s="240" t="s">
        <v>1344</v>
      </c>
      <c r="B61" s="113" t="s">
        <v>645</v>
      </c>
      <c r="C61" s="158">
        <v>0</v>
      </c>
      <c r="D61" s="158">
        <v>0</v>
      </c>
      <c r="E61" s="158">
        <v>770.57</v>
      </c>
      <c r="F61" s="158">
        <v>0</v>
      </c>
      <c r="G61" s="158">
        <v>66.78</v>
      </c>
      <c r="H61" s="158">
        <v>0</v>
      </c>
      <c r="I61" s="158">
        <v>837.35</v>
      </c>
      <c r="J61" s="158">
        <v>0</v>
      </c>
      <c r="K61" s="158">
        <v>837.35</v>
      </c>
      <c r="L61" s="158">
        <v>0</v>
      </c>
    </row>
    <row r="62">
      <c r="A62" s="240" t="s">
        <v>1036</v>
      </c>
      <c r="B62" s="113" t="s">
        <v>1383</v>
      </c>
      <c r="C62" s="158">
        <v>0</v>
      </c>
      <c r="D62" s="158">
        <v>0</v>
      </c>
      <c r="E62" s="158">
        <v>5031.69</v>
      </c>
      <c r="F62" s="158">
        <v>0</v>
      </c>
      <c r="G62" s="158">
        <v>74.49</v>
      </c>
      <c r="H62" s="158">
        <v>0</v>
      </c>
      <c r="I62" s="158">
        <v>5106.18</v>
      </c>
      <c r="J62" s="158">
        <v>0</v>
      </c>
      <c r="K62" s="158">
        <v>5106.18</v>
      </c>
      <c r="L62" s="158">
        <v>0</v>
      </c>
    </row>
    <row r="63">
      <c r="A63" s="240" t="s">
        <v>784</v>
      </c>
      <c r="B63" s="113" t="s">
        <v>914</v>
      </c>
      <c r="C63" s="149">
        <v>0</v>
      </c>
      <c r="D63" s="149">
        <v>0</v>
      </c>
      <c r="E63" s="149">
        <v>0</v>
      </c>
      <c r="F63" s="149">
        <v>0</v>
      </c>
      <c r="G63" s="158">
        <v>9717.3</v>
      </c>
      <c r="H63" s="149">
        <v>0</v>
      </c>
      <c r="I63" s="158">
        <v>9717.3</v>
      </c>
      <c r="J63" s="149">
        <v>0</v>
      </c>
      <c r="K63" s="158">
        <v>9717.3</v>
      </c>
      <c r="L63" s="158">
        <v>0</v>
      </c>
    </row>
    <row r="64">
      <c r="A64" s="240" t="s">
        <v>363</v>
      </c>
      <c r="B64" s="113" t="s">
        <v>364</v>
      </c>
      <c r="C64" s="158">
        <v>0</v>
      </c>
      <c r="D64" s="158">
        <v>0</v>
      </c>
      <c r="E64" s="158">
        <v>0</v>
      </c>
      <c r="F64" s="158">
        <v>580309.89</v>
      </c>
      <c r="G64" s="158">
        <v>0</v>
      </c>
      <c r="H64" s="158">
        <v>10314.87</v>
      </c>
      <c r="I64" s="158">
        <v>0</v>
      </c>
      <c r="J64" s="158">
        <v>590624.76</v>
      </c>
      <c r="K64" s="158">
        <v>0</v>
      </c>
      <c r="L64" s="158">
        <v>590624.76</v>
      </c>
    </row>
    <row r="65">
      <c r="A65" s="240" t="s">
        <v>1219</v>
      </c>
      <c r="B65" s="113" t="s">
        <v>599</v>
      </c>
      <c r="C65" s="158">
        <v>0</v>
      </c>
      <c r="D65" s="158">
        <v>0</v>
      </c>
      <c r="E65" s="158">
        <v>0</v>
      </c>
      <c r="F65" s="158">
        <v>13797.75</v>
      </c>
      <c r="G65" s="158">
        <v>0</v>
      </c>
      <c r="H65" s="158">
        <v>660.8</v>
      </c>
      <c r="I65" s="158">
        <v>0</v>
      </c>
      <c r="J65" s="158">
        <v>14458.55</v>
      </c>
      <c r="K65" s="158">
        <v>0</v>
      </c>
      <c r="L65" s="158">
        <v>14458.55</v>
      </c>
    </row>
    <row r="66">
      <c r="A66" s="240" t="s">
        <v>700</v>
      </c>
      <c r="B66" s="113" t="s">
        <v>1358</v>
      </c>
      <c r="C66" s="158">
        <v>0</v>
      </c>
      <c r="D66" s="158">
        <v>0</v>
      </c>
      <c r="E66" s="158">
        <v>0</v>
      </c>
      <c r="F66" s="158">
        <v>198.86</v>
      </c>
      <c r="G66" s="158">
        <v>0</v>
      </c>
      <c r="H66" s="158">
        <v>10.32</v>
      </c>
      <c r="I66" s="158">
        <v>0</v>
      </c>
      <c r="J66" s="158">
        <v>209.18</v>
      </c>
      <c r="K66" s="158">
        <v>0</v>
      </c>
      <c r="L66" s="158">
        <v>209.18</v>
      </c>
    </row>
    <row r="67">
      <c r="A67" s="240" t="s">
        <v>81</v>
      </c>
      <c r="B67" s="113" t="s">
        <v>1235</v>
      </c>
      <c r="C67" s="158">
        <v>0</v>
      </c>
      <c r="D67" s="158">
        <v>0</v>
      </c>
      <c r="E67" s="158">
        <v>0</v>
      </c>
      <c r="F67" s="158">
        <v>89573.79</v>
      </c>
      <c r="G67" s="158">
        <v>0</v>
      </c>
      <c r="H67" s="158">
        <v>106254.02</v>
      </c>
      <c r="I67" s="158">
        <v>0</v>
      </c>
      <c r="J67" s="158">
        <v>195827.81</v>
      </c>
      <c r="K67" s="158">
        <v>0</v>
      </c>
      <c r="L67" s="158">
        <v>195827.81</v>
      </c>
    </row>
    <row r="68">
      <c r="A68" s="240" t="s">
        <v>581</v>
      </c>
      <c r="B68" s="113" t="s">
        <v>645</v>
      </c>
      <c r="C68" s="158">
        <v>0</v>
      </c>
      <c r="D68" s="158">
        <v>0</v>
      </c>
      <c r="E68" s="158">
        <v>0</v>
      </c>
      <c r="F68" s="158">
        <v>10.81</v>
      </c>
      <c r="G68" s="158">
        <v>0</v>
      </c>
      <c r="H68" s="158">
        <v>0</v>
      </c>
      <c r="I68" s="158">
        <v>0</v>
      </c>
      <c r="J68" s="158">
        <v>10.81</v>
      </c>
      <c r="K68" s="158">
        <v>0</v>
      </c>
      <c r="L68" s="158">
        <v>10.81</v>
      </c>
    </row>
    <row r="69">
      <c r="A69" s="240" t="s">
        <v>531</v>
      </c>
      <c r="B69" s="113" t="s">
        <v>1372</v>
      </c>
      <c r="C69" s="158">
        <v>0</v>
      </c>
      <c r="D69" s="158">
        <v>0</v>
      </c>
      <c r="E69" s="158">
        <v>0</v>
      </c>
      <c r="F69" s="158">
        <v>0</v>
      </c>
      <c r="G69" s="158">
        <v>0</v>
      </c>
      <c r="H69" s="158">
        <v>0</v>
      </c>
      <c r="I69" s="158">
        <v>1330782.86</v>
      </c>
      <c r="J69" s="158">
        <v>1330782.86</v>
      </c>
      <c r="K69" s="158">
        <v>0</v>
      </c>
      <c r="L69" s="158">
        <v>0</v>
      </c>
    </row>
    <row r="70">
      <c r="A70" s="240"/>
      <c r="B70" s="113"/>
      <c r="C70" s="149"/>
      <c r="D70" s="149"/>
      <c r="E70" s="149"/>
      <c r="F70" s="149"/>
      <c r="G70" s="149"/>
      <c r="H70" s="149"/>
      <c r="I70" s="149"/>
      <c r="J70" s="149"/>
      <c r="K70" s="149"/>
      <c r="L70" s="149"/>
    </row>
    <row r="71">
      <c r="A71" s="240"/>
      <c r="B71" s="113"/>
      <c r="C71" s="149"/>
      <c r="D71" s="149"/>
      <c r="E71" s="149"/>
      <c r="F71" s="149"/>
      <c r="G71" s="149"/>
      <c r="H71" s="149"/>
      <c r="I71" s="149"/>
      <c r="J71" s="149"/>
      <c r="K71" s="149"/>
      <c r="L71" s="149"/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  <pageSetup paperSize="9" orientation="portrait"/>
</worksheet>
</file>

<file path=xl/worksheets/sheet45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78"/>
  <sheetViews>
    <sheetView zoomScaleNormal="100" zoomScaleSheetLayoutView="100" zoomScalePageLayoutView="100" workbookViewId="0"/>
  </sheetViews>
  <sheetFormatPr defaultColWidth="9.109375" defaultRowHeight="12"/>
  <cols>
    <col min="1" max="1" width="16.5546875" style="63" customWidth="1"/>
    <col min="2" max="2" width="46.6640625" style="2" customWidth="1"/>
    <col min="3" max="12" width="15.33203125" style="257" customWidth="1"/>
    <col min="13" max="16384" width="9.109375" style="124"/>
  </cols>
  <sheetData>
    <row r="1">
      <c r="A1" s="55" t="s">
        <v>817</v>
      </c>
      <c r="B1" s="11" t="s">
        <v>749</v>
      </c>
      <c r="C1" s="173" t="s">
        <v>321</v>
      </c>
      <c r="D1" s="173" t="s">
        <v>717</v>
      </c>
      <c r="E1" s="173" t="s">
        <v>644</v>
      </c>
      <c r="F1" s="173" t="s">
        <v>372</v>
      </c>
      <c r="G1" s="173" t="s">
        <v>742</v>
      </c>
      <c r="H1" s="173" t="s">
        <v>707</v>
      </c>
      <c r="I1" s="173" t="s">
        <v>1145</v>
      </c>
      <c r="J1" s="173" t="s">
        <v>1351</v>
      </c>
      <c r="K1" s="173" t="s">
        <v>1275</v>
      </c>
      <c r="L1" s="173" t="s">
        <v>298</v>
      </c>
    </row>
    <row r="2">
      <c r="A2" s="240" t="s">
        <v>422</v>
      </c>
      <c r="B2" s="113" t="s">
        <v>130</v>
      </c>
      <c r="C2" s="158">
        <v>3748.16</v>
      </c>
      <c r="D2" s="158">
        <v>0</v>
      </c>
      <c r="E2" s="149">
        <v>0</v>
      </c>
      <c r="F2" s="149">
        <v>0</v>
      </c>
      <c r="G2" s="149">
        <v>0</v>
      </c>
      <c r="H2" s="149">
        <v>0</v>
      </c>
      <c r="I2" s="149">
        <v>0</v>
      </c>
      <c r="J2" s="149">
        <v>0</v>
      </c>
      <c r="K2" s="158">
        <v>3748.16</v>
      </c>
      <c r="L2" s="158">
        <v>0</v>
      </c>
    </row>
    <row r="3">
      <c r="A3" s="240" t="s">
        <v>653</v>
      </c>
      <c r="B3" s="113" t="s">
        <v>1154</v>
      </c>
      <c r="C3" s="158">
        <v>4209.52</v>
      </c>
      <c r="D3" s="158">
        <v>0</v>
      </c>
      <c r="E3" s="149">
        <v>0</v>
      </c>
      <c r="F3" s="149">
        <v>0</v>
      </c>
      <c r="G3" s="149">
        <v>0</v>
      </c>
      <c r="H3" s="149">
        <v>0</v>
      </c>
      <c r="I3" s="149">
        <v>0</v>
      </c>
      <c r="J3" s="149">
        <v>0</v>
      </c>
      <c r="K3" s="158">
        <v>4209.52</v>
      </c>
      <c r="L3" s="158">
        <v>0</v>
      </c>
    </row>
    <row r="4">
      <c r="A4" s="240" t="s">
        <v>946</v>
      </c>
      <c r="B4" s="113" t="s">
        <v>177</v>
      </c>
      <c r="C4" s="158">
        <v>147048.37</v>
      </c>
      <c r="D4" s="158">
        <v>0</v>
      </c>
      <c r="E4" s="149">
        <v>0</v>
      </c>
      <c r="F4" s="149">
        <v>0</v>
      </c>
      <c r="G4" s="149">
        <v>0</v>
      </c>
      <c r="H4" s="149">
        <v>0</v>
      </c>
      <c r="I4" s="149">
        <v>0</v>
      </c>
      <c r="J4" s="149">
        <v>0</v>
      </c>
      <c r="K4" s="158">
        <v>147048.37</v>
      </c>
      <c r="L4" s="158">
        <v>0</v>
      </c>
    </row>
    <row r="5">
      <c r="A5" s="240" t="s">
        <v>1059</v>
      </c>
      <c r="B5" s="113" t="s">
        <v>796</v>
      </c>
      <c r="C5" s="158">
        <v>105852.7</v>
      </c>
      <c r="D5" s="158">
        <v>0</v>
      </c>
      <c r="E5" s="149">
        <v>0</v>
      </c>
      <c r="F5" s="149">
        <v>0</v>
      </c>
      <c r="G5" s="149">
        <v>0</v>
      </c>
      <c r="H5" s="149">
        <v>0</v>
      </c>
      <c r="I5" s="149">
        <v>0</v>
      </c>
      <c r="J5" s="149">
        <v>0</v>
      </c>
      <c r="K5" s="158">
        <v>105852.7</v>
      </c>
      <c r="L5" s="158">
        <v>0</v>
      </c>
    </row>
    <row r="6">
      <c r="A6" s="240" t="s">
        <v>610</v>
      </c>
      <c r="B6" s="113" t="s">
        <v>1261</v>
      </c>
      <c r="C6" s="158">
        <v>81864.27</v>
      </c>
      <c r="D6" s="158">
        <v>0</v>
      </c>
      <c r="E6" s="158">
        <v>5750</v>
      </c>
      <c r="F6" s="149">
        <v>0</v>
      </c>
      <c r="G6" s="149">
        <v>0</v>
      </c>
      <c r="H6" s="149">
        <v>0</v>
      </c>
      <c r="I6" s="158">
        <v>5750</v>
      </c>
      <c r="J6" s="149">
        <v>0</v>
      </c>
      <c r="K6" s="158">
        <v>87614.27</v>
      </c>
      <c r="L6" s="158">
        <v>0</v>
      </c>
    </row>
    <row r="7">
      <c r="A7" s="240" t="s">
        <v>279</v>
      </c>
      <c r="B7" s="113" t="s">
        <v>793</v>
      </c>
      <c r="C7" s="158">
        <v>21930.33</v>
      </c>
      <c r="D7" s="158">
        <v>0</v>
      </c>
      <c r="E7" s="149">
        <v>0</v>
      </c>
      <c r="F7" s="149">
        <v>0</v>
      </c>
      <c r="G7" s="149">
        <v>0</v>
      </c>
      <c r="H7" s="149">
        <v>0</v>
      </c>
      <c r="I7" s="149">
        <v>0</v>
      </c>
      <c r="J7" s="149">
        <v>0</v>
      </c>
      <c r="K7" s="158">
        <v>21930.33</v>
      </c>
      <c r="L7" s="158">
        <v>0</v>
      </c>
    </row>
    <row r="8">
      <c r="A8" s="240" t="s">
        <v>254</v>
      </c>
      <c r="B8" s="113" t="s">
        <v>138</v>
      </c>
      <c r="C8" s="158">
        <v>34342.23</v>
      </c>
      <c r="D8" s="158">
        <v>0</v>
      </c>
      <c r="E8" s="149">
        <v>0</v>
      </c>
      <c r="F8" s="149">
        <v>0</v>
      </c>
      <c r="G8" s="149">
        <v>0</v>
      </c>
      <c r="H8" s="149">
        <v>0</v>
      </c>
      <c r="I8" s="149">
        <v>0</v>
      </c>
      <c r="J8" s="149">
        <v>0</v>
      </c>
      <c r="K8" s="158">
        <v>34342.23</v>
      </c>
      <c r="L8" s="158">
        <v>0</v>
      </c>
    </row>
    <row r="9">
      <c r="A9" s="240" t="s">
        <v>1202</v>
      </c>
      <c r="B9" s="113" t="s">
        <v>634</v>
      </c>
      <c r="C9" s="158">
        <v>0</v>
      </c>
      <c r="D9" s="158">
        <v>0</v>
      </c>
      <c r="E9" s="158">
        <v>2266.08</v>
      </c>
      <c r="F9" s="149">
        <v>0</v>
      </c>
      <c r="G9" s="149">
        <v>0</v>
      </c>
      <c r="H9" s="149">
        <v>0</v>
      </c>
      <c r="I9" s="158">
        <v>2266.08</v>
      </c>
      <c r="J9" s="149">
        <v>0</v>
      </c>
      <c r="K9" s="158">
        <v>2266.08</v>
      </c>
      <c r="L9" s="158">
        <v>0</v>
      </c>
    </row>
    <row r="10">
      <c r="A10" s="240" t="s">
        <v>745</v>
      </c>
      <c r="B10" s="113" t="s">
        <v>1153</v>
      </c>
      <c r="C10" s="158">
        <v>5622.38</v>
      </c>
      <c r="D10" s="158">
        <v>0</v>
      </c>
      <c r="E10" s="149">
        <v>0</v>
      </c>
      <c r="F10" s="149">
        <v>0</v>
      </c>
      <c r="G10" s="149">
        <v>0</v>
      </c>
      <c r="H10" s="149">
        <v>0</v>
      </c>
      <c r="I10" s="149">
        <v>0</v>
      </c>
      <c r="J10" s="149">
        <v>0</v>
      </c>
      <c r="K10" s="158">
        <v>5622.38</v>
      </c>
      <c r="L10" s="158">
        <v>0</v>
      </c>
    </row>
    <row r="11">
      <c r="A11" s="240" t="s">
        <v>1215</v>
      </c>
      <c r="B11" s="113" t="s">
        <v>1153</v>
      </c>
      <c r="C11" s="158">
        <v>777</v>
      </c>
      <c r="D11" s="158">
        <v>0</v>
      </c>
      <c r="E11" s="149">
        <v>0</v>
      </c>
      <c r="F11" s="149">
        <v>0</v>
      </c>
      <c r="G11" s="149">
        <v>0</v>
      </c>
      <c r="H11" s="149">
        <v>0</v>
      </c>
      <c r="I11" s="149">
        <v>0</v>
      </c>
      <c r="J11" s="149">
        <v>0</v>
      </c>
      <c r="K11" s="158">
        <v>777</v>
      </c>
      <c r="L11" s="158">
        <v>0</v>
      </c>
    </row>
    <row r="12">
      <c r="A12" s="240" t="s">
        <v>1371</v>
      </c>
      <c r="B12" s="113" t="s">
        <v>1121</v>
      </c>
      <c r="C12" s="158">
        <v>30163</v>
      </c>
      <c r="D12" s="158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58">
        <v>30163</v>
      </c>
      <c r="L12" s="158">
        <v>0</v>
      </c>
    </row>
    <row r="13">
      <c r="A13" s="240" t="s">
        <v>504</v>
      </c>
      <c r="B13" s="113" t="s">
        <v>1162</v>
      </c>
      <c r="C13" s="158">
        <v>2266.08</v>
      </c>
      <c r="D13" s="158">
        <v>0</v>
      </c>
      <c r="E13" s="158">
        <v>5750</v>
      </c>
      <c r="F13" s="158">
        <v>8016.08</v>
      </c>
      <c r="G13" s="149">
        <v>0</v>
      </c>
      <c r="H13" s="149">
        <v>0</v>
      </c>
      <c r="I13" s="158">
        <v>5750</v>
      </c>
      <c r="J13" s="158">
        <v>8016.08</v>
      </c>
      <c r="K13" s="158">
        <v>0</v>
      </c>
      <c r="L13" s="158">
        <v>0</v>
      </c>
    </row>
    <row r="14">
      <c r="A14" s="240" t="s">
        <v>1046</v>
      </c>
      <c r="B14" s="113" t="s">
        <v>671</v>
      </c>
      <c r="C14" s="158">
        <v>53527.24</v>
      </c>
      <c r="D14" s="158">
        <v>0</v>
      </c>
      <c r="E14" s="149">
        <v>0</v>
      </c>
      <c r="F14" s="149">
        <v>0</v>
      </c>
      <c r="G14" s="149">
        <v>0</v>
      </c>
      <c r="H14" s="149">
        <v>0</v>
      </c>
      <c r="I14" s="149">
        <v>0</v>
      </c>
      <c r="J14" s="149">
        <v>0</v>
      </c>
      <c r="K14" s="158">
        <v>53527.24</v>
      </c>
      <c r="L14" s="158">
        <v>0</v>
      </c>
    </row>
    <row r="15">
      <c r="A15" s="240" t="s">
        <v>768</v>
      </c>
      <c r="B15" s="113" t="s">
        <v>146</v>
      </c>
      <c r="C15" s="158">
        <v>0</v>
      </c>
      <c r="D15" s="158">
        <v>7957.68</v>
      </c>
      <c r="E15" s="149">
        <v>0</v>
      </c>
      <c r="F15" s="149">
        <v>0</v>
      </c>
      <c r="G15" s="149">
        <v>0</v>
      </c>
      <c r="H15" s="149">
        <v>0</v>
      </c>
      <c r="I15" s="149">
        <v>0</v>
      </c>
      <c r="J15" s="149">
        <v>0</v>
      </c>
      <c r="K15" s="158">
        <v>0</v>
      </c>
      <c r="L15" s="158">
        <v>7957.68</v>
      </c>
    </row>
    <row r="16">
      <c r="A16" s="240" t="s">
        <v>1375</v>
      </c>
      <c r="B16" s="113" t="s">
        <v>411</v>
      </c>
      <c r="C16" s="158">
        <v>0</v>
      </c>
      <c r="D16" s="158">
        <v>72515.64</v>
      </c>
      <c r="E16" s="149">
        <v>0</v>
      </c>
      <c r="F16" s="158">
        <v>6860.7</v>
      </c>
      <c r="G16" s="149">
        <v>0</v>
      </c>
      <c r="H16" s="158">
        <v>620.23</v>
      </c>
      <c r="I16" s="149">
        <v>0</v>
      </c>
      <c r="J16" s="158">
        <v>7480.93</v>
      </c>
      <c r="K16" s="158">
        <v>0</v>
      </c>
      <c r="L16" s="158">
        <v>79996.57</v>
      </c>
    </row>
    <row r="17">
      <c r="A17" s="240" t="s">
        <v>766</v>
      </c>
      <c r="B17" s="113" t="s">
        <v>778</v>
      </c>
      <c r="C17" s="158">
        <v>0</v>
      </c>
      <c r="D17" s="158">
        <v>34402.15</v>
      </c>
      <c r="E17" s="149">
        <v>0</v>
      </c>
      <c r="F17" s="158">
        <v>2425.83</v>
      </c>
      <c r="G17" s="149">
        <v>0</v>
      </c>
      <c r="H17" s="158">
        <v>220.53</v>
      </c>
      <c r="I17" s="149">
        <v>0</v>
      </c>
      <c r="J17" s="158">
        <v>2646.36</v>
      </c>
      <c r="K17" s="158">
        <v>0</v>
      </c>
      <c r="L17" s="158">
        <v>37048.51</v>
      </c>
    </row>
    <row r="18">
      <c r="A18" s="240" t="s">
        <v>53</v>
      </c>
      <c r="B18" s="113" t="s">
        <v>1284</v>
      </c>
      <c r="C18" s="158">
        <v>0</v>
      </c>
      <c r="D18" s="158">
        <v>52888</v>
      </c>
      <c r="E18" s="149">
        <v>0</v>
      </c>
      <c r="F18" s="158">
        <v>5057.09</v>
      </c>
      <c r="G18" s="149">
        <v>0</v>
      </c>
      <c r="H18" s="158">
        <v>541.15</v>
      </c>
      <c r="I18" s="149">
        <v>0</v>
      </c>
      <c r="J18" s="158">
        <v>5598.24</v>
      </c>
      <c r="K18" s="158">
        <v>0</v>
      </c>
      <c r="L18" s="158">
        <v>58486.24</v>
      </c>
    </row>
    <row r="19">
      <c r="A19" s="240" t="s">
        <v>1288</v>
      </c>
      <c r="B19" s="113" t="s">
        <v>194</v>
      </c>
      <c r="C19" s="158">
        <v>0</v>
      </c>
      <c r="D19" s="158">
        <v>18275.29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58">
        <v>0</v>
      </c>
      <c r="L19" s="158">
        <v>18275.29</v>
      </c>
    </row>
    <row r="20">
      <c r="A20" s="270" t="s">
        <v>302</v>
      </c>
      <c r="B20" s="75" t="s">
        <v>695</v>
      </c>
      <c r="C20" s="193">
        <v>0</v>
      </c>
      <c r="D20" s="193">
        <v>34342.23</v>
      </c>
      <c r="E20" s="178">
        <v>0</v>
      </c>
      <c r="F20" s="178">
        <v>0</v>
      </c>
      <c r="G20" s="178">
        <v>0</v>
      </c>
      <c r="H20" s="178">
        <v>0</v>
      </c>
      <c r="I20" s="178">
        <v>0</v>
      </c>
      <c r="J20" s="178">
        <v>0</v>
      </c>
      <c r="K20" s="193">
        <v>0</v>
      </c>
      <c r="L20" s="193">
        <v>34342.23</v>
      </c>
    </row>
    <row r="21">
      <c r="A21" s="270" t="s">
        <v>1071</v>
      </c>
      <c r="B21" s="75" t="s">
        <v>1317</v>
      </c>
      <c r="C21" s="193">
        <v>0</v>
      </c>
      <c r="D21" s="193">
        <v>0</v>
      </c>
      <c r="E21" s="178">
        <v>0</v>
      </c>
      <c r="F21" s="193">
        <v>346.17</v>
      </c>
      <c r="G21" s="178">
        <v>0</v>
      </c>
      <c r="H21" s="193">
        <v>31.47</v>
      </c>
      <c r="I21" s="178">
        <v>0</v>
      </c>
      <c r="J21" s="193">
        <v>377.64</v>
      </c>
      <c r="K21" s="193">
        <v>0</v>
      </c>
      <c r="L21" s="193">
        <v>377.64</v>
      </c>
    </row>
    <row r="22">
      <c r="A22" s="270" t="s">
        <v>1214</v>
      </c>
      <c r="B22" s="75" t="s">
        <v>533</v>
      </c>
      <c r="C22" s="193">
        <v>0</v>
      </c>
      <c r="D22" s="193">
        <v>5091.7</v>
      </c>
      <c r="E22" s="178">
        <v>0</v>
      </c>
      <c r="F22" s="193">
        <v>224.62</v>
      </c>
      <c r="G22" s="178">
        <v>0</v>
      </c>
      <c r="H22" s="193">
        <v>20.42</v>
      </c>
      <c r="I22" s="178">
        <v>0</v>
      </c>
      <c r="J22" s="193">
        <v>245.04</v>
      </c>
      <c r="K22" s="193">
        <v>0</v>
      </c>
      <c r="L22" s="193">
        <v>5336.74</v>
      </c>
    </row>
    <row r="23">
      <c r="A23" s="270" t="s">
        <v>380</v>
      </c>
      <c r="B23" s="75" t="s">
        <v>533</v>
      </c>
      <c r="C23" s="193">
        <v>0</v>
      </c>
      <c r="D23" s="193">
        <v>777</v>
      </c>
      <c r="E23" s="178">
        <v>0</v>
      </c>
      <c r="F23" s="178">
        <v>0</v>
      </c>
      <c r="G23" s="178">
        <v>0</v>
      </c>
      <c r="H23" s="178">
        <v>0</v>
      </c>
      <c r="I23" s="178">
        <v>0</v>
      </c>
      <c r="J23" s="178">
        <v>0</v>
      </c>
      <c r="K23" s="193">
        <v>0</v>
      </c>
      <c r="L23" s="193">
        <v>777</v>
      </c>
    </row>
    <row r="24">
      <c r="A24" s="270" t="s">
        <v>109</v>
      </c>
      <c r="B24" s="75" t="s">
        <v>967</v>
      </c>
      <c r="C24" s="193">
        <v>0</v>
      </c>
      <c r="D24" s="193">
        <v>0</v>
      </c>
      <c r="E24" s="193">
        <v>91054.72</v>
      </c>
      <c r="F24" s="193">
        <v>90385.46</v>
      </c>
      <c r="G24" s="193">
        <v>399.69</v>
      </c>
      <c r="H24" s="178">
        <v>0</v>
      </c>
      <c r="I24" s="193">
        <v>91454.41</v>
      </c>
      <c r="J24" s="193">
        <v>90385.46</v>
      </c>
      <c r="K24" s="193">
        <v>1068.95</v>
      </c>
      <c r="L24" s="193">
        <v>0</v>
      </c>
    </row>
    <row r="25">
      <c r="A25" s="270" t="s">
        <v>1292</v>
      </c>
      <c r="B25" s="75" t="s">
        <v>105</v>
      </c>
      <c r="C25" s="193">
        <v>0</v>
      </c>
      <c r="D25" s="193">
        <v>0</v>
      </c>
      <c r="E25" s="193">
        <v>379.15</v>
      </c>
      <c r="F25" s="193">
        <v>128.35</v>
      </c>
      <c r="G25" s="193">
        <v>-143.56</v>
      </c>
      <c r="H25" s="178">
        <v>0</v>
      </c>
      <c r="I25" s="193">
        <v>235.59</v>
      </c>
      <c r="J25" s="193">
        <v>128.35</v>
      </c>
      <c r="K25" s="193">
        <v>107.24</v>
      </c>
      <c r="L25" s="193">
        <v>0</v>
      </c>
    </row>
    <row r="26">
      <c r="A26" s="270" t="s">
        <v>476</v>
      </c>
      <c r="B26" s="75" t="s">
        <v>600</v>
      </c>
      <c r="C26" s="193">
        <v>0</v>
      </c>
      <c r="D26" s="193">
        <v>0</v>
      </c>
      <c r="E26" s="193">
        <v>107228.07</v>
      </c>
      <c r="F26" s="193">
        <v>107228.03</v>
      </c>
      <c r="G26" s="178">
        <v>0</v>
      </c>
      <c r="H26" s="178">
        <v>0</v>
      </c>
      <c r="I26" s="193">
        <v>107228.07</v>
      </c>
      <c r="J26" s="193">
        <v>107228.03</v>
      </c>
      <c r="K26" s="193">
        <v>0.04</v>
      </c>
      <c r="L26" s="193">
        <v>0</v>
      </c>
    </row>
    <row r="27">
      <c r="A27" s="270" t="s">
        <v>632</v>
      </c>
      <c r="B27" s="75" t="s">
        <v>312</v>
      </c>
      <c r="C27" s="193">
        <v>14140.82</v>
      </c>
      <c r="D27" s="193">
        <v>0</v>
      </c>
      <c r="E27" s="193">
        <v>200268.35</v>
      </c>
      <c r="F27" s="193">
        <v>200292.67</v>
      </c>
      <c r="G27" s="193">
        <v>510.89</v>
      </c>
      <c r="H27" s="178">
        <v>0</v>
      </c>
      <c r="I27" s="193">
        <v>200779.24</v>
      </c>
      <c r="J27" s="193">
        <v>200292.67</v>
      </c>
      <c r="K27" s="193">
        <v>14627.39</v>
      </c>
      <c r="L27" s="193">
        <v>0</v>
      </c>
    </row>
    <row r="28">
      <c r="A28" s="270" t="s">
        <v>966</v>
      </c>
      <c r="B28" s="75" t="s">
        <v>667</v>
      </c>
      <c r="C28" s="193">
        <v>0</v>
      </c>
      <c r="D28" s="193">
        <v>0</v>
      </c>
      <c r="E28" s="178">
        <v>0</v>
      </c>
      <c r="F28" s="193">
        <v>4192.77</v>
      </c>
      <c r="G28" s="193">
        <v>4192.77</v>
      </c>
      <c r="H28" s="178">
        <v>0</v>
      </c>
      <c r="I28" s="193">
        <v>4192.77</v>
      </c>
      <c r="J28" s="193">
        <v>4192.77</v>
      </c>
      <c r="K28" s="193">
        <v>0</v>
      </c>
      <c r="L28" s="193">
        <v>0</v>
      </c>
    </row>
    <row r="29">
      <c r="A29" s="270" t="s">
        <v>1378</v>
      </c>
      <c r="B29" s="75" t="s">
        <v>1342</v>
      </c>
      <c r="C29" s="193">
        <v>1465.51</v>
      </c>
      <c r="D29" s="193">
        <v>0</v>
      </c>
      <c r="E29" s="193">
        <v>-87.69</v>
      </c>
      <c r="F29" s="193">
        <v>250.8</v>
      </c>
      <c r="G29" s="178">
        <v>0</v>
      </c>
      <c r="H29" s="193">
        <v>510.89</v>
      </c>
      <c r="I29" s="193">
        <v>-87.69</v>
      </c>
      <c r="J29" s="193">
        <v>761.69</v>
      </c>
      <c r="K29" s="193">
        <v>616.13</v>
      </c>
      <c r="L29" s="193">
        <v>0</v>
      </c>
    </row>
    <row r="30">
      <c r="A30" s="270" t="s">
        <v>767</v>
      </c>
      <c r="B30" s="75" t="s">
        <v>474</v>
      </c>
      <c r="C30" s="193">
        <v>8700</v>
      </c>
      <c r="D30" s="193">
        <v>0</v>
      </c>
      <c r="E30" s="178">
        <v>0</v>
      </c>
      <c r="F30" s="178">
        <v>0</v>
      </c>
      <c r="G30" s="178">
        <v>0</v>
      </c>
      <c r="H30" s="178">
        <v>0</v>
      </c>
      <c r="I30" s="178">
        <v>0</v>
      </c>
      <c r="J30" s="178">
        <v>0</v>
      </c>
      <c r="K30" s="193">
        <v>8700</v>
      </c>
      <c r="L30" s="193">
        <v>0</v>
      </c>
    </row>
    <row r="31">
      <c r="A31" s="270" t="s">
        <v>96</v>
      </c>
      <c r="B31" s="75" t="s">
        <v>1313</v>
      </c>
      <c r="C31" s="193">
        <v>66974.23</v>
      </c>
      <c r="D31" s="193">
        <v>0</v>
      </c>
      <c r="E31" s="193">
        <v>332307.54</v>
      </c>
      <c r="F31" s="193">
        <v>327485.62</v>
      </c>
      <c r="G31" s="193">
        <v>27755.92</v>
      </c>
      <c r="H31" s="193">
        <v>94247.44</v>
      </c>
      <c r="I31" s="193">
        <v>360063.46</v>
      </c>
      <c r="J31" s="193">
        <v>421733.06</v>
      </c>
      <c r="K31" s="193">
        <v>5304.63</v>
      </c>
      <c r="L31" s="193">
        <v>0</v>
      </c>
    </row>
    <row r="32">
      <c r="A32" s="270" t="s">
        <v>712</v>
      </c>
      <c r="B32" s="75" t="s">
        <v>448</v>
      </c>
      <c r="C32" s="193">
        <v>156.67</v>
      </c>
      <c r="D32" s="193">
        <v>0</v>
      </c>
      <c r="E32" s="193">
        <v>15000</v>
      </c>
      <c r="F32" s="193">
        <v>13282.25</v>
      </c>
      <c r="G32" s="178">
        <v>0</v>
      </c>
      <c r="H32" s="193">
        <v>1496.04</v>
      </c>
      <c r="I32" s="193">
        <v>15000</v>
      </c>
      <c r="J32" s="193">
        <v>14778.29</v>
      </c>
      <c r="K32" s="193">
        <v>378.38</v>
      </c>
      <c r="L32" s="193">
        <v>0</v>
      </c>
    </row>
    <row r="33">
      <c r="A33" s="270" t="s">
        <v>1002</v>
      </c>
      <c r="B33" s="75" t="s">
        <v>348</v>
      </c>
      <c r="C33" s="193">
        <v>109.2</v>
      </c>
      <c r="D33" s="193">
        <v>0</v>
      </c>
      <c r="E33" s="193">
        <v>2260.49</v>
      </c>
      <c r="F33" s="178">
        <v>0</v>
      </c>
      <c r="G33" s="178">
        <v>0</v>
      </c>
      <c r="H33" s="178">
        <v>0</v>
      </c>
      <c r="I33" s="193">
        <v>2260.49</v>
      </c>
      <c r="J33" s="178">
        <v>0</v>
      </c>
      <c r="K33" s="193">
        <v>2369.69</v>
      </c>
      <c r="L33" s="193">
        <v>0</v>
      </c>
    </row>
    <row r="34">
      <c r="A34" s="270" t="s">
        <v>770</v>
      </c>
      <c r="B34" s="75" t="s">
        <v>356</v>
      </c>
      <c r="C34" s="193">
        <v>1.1</v>
      </c>
      <c r="D34" s="193">
        <v>0</v>
      </c>
      <c r="E34" s="178">
        <v>0</v>
      </c>
      <c r="F34" s="178">
        <v>0</v>
      </c>
      <c r="G34" s="178">
        <v>0</v>
      </c>
      <c r="H34" s="178">
        <v>0</v>
      </c>
      <c r="I34" s="178">
        <v>0</v>
      </c>
      <c r="J34" s="178">
        <v>0</v>
      </c>
      <c r="K34" s="193">
        <v>1.1</v>
      </c>
      <c r="L34" s="193">
        <v>0</v>
      </c>
    </row>
    <row r="35">
      <c r="A35" s="270" t="s">
        <v>690</v>
      </c>
      <c r="B35" s="75" t="s">
        <v>1356</v>
      </c>
      <c r="C35" s="193">
        <v>19689.23</v>
      </c>
      <c r="D35" s="193">
        <v>0</v>
      </c>
      <c r="E35" s="193">
        <v>486589.32</v>
      </c>
      <c r="F35" s="193">
        <v>524087</v>
      </c>
      <c r="G35" s="193">
        <v>4249.44</v>
      </c>
      <c r="H35" s="193">
        <v>18479.77</v>
      </c>
      <c r="I35" s="193">
        <v>490838.76</v>
      </c>
      <c r="J35" s="193">
        <v>542566.77</v>
      </c>
      <c r="K35" s="193">
        <v>0</v>
      </c>
      <c r="L35" s="193">
        <v>32038.78</v>
      </c>
    </row>
    <row r="36">
      <c r="A36" s="270" t="s">
        <v>126</v>
      </c>
      <c r="B36" s="75" t="s">
        <v>1058</v>
      </c>
      <c r="C36" s="193">
        <v>0</v>
      </c>
      <c r="D36" s="193">
        <v>27018.07</v>
      </c>
      <c r="E36" s="178">
        <v>0</v>
      </c>
      <c r="F36" s="178">
        <v>0</v>
      </c>
      <c r="G36" s="178">
        <v>0</v>
      </c>
      <c r="H36" s="178">
        <v>0</v>
      </c>
      <c r="I36" s="178">
        <v>0</v>
      </c>
      <c r="J36" s="178">
        <v>0</v>
      </c>
      <c r="K36" s="193">
        <v>0</v>
      </c>
      <c r="L36" s="193">
        <v>27018.07</v>
      </c>
    </row>
    <row r="37">
      <c r="A37" s="270" t="s">
        <v>763</v>
      </c>
      <c r="B37" s="75" t="s">
        <v>320</v>
      </c>
      <c r="C37" s="193">
        <v>0</v>
      </c>
      <c r="D37" s="193">
        <v>0</v>
      </c>
      <c r="E37" s="193">
        <v>29589.3</v>
      </c>
      <c r="F37" s="193">
        <v>31589.3</v>
      </c>
      <c r="G37" s="193">
        <v>6500</v>
      </c>
      <c r="H37" s="193">
        <v>4500</v>
      </c>
      <c r="I37" s="193">
        <v>36089.3</v>
      </c>
      <c r="J37" s="193">
        <v>36089.3</v>
      </c>
      <c r="K37" s="193">
        <v>0</v>
      </c>
      <c r="L37" s="193">
        <v>0</v>
      </c>
    </row>
    <row r="38">
      <c r="A38" s="270" t="s">
        <v>867</v>
      </c>
      <c r="B38" s="75" t="s">
        <v>1379</v>
      </c>
      <c r="C38" s="193">
        <v>0</v>
      </c>
      <c r="D38" s="193">
        <v>0</v>
      </c>
      <c r="E38" s="193">
        <v>278227.76</v>
      </c>
      <c r="F38" s="193">
        <v>278227.76</v>
      </c>
      <c r="G38" s="193">
        <v>7510.47</v>
      </c>
      <c r="H38" s="193">
        <v>7510.47</v>
      </c>
      <c r="I38" s="193">
        <v>285738.23</v>
      </c>
      <c r="J38" s="193">
        <v>285738.23</v>
      </c>
      <c r="K38" s="193">
        <v>0</v>
      </c>
      <c r="L38" s="193">
        <v>0</v>
      </c>
    </row>
    <row r="39">
      <c r="A39" s="270" t="s">
        <v>954</v>
      </c>
      <c r="B39" s="75" t="s">
        <v>141</v>
      </c>
      <c r="C39" s="193">
        <v>28390.48</v>
      </c>
      <c r="D39" s="193">
        <v>0</v>
      </c>
      <c r="E39" s="193">
        <v>150754.43</v>
      </c>
      <c r="F39" s="193">
        <v>158848.41</v>
      </c>
      <c r="G39" s="193">
        <v>9978.51</v>
      </c>
      <c r="H39" s="193">
        <v>35142.41</v>
      </c>
      <c r="I39" s="193">
        <v>160732.94</v>
      </c>
      <c r="J39" s="193">
        <v>193990.82</v>
      </c>
      <c r="K39" s="193">
        <v>0</v>
      </c>
      <c r="L39" s="193">
        <v>4867.4</v>
      </c>
    </row>
    <row r="40">
      <c r="A40" s="270" t="s">
        <v>231</v>
      </c>
      <c r="B40" s="75" t="s">
        <v>125</v>
      </c>
      <c r="C40" s="193">
        <v>0</v>
      </c>
      <c r="D40" s="193">
        <v>18</v>
      </c>
      <c r="E40" s="193">
        <v>120015.52</v>
      </c>
      <c r="F40" s="193">
        <v>119997.52</v>
      </c>
      <c r="G40" s="193">
        <v>1297.89</v>
      </c>
      <c r="H40" s="193">
        <v>1297.89</v>
      </c>
      <c r="I40" s="193">
        <v>121313.41</v>
      </c>
      <c r="J40" s="193">
        <v>121295.41</v>
      </c>
      <c r="K40" s="193">
        <v>0</v>
      </c>
      <c r="L40" s="193">
        <v>0</v>
      </c>
    </row>
    <row r="41">
      <c r="A41" s="270" t="s">
        <v>727</v>
      </c>
      <c r="B41" s="75" t="s">
        <v>252</v>
      </c>
      <c r="C41" s="193">
        <v>0</v>
      </c>
      <c r="D41" s="193">
        <v>282572.91</v>
      </c>
      <c r="E41" s="193">
        <v>433144.99</v>
      </c>
      <c r="F41" s="193">
        <v>330977.51</v>
      </c>
      <c r="G41" s="193">
        <v>39054.17</v>
      </c>
      <c r="H41" s="193">
        <v>19774.82</v>
      </c>
      <c r="I41" s="193">
        <v>472199.16</v>
      </c>
      <c r="J41" s="193">
        <v>350752.33</v>
      </c>
      <c r="K41" s="193">
        <v>0</v>
      </c>
      <c r="L41" s="193">
        <v>161126.08</v>
      </c>
    </row>
    <row r="42">
      <c r="A42" s="270" t="s">
        <v>740</v>
      </c>
      <c r="B42" s="75" t="s">
        <v>1034</v>
      </c>
      <c r="C42" s="193">
        <v>0</v>
      </c>
      <c r="D42" s="193">
        <v>14930.54</v>
      </c>
      <c r="E42" s="193">
        <v>5749.55</v>
      </c>
      <c r="F42" s="193">
        <v>5321.76</v>
      </c>
      <c r="G42" s="193">
        <v>14573.68</v>
      </c>
      <c r="H42" s="193">
        <v>70.93</v>
      </c>
      <c r="I42" s="193">
        <v>20323.23</v>
      </c>
      <c r="J42" s="193">
        <v>5392.69</v>
      </c>
      <c r="K42" s="193">
        <v>0</v>
      </c>
      <c r="L42" s="193">
        <v>0</v>
      </c>
    </row>
    <row r="43">
      <c r="A43" s="270" t="s">
        <v>472</v>
      </c>
      <c r="B43" s="75" t="s">
        <v>1011</v>
      </c>
      <c r="C43" s="193">
        <v>0</v>
      </c>
      <c r="D43" s="193">
        <v>28617.97</v>
      </c>
      <c r="E43" s="193">
        <v>83291.25</v>
      </c>
      <c r="F43" s="193">
        <v>80908.95</v>
      </c>
      <c r="G43" s="193">
        <v>26235.67</v>
      </c>
      <c r="H43" s="178">
        <v>0</v>
      </c>
      <c r="I43" s="193">
        <v>109526.92</v>
      </c>
      <c r="J43" s="193">
        <v>80908.95</v>
      </c>
      <c r="K43" s="193">
        <v>0</v>
      </c>
      <c r="L43" s="193">
        <v>0</v>
      </c>
    </row>
    <row r="44">
      <c r="A44" s="270" t="s">
        <v>1139</v>
      </c>
      <c r="B44" s="75" t="s">
        <v>997</v>
      </c>
      <c r="C44" s="193">
        <v>0</v>
      </c>
      <c r="D44" s="193">
        <v>0</v>
      </c>
      <c r="E44" s="178">
        <v>0</v>
      </c>
      <c r="F44" s="193">
        <v>11.8</v>
      </c>
      <c r="G44" s="193">
        <v>11.8</v>
      </c>
      <c r="H44" s="178">
        <v>0</v>
      </c>
      <c r="I44" s="193">
        <v>11.8</v>
      </c>
      <c r="J44" s="193">
        <v>11.8</v>
      </c>
      <c r="K44" s="193">
        <v>0</v>
      </c>
      <c r="L44" s="193">
        <v>0</v>
      </c>
    </row>
    <row r="45">
      <c r="A45" s="270" t="s">
        <v>913</v>
      </c>
      <c r="B45" s="75" t="s">
        <v>1023</v>
      </c>
      <c r="C45" s="193">
        <v>0</v>
      </c>
      <c r="D45" s="193">
        <v>40751.04</v>
      </c>
      <c r="E45" s="178">
        <v>0</v>
      </c>
      <c r="F45" s="193">
        <v>118.49</v>
      </c>
      <c r="G45" s="193">
        <v>3245.6</v>
      </c>
      <c r="H45" s="193">
        <v>-31169.55</v>
      </c>
      <c r="I45" s="193">
        <v>3245.6</v>
      </c>
      <c r="J45" s="193">
        <v>-31051.06</v>
      </c>
      <c r="K45" s="193">
        <v>0</v>
      </c>
      <c r="L45" s="193">
        <v>6454.38</v>
      </c>
    </row>
    <row r="46">
      <c r="A46" s="270" t="s">
        <v>95</v>
      </c>
      <c r="B46" s="75" t="s">
        <v>674</v>
      </c>
      <c r="C46" s="193">
        <v>47416.57</v>
      </c>
      <c r="D46" s="193">
        <v>0</v>
      </c>
      <c r="E46" s="193">
        <v>683.9</v>
      </c>
      <c r="F46" s="193">
        <v>3500</v>
      </c>
      <c r="G46" s="193">
        <v>-42800.47</v>
      </c>
      <c r="H46" s="193">
        <v>-3500</v>
      </c>
      <c r="I46" s="193">
        <v>-42116.57</v>
      </c>
      <c r="J46" s="193">
        <v>0</v>
      </c>
      <c r="K46" s="193">
        <v>5300</v>
      </c>
      <c r="L46" s="193">
        <v>0</v>
      </c>
    </row>
    <row r="47">
      <c r="A47" s="270" t="s">
        <v>1043</v>
      </c>
      <c r="B47" s="75" t="s">
        <v>949</v>
      </c>
      <c r="C47" s="193">
        <v>192.6</v>
      </c>
      <c r="D47" s="193">
        <v>0</v>
      </c>
      <c r="E47" s="193">
        <v>1535</v>
      </c>
      <c r="F47" s="193">
        <v>2539.4</v>
      </c>
      <c r="G47" s="178">
        <v>0</v>
      </c>
      <c r="H47" s="178">
        <v>0</v>
      </c>
      <c r="I47" s="193">
        <v>1535</v>
      </c>
      <c r="J47" s="193">
        <v>2539.4</v>
      </c>
      <c r="K47" s="193">
        <v>0</v>
      </c>
      <c r="L47" s="193">
        <v>811.8</v>
      </c>
    </row>
    <row r="48">
      <c r="A48" s="270" t="s">
        <v>721</v>
      </c>
      <c r="B48" s="75" t="s">
        <v>161</v>
      </c>
      <c r="C48" s="193">
        <v>0</v>
      </c>
      <c r="D48" s="193">
        <v>0</v>
      </c>
      <c r="E48" s="178">
        <v>0</v>
      </c>
      <c r="F48" s="178">
        <v>0</v>
      </c>
      <c r="G48" s="178">
        <v>0</v>
      </c>
      <c r="H48" s="193">
        <v>20299.84</v>
      </c>
      <c r="I48" s="178">
        <v>0</v>
      </c>
      <c r="J48" s="193">
        <v>20299.84</v>
      </c>
      <c r="K48" s="193">
        <v>0</v>
      </c>
      <c r="L48" s="193">
        <v>20299.84</v>
      </c>
    </row>
    <row r="49">
      <c r="A49" s="270" t="s">
        <v>1031</v>
      </c>
      <c r="B49" s="75" t="s">
        <v>631</v>
      </c>
      <c r="C49" s="193">
        <v>1400.6</v>
      </c>
      <c r="D49" s="193">
        <v>0</v>
      </c>
      <c r="E49" s="178">
        <v>0</v>
      </c>
      <c r="F49" s="178">
        <v>0</v>
      </c>
      <c r="G49" s="178">
        <v>0</v>
      </c>
      <c r="H49" s="193">
        <v>5259.65</v>
      </c>
      <c r="I49" s="178">
        <v>0</v>
      </c>
      <c r="J49" s="193">
        <v>5259.65</v>
      </c>
      <c r="K49" s="193">
        <v>0</v>
      </c>
      <c r="L49" s="193">
        <v>3859.05</v>
      </c>
    </row>
    <row r="50">
      <c r="A50" s="270" t="s">
        <v>609</v>
      </c>
      <c r="B50" s="75" t="s">
        <v>676</v>
      </c>
      <c r="C50" s="193">
        <v>2010.73</v>
      </c>
      <c r="D50" s="193">
        <v>0</v>
      </c>
      <c r="E50" s="193">
        <v>126</v>
      </c>
      <c r="F50" s="178">
        <v>0</v>
      </c>
      <c r="G50" s="193">
        <v>432</v>
      </c>
      <c r="H50" s="193">
        <v>2568.73</v>
      </c>
      <c r="I50" s="193">
        <v>558</v>
      </c>
      <c r="J50" s="193">
        <v>2568.73</v>
      </c>
      <c r="K50" s="193">
        <v>0</v>
      </c>
      <c r="L50" s="193">
        <v>0</v>
      </c>
    </row>
    <row r="51">
      <c r="A51" s="270" t="s">
        <v>1053</v>
      </c>
      <c r="B51" s="75" t="s">
        <v>633</v>
      </c>
      <c r="C51" s="193">
        <v>0</v>
      </c>
      <c r="D51" s="193">
        <v>16768.81</v>
      </c>
      <c r="E51" s="193">
        <v>146416.64</v>
      </c>
      <c r="F51" s="193">
        <v>134973.57</v>
      </c>
      <c r="G51" s="193">
        <v>5941.7</v>
      </c>
      <c r="H51" s="193">
        <v>6893.93</v>
      </c>
      <c r="I51" s="193">
        <v>152358.34</v>
      </c>
      <c r="J51" s="193">
        <v>141867.5</v>
      </c>
      <c r="K51" s="193">
        <v>0</v>
      </c>
      <c r="L51" s="193">
        <v>6277.97</v>
      </c>
    </row>
    <row r="52">
      <c r="A52" s="270" t="s">
        <v>11</v>
      </c>
      <c r="B52" s="75" t="s">
        <v>402</v>
      </c>
      <c r="C52" s="193">
        <v>0</v>
      </c>
      <c r="D52" s="193">
        <v>362.88</v>
      </c>
      <c r="E52" s="193">
        <v>1362.24</v>
      </c>
      <c r="F52" s="193">
        <v>1601.22</v>
      </c>
      <c r="G52" s="193">
        <v>601.86</v>
      </c>
      <c r="H52" s="178">
        <v>0</v>
      </c>
      <c r="I52" s="193">
        <v>1964.1</v>
      </c>
      <c r="J52" s="193">
        <v>1601.22</v>
      </c>
      <c r="K52" s="193">
        <v>0</v>
      </c>
      <c r="L52" s="193">
        <v>0</v>
      </c>
    </row>
    <row r="53">
      <c r="A53" s="270" t="s">
        <v>669</v>
      </c>
      <c r="B53" s="75" t="s">
        <v>955</v>
      </c>
      <c r="C53" s="193">
        <v>0</v>
      </c>
      <c r="D53" s="193">
        <v>14913.18</v>
      </c>
      <c r="E53" s="193">
        <v>37309.05</v>
      </c>
      <c r="F53" s="193">
        <v>28113.77</v>
      </c>
      <c r="G53" s="193">
        <v>2432.21</v>
      </c>
      <c r="H53" s="193">
        <v>1111.84</v>
      </c>
      <c r="I53" s="193">
        <v>39741.26</v>
      </c>
      <c r="J53" s="193">
        <v>29225.61</v>
      </c>
      <c r="K53" s="193">
        <v>0</v>
      </c>
      <c r="L53" s="193">
        <v>4397.53</v>
      </c>
    </row>
    <row r="54">
      <c r="A54" s="270" t="s">
        <v>140</v>
      </c>
      <c r="B54" s="75" t="s">
        <v>51</v>
      </c>
      <c r="C54" s="193">
        <v>0</v>
      </c>
      <c r="D54" s="193">
        <v>5505.16</v>
      </c>
      <c r="E54" s="193">
        <v>16172.35</v>
      </c>
      <c r="F54" s="193">
        <v>11419.7</v>
      </c>
      <c r="G54" s="193">
        <v>923.21</v>
      </c>
      <c r="H54" s="193">
        <v>553.1</v>
      </c>
      <c r="I54" s="193">
        <v>17095.56</v>
      </c>
      <c r="J54" s="193">
        <v>11972.8</v>
      </c>
      <c r="K54" s="193">
        <v>0</v>
      </c>
      <c r="L54" s="193">
        <v>382.4</v>
      </c>
    </row>
    <row r="55">
      <c r="A55" s="270" t="s">
        <v>789</v>
      </c>
      <c r="B55" s="75" t="s">
        <v>155</v>
      </c>
      <c r="C55" s="193">
        <v>0</v>
      </c>
      <c r="D55" s="193">
        <v>7669.76</v>
      </c>
      <c r="E55" s="178">
        <v>0</v>
      </c>
      <c r="F55" s="178">
        <v>0</v>
      </c>
      <c r="G55" s="178">
        <v>0</v>
      </c>
      <c r="H55" s="193">
        <v>-7669.76</v>
      </c>
      <c r="I55" s="178">
        <v>0</v>
      </c>
      <c r="J55" s="193">
        <v>-7669.76</v>
      </c>
      <c r="K55" s="193">
        <v>0</v>
      </c>
      <c r="L55" s="193">
        <v>0</v>
      </c>
    </row>
    <row r="56">
      <c r="A56" s="270" t="s">
        <v>582</v>
      </c>
      <c r="B56" s="75" t="s">
        <v>122</v>
      </c>
      <c r="C56" s="193">
        <v>0</v>
      </c>
      <c r="D56" s="193">
        <v>1688.43</v>
      </c>
      <c r="E56" s="193">
        <v>5605.73</v>
      </c>
      <c r="F56" s="193">
        <v>5481.22</v>
      </c>
      <c r="G56" s="193">
        <v>1563.92</v>
      </c>
      <c r="H56" s="193">
        <v>226.51</v>
      </c>
      <c r="I56" s="193">
        <v>7169.65</v>
      </c>
      <c r="J56" s="193">
        <v>5707.73</v>
      </c>
      <c r="K56" s="193">
        <v>0</v>
      </c>
      <c r="L56" s="193">
        <v>226.51</v>
      </c>
    </row>
    <row r="57">
      <c r="A57" s="270" t="s">
        <v>44</v>
      </c>
      <c r="B57" s="75" t="s">
        <v>1301</v>
      </c>
      <c r="C57" s="193">
        <v>49.74</v>
      </c>
      <c r="D57" s="193">
        <v>0</v>
      </c>
      <c r="E57" s="193">
        <v>72587.18</v>
      </c>
      <c r="F57" s="193">
        <v>69063.97</v>
      </c>
      <c r="G57" s="193">
        <v>3185.42</v>
      </c>
      <c r="H57" s="193">
        <v>4714.85</v>
      </c>
      <c r="I57" s="193">
        <v>75772.6</v>
      </c>
      <c r="J57" s="193">
        <v>73778.82</v>
      </c>
      <c r="K57" s="193">
        <v>2043.52</v>
      </c>
      <c r="L57" s="193">
        <v>0</v>
      </c>
    </row>
    <row r="58">
      <c r="A58" s="270" t="s">
        <v>1280</v>
      </c>
      <c r="B58" s="75" t="s">
        <v>417</v>
      </c>
      <c r="C58" s="193">
        <v>0</v>
      </c>
      <c r="D58" s="193">
        <v>0</v>
      </c>
      <c r="E58" s="193">
        <v>1427.2</v>
      </c>
      <c r="F58" s="193">
        <v>1427.2</v>
      </c>
      <c r="G58" s="193">
        <v>37.38</v>
      </c>
      <c r="H58" s="193">
        <v>37.38</v>
      </c>
      <c r="I58" s="193">
        <v>1464.58</v>
      </c>
      <c r="J58" s="193">
        <v>1464.58</v>
      </c>
      <c r="K58" s="193">
        <v>0</v>
      </c>
      <c r="L58" s="193">
        <v>0</v>
      </c>
    </row>
    <row r="59">
      <c r="A59" s="270" t="s">
        <v>1259</v>
      </c>
      <c r="B59" s="75" t="s">
        <v>879</v>
      </c>
      <c r="C59" s="193">
        <v>0</v>
      </c>
      <c r="D59" s="193">
        <v>0</v>
      </c>
      <c r="E59" s="193">
        <v>50820.22</v>
      </c>
      <c r="F59" s="193">
        <v>50820.22</v>
      </c>
      <c r="G59" s="193">
        <v>2827.1</v>
      </c>
      <c r="H59" s="193">
        <v>2827.1</v>
      </c>
      <c r="I59" s="193">
        <v>53647.32</v>
      </c>
      <c r="J59" s="193">
        <v>53647.32</v>
      </c>
      <c r="K59" s="193">
        <v>0</v>
      </c>
      <c r="L59" s="193">
        <v>0</v>
      </c>
    </row>
    <row r="60">
      <c r="A60" s="270" t="s">
        <v>28</v>
      </c>
      <c r="B60" s="75" t="s">
        <v>214</v>
      </c>
      <c r="C60" s="193">
        <v>0</v>
      </c>
      <c r="D60" s="193">
        <v>0</v>
      </c>
      <c r="E60" s="193">
        <v>5.78</v>
      </c>
      <c r="F60" s="193">
        <v>5.78</v>
      </c>
      <c r="G60" s="178">
        <v>0</v>
      </c>
      <c r="H60" s="178">
        <v>0</v>
      </c>
      <c r="I60" s="193">
        <v>5.78</v>
      </c>
      <c r="J60" s="193">
        <v>5.78</v>
      </c>
      <c r="K60" s="193">
        <v>0</v>
      </c>
      <c r="L60" s="193">
        <v>0</v>
      </c>
    </row>
    <row r="61">
      <c r="A61" s="270" t="s">
        <v>186</v>
      </c>
      <c r="B61" s="75" t="s">
        <v>377</v>
      </c>
      <c r="C61" s="193">
        <v>0</v>
      </c>
      <c r="D61" s="193">
        <v>0</v>
      </c>
      <c r="E61" s="193">
        <v>755.99</v>
      </c>
      <c r="F61" s="193">
        <v>755.99</v>
      </c>
      <c r="G61" s="193">
        <v>14.18</v>
      </c>
      <c r="H61" s="193">
        <v>14.18</v>
      </c>
      <c r="I61" s="193">
        <v>770.17</v>
      </c>
      <c r="J61" s="193">
        <v>770.17</v>
      </c>
      <c r="K61" s="193">
        <v>0</v>
      </c>
      <c r="L61" s="193">
        <v>0</v>
      </c>
    </row>
    <row r="62">
      <c r="A62" s="270" t="s">
        <v>907</v>
      </c>
      <c r="B62" s="75" t="s">
        <v>982</v>
      </c>
      <c r="C62" s="193">
        <v>0</v>
      </c>
      <c r="D62" s="193">
        <v>0</v>
      </c>
      <c r="E62" s="193">
        <v>3355.8</v>
      </c>
      <c r="F62" s="193">
        <v>3355.8</v>
      </c>
      <c r="G62" s="193">
        <v>306.76</v>
      </c>
      <c r="H62" s="193">
        <v>306.76</v>
      </c>
      <c r="I62" s="193">
        <v>3662.56</v>
      </c>
      <c r="J62" s="193">
        <v>3662.56</v>
      </c>
      <c r="K62" s="193">
        <v>0</v>
      </c>
      <c r="L62" s="193">
        <v>0</v>
      </c>
    </row>
    <row r="63">
      <c r="A63" s="270" t="s">
        <v>781</v>
      </c>
      <c r="B63" s="75" t="s">
        <v>1094</v>
      </c>
      <c r="C63" s="193">
        <v>0</v>
      </c>
      <c r="D63" s="193">
        <v>0</v>
      </c>
      <c r="E63" s="193">
        <v>14016.47</v>
      </c>
      <c r="F63" s="193">
        <v>14016.47</v>
      </c>
      <c r="G63" s="193">
        <v>419.93</v>
      </c>
      <c r="H63" s="193">
        <v>419.93</v>
      </c>
      <c r="I63" s="193">
        <v>14436.4</v>
      </c>
      <c r="J63" s="193">
        <v>14436.4</v>
      </c>
      <c r="K63" s="193">
        <v>0</v>
      </c>
      <c r="L63" s="193">
        <v>0</v>
      </c>
    </row>
    <row r="64">
      <c r="A64" s="270" t="s">
        <v>850</v>
      </c>
      <c r="B64" s="75" t="s">
        <v>167</v>
      </c>
      <c r="C64" s="193">
        <v>0</v>
      </c>
      <c r="D64" s="193">
        <v>0</v>
      </c>
      <c r="E64" s="193">
        <v>45458.95</v>
      </c>
      <c r="F64" s="193">
        <v>45458.95</v>
      </c>
      <c r="G64" s="193">
        <v>2874.09</v>
      </c>
      <c r="H64" s="193">
        <v>2874.09</v>
      </c>
      <c r="I64" s="193">
        <v>48333.04</v>
      </c>
      <c r="J64" s="193">
        <v>48333.04</v>
      </c>
      <c r="K64" s="193">
        <v>0</v>
      </c>
      <c r="L64" s="193">
        <v>0</v>
      </c>
    </row>
    <row r="65">
      <c r="A65" s="270" t="s">
        <v>994</v>
      </c>
      <c r="B65" s="75" t="s">
        <v>711</v>
      </c>
      <c r="C65" s="193">
        <v>0</v>
      </c>
      <c r="D65" s="193">
        <v>0</v>
      </c>
      <c r="E65" s="193">
        <v>5.78</v>
      </c>
      <c r="F65" s="193">
        <v>5.78</v>
      </c>
      <c r="G65" s="178">
        <v>0</v>
      </c>
      <c r="H65" s="178">
        <v>0</v>
      </c>
      <c r="I65" s="193">
        <v>5.78</v>
      </c>
      <c r="J65" s="193">
        <v>5.78</v>
      </c>
      <c r="K65" s="193">
        <v>0</v>
      </c>
      <c r="L65" s="193">
        <v>0</v>
      </c>
    </row>
    <row r="66">
      <c r="A66" s="270" t="s">
        <v>935</v>
      </c>
      <c r="B66" s="75" t="s">
        <v>842</v>
      </c>
      <c r="C66" s="193">
        <v>0</v>
      </c>
      <c r="D66" s="193">
        <v>0</v>
      </c>
      <c r="E66" s="193">
        <v>755.99</v>
      </c>
      <c r="F66" s="193">
        <v>755.99</v>
      </c>
      <c r="G66" s="193">
        <v>14.18</v>
      </c>
      <c r="H66" s="193">
        <v>14.18</v>
      </c>
      <c r="I66" s="193">
        <v>770.17</v>
      </c>
      <c r="J66" s="193">
        <v>770.17</v>
      </c>
      <c r="K66" s="193">
        <v>0</v>
      </c>
      <c r="L66" s="193">
        <v>0</v>
      </c>
    </row>
    <row r="67">
      <c r="A67" s="270" t="s">
        <v>446</v>
      </c>
      <c r="B67" s="75" t="s">
        <v>1080</v>
      </c>
      <c r="C67" s="193">
        <v>0</v>
      </c>
      <c r="D67" s="193">
        <v>0</v>
      </c>
      <c r="E67" s="193">
        <v>3355.8</v>
      </c>
      <c r="F67" s="193">
        <v>3355.8</v>
      </c>
      <c r="G67" s="193">
        <v>306.76</v>
      </c>
      <c r="H67" s="193">
        <v>306.76</v>
      </c>
      <c r="I67" s="193">
        <v>3662.56</v>
      </c>
      <c r="J67" s="193">
        <v>3662.56</v>
      </c>
      <c r="K67" s="193">
        <v>0</v>
      </c>
      <c r="L67" s="193">
        <v>0</v>
      </c>
    </row>
    <row r="68">
      <c r="A68" s="270" t="s">
        <v>379</v>
      </c>
      <c r="B68" s="75" t="s">
        <v>1087</v>
      </c>
      <c r="C68" s="193">
        <v>301.59</v>
      </c>
      <c r="D68" s="193">
        <v>0</v>
      </c>
      <c r="E68" s="193">
        <v>300.4</v>
      </c>
      <c r="F68" s="178">
        <v>0</v>
      </c>
      <c r="G68" s="178">
        <v>0</v>
      </c>
      <c r="H68" s="193">
        <v>601.99</v>
      </c>
      <c r="I68" s="193">
        <v>300.4</v>
      </c>
      <c r="J68" s="193">
        <v>601.99</v>
      </c>
      <c r="K68" s="193">
        <v>0</v>
      </c>
      <c r="L68" s="193">
        <v>0</v>
      </c>
    </row>
    <row r="69">
      <c r="A69" s="270" t="s">
        <v>765</v>
      </c>
      <c r="B69" s="75" t="s">
        <v>1087</v>
      </c>
      <c r="C69" s="193">
        <v>0</v>
      </c>
      <c r="D69" s="193">
        <v>0</v>
      </c>
      <c r="E69" s="193">
        <v>4021.37</v>
      </c>
      <c r="F69" s="178">
        <v>0</v>
      </c>
      <c r="G69" s="178">
        <v>0</v>
      </c>
      <c r="H69" s="193">
        <v>4371.12</v>
      </c>
      <c r="I69" s="193">
        <v>4021.37</v>
      </c>
      <c r="J69" s="193">
        <v>4371.12</v>
      </c>
      <c r="K69" s="193">
        <v>0</v>
      </c>
      <c r="L69" s="193">
        <v>349.75</v>
      </c>
    </row>
    <row r="70">
      <c r="A70" s="270" t="s">
        <v>404</v>
      </c>
      <c r="B70" s="75" t="s">
        <v>589</v>
      </c>
      <c r="C70" s="193">
        <v>0</v>
      </c>
      <c r="D70" s="193">
        <v>0</v>
      </c>
      <c r="E70" s="178">
        <v>0</v>
      </c>
      <c r="F70" s="193">
        <v>90000</v>
      </c>
      <c r="G70" s="178">
        <v>0</v>
      </c>
      <c r="H70" s="178">
        <v>0</v>
      </c>
      <c r="I70" s="178">
        <v>0</v>
      </c>
      <c r="J70" s="193">
        <v>90000</v>
      </c>
      <c r="K70" s="193">
        <v>0</v>
      </c>
      <c r="L70" s="193">
        <v>90000</v>
      </c>
    </row>
    <row r="71">
      <c r="A71" s="270" t="s">
        <v>1320</v>
      </c>
      <c r="B71" s="75" t="s">
        <v>1258</v>
      </c>
      <c r="C71" s="193">
        <v>1416.7</v>
      </c>
      <c r="D71" s="193">
        <v>0</v>
      </c>
      <c r="E71" s="178">
        <v>0</v>
      </c>
      <c r="F71" s="178">
        <v>0</v>
      </c>
      <c r="G71" s="178">
        <v>0</v>
      </c>
      <c r="H71" s="193">
        <v>1416.7</v>
      </c>
      <c r="I71" s="178">
        <v>0</v>
      </c>
      <c r="J71" s="193">
        <v>1416.7</v>
      </c>
      <c r="K71" s="193">
        <v>0</v>
      </c>
      <c r="L71" s="193">
        <v>0</v>
      </c>
    </row>
    <row r="72">
      <c r="A72" s="270" t="s">
        <v>391</v>
      </c>
      <c r="B72" s="75" t="s">
        <v>449</v>
      </c>
      <c r="C72" s="193">
        <v>0</v>
      </c>
      <c r="D72" s="193">
        <v>0</v>
      </c>
      <c r="E72" s="193">
        <v>44500</v>
      </c>
      <c r="F72" s="193">
        <v>44500</v>
      </c>
      <c r="G72" s="178">
        <v>0</v>
      </c>
      <c r="H72" s="178">
        <v>0</v>
      </c>
      <c r="I72" s="193">
        <v>44500</v>
      </c>
      <c r="J72" s="193">
        <v>44500</v>
      </c>
      <c r="K72" s="193">
        <v>0</v>
      </c>
      <c r="L72" s="193">
        <v>0</v>
      </c>
    </row>
    <row r="73">
      <c r="A73" s="270" t="s">
        <v>574</v>
      </c>
      <c r="B73" s="75" t="s">
        <v>1061</v>
      </c>
      <c r="C73" s="193">
        <v>14.25</v>
      </c>
      <c r="D73" s="193">
        <v>0</v>
      </c>
      <c r="E73" s="178">
        <v>0</v>
      </c>
      <c r="F73" s="178">
        <v>0</v>
      </c>
      <c r="G73" s="178">
        <v>0</v>
      </c>
      <c r="H73" s="193">
        <v>14.25</v>
      </c>
      <c r="I73" s="178">
        <v>0</v>
      </c>
      <c r="J73" s="193">
        <v>14.25</v>
      </c>
      <c r="K73" s="193">
        <v>0</v>
      </c>
      <c r="L73" s="193">
        <v>0</v>
      </c>
    </row>
    <row r="74">
      <c r="A74" s="270" t="s">
        <v>137</v>
      </c>
      <c r="B74" s="75" t="s">
        <v>1302</v>
      </c>
      <c r="C74" s="193">
        <v>0</v>
      </c>
      <c r="D74" s="193">
        <v>1332.74</v>
      </c>
      <c r="E74" s="178">
        <v>0</v>
      </c>
      <c r="F74" s="178">
        <v>0</v>
      </c>
      <c r="G74" s="193">
        <v>1332.74</v>
      </c>
      <c r="H74" s="178">
        <v>0</v>
      </c>
      <c r="I74" s="193">
        <v>1332.74</v>
      </c>
      <c r="J74" s="178">
        <v>0</v>
      </c>
      <c r="K74" s="193">
        <v>0</v>
      </c>
      <c r="L74" s="193">
        <v>0</v>
      </c>
    </row>
    <row r="75">
      <c r="A75" s="270" t="s">
        <v>550</v>
      </c>
      <c r="B75" s="75" t="s">
        <v>193</v>
      </c>
      <c r="C75" s="193">
        <v>0</v>
      </c>
      <c r="D75" s="193">
        <v>10500</v>
      </c>
      <c r="E75" s="178">
        <v>0</v>
      </c>
      <c r="F75" s="178">
        <v>0</v>
      </c>
      <c r="G75" s="178">
        <v>0</v>
      </c>
      <c r="H75" s="178">
        <v>0</v>
      </c>
      <c r="I75" s="178">
        <v>0</v>
      </c>
      <c r="J75" s="178">
        <v>0</v>
      </c>
      <c r="K75" s="193">
        <v>0</v>
      </c>
      <c r="L75" s="193">
        <v>10500</v>
      </c>
    </row>
    <row r="76">
      <c r="A76" s="270" t="s">
        <v>1318</v>
      </c>
      <c r="B76" s="75" t="s">
        <v>169</v>
      </c>
      <c r="C76" s="193">
        <v>0</v>
      </c>
      <c r="D76" s="193">
        <v>0</v>
      </c>
      <c r="E76" s="193">
        <v>18.59</v>
      </c>
      <c r="F76" s="178">
        <v>0</v>
      </c>
      <c r="G76" s="193">
        <v>332.01</v>
      </c>
      <c r="H76" s="178">
        <v>0</v>
      </c>
      <c r="I76" s="193">
        <v>350.6</v>
      </c>
      <c r="J76" s="178">
        <v>0</v>
      </c>
      <c r="K76" s="193">
        <v>350.6</v>
      </c>
      <c r="L76" s="193">
        <v>0</v>
      </c>
    </row>
    <row r="77">
      <c r="A77" s="270" t="s">
        <v>1048</v>
      </c>
      <c r="B77" s="75" t="s">
        <v>335</v>
      </c>
      <c r="C77" s="193">
        <v>0</v>
      </c>
      <c r="D77" s="193">
        <v>20326.32</v>
      </c>
      <c r="E77" s="178">
        <v>0</v>
      </c>
      <c r="F77" s="178">
        <v>0</v>
      </c>
      <c r="G77" s="193">
        <v>20326.32</v>
      </c>
      <c r="H77" s="178">
        <v>0</v>
      </c>
      <c r="I77" s="193">
        <v>20326.32</v>
      </c>
      <c r="J77" s="178">
        <v>0</v>
      </c>
      <c r="K77" s="193">
        <v>0</v>
      </c>
      <c r="L77" s="193">
        <v>0</v>
      </c>
    </row>
    <row r="78">
      <c r="A78" s="270" t="s">
        <v>260</v>
      </c>
      <c r="B78" s="75" t="s">
        <v>1062</v>
      </c>
      <c r="C78" s="193">
        <v>0</v>
      </c>
      <c r="D78" s="193">
        <v>6639</v>
      </c>
      <c r="E78" s="178">
        <v>0</v>
      </c>
      <c r="F78" s="178">
        <v>0</v>
      </c>
      <c r="G78" s="178">
        <v>0</v>
      </c>
      <c r="H78" s="178">
        <v>0</v>
      </c>
      <c r="I78" s="178">
        <v>0</v>
      </c>
      <c r="J78" s="178">
        <v>0</v>
      </c>
      <c r="K78" s="193">
        <v>0</v>
      </c>
      <c r="L78" s="193">
        <v>6639</v>
      </c>
    </row>
    <row r="79">
      <c r="A79" s="270" t="s">
        <v>1129</v>
      </c>
      <c r="B79" s="75" t="s">
        <v>774</v>
      </c>
      <c r="C79" s="193">
        <v>0</v>
      </c>
      <c r="D79" s="193">
        <v>227996</v>
      </c>
      <c r="E79" s="178">
        <v>0</v>
      </c>
      <c r="F79" s="178">
        <v>0</v>
      </c>
      <c r="G79" s="178">
        <v>0</v>
      </c>
      <c r="H79" s="178">
        <v>0</v>
      </c>
      <c r="I79" s="178">
        <v>0</v>
      </c>
      <c r="J79" s="178">
        <v>0</v>
      </c>
      <c r="K79" s="193">
        <v>0</v>
      </c>
      <c r="L79" s="193">
        <v>227996</v>
      </c>
    </row>
    <row r="80">
      <c r="A80" s="270" t="s">
        <v>829</v>
      </c>
      <c r="B80" s="75" t="s">
        <v>1384</v>
      </c>
      <c r="C80" s="193">
        <v>0</v>
      </c>
      <c r="D80" s="193">
        <v>4137.74</v>
      </c>
      <c r="E80" s="178">
        <v>0</v>
      </c>
      <c r="F80" s="178">
        <v>0</v>
      </c>
      <c r="G80" s="178">
        <v>0</v>
      </c>
      <c r="H80" s="178">
        <v>0</v>
      </c>
      <c r="I80" s="178">
        <v>0</v>
      </c>
      <c r="J80" s="178">
        <v>0</v>
      </c>
      <c r="K80" s="193">
        <v>0</v>
      </c>
      <c r="L80" s="193">
        <v>4137.74</v>
      </c>
    </row>
    <row r="81">
      <c r="A81" s="270" t="s">
        <v>505</v>
      </c>
      <c r="B81" s="75" t="s">
        <v>1308</v>
      </c>
      <c r="C81" s="193">
        <v>0</v>
      </c>
      <c r="D81" s="193">
        <v>66003.2</v>
      </c>
      <c r="E81" s="178">
        <v>0</v>
      </c>
      <c r="F81" s="178">
        <v>0</v>
      </c>
      <c r="G81" s="178">
        <v>0</v>
      </c>
      <c r="H81" s="178">
        <v>0</v>
      </c>
      <c r="I81" s="178">
        <v>0</v>
      </c>
      <c r="J81" s="178">
        <v>0</v>
      </c>
      <c r="K81" s="193">
        <v>0</v>
      </c>
      <c r="L81" s="193">
        <v>66003.2</v>
      </c>
    </row>
    <row r="82">
      <c r="A82" s="270" t="s">
        <v>1017</v>
      </c>
      <c r="B82" s="75" t="s">
        <v>1352</v>
      </c>
      <c r="C82" s="193">
        <v>0</v>
      </c>
      <c r="D82" s="193">
        <v>0</v>
      </c>
      <c r="E82" s="178">
        <v>0</v>
      </c>
      <c r="F82" s="178">
        <v>0</v>
      </c>
      <c r="G82" s="178">
        <v>0</v>
      </c>
      <c r="H82" s="193">
        <v>50236.96</v>
      </c>
      <c r="I82" s="178">
        <v>0</v>
      </c>
      <c r="J82" s="193">
        <v>50236.96</v>
      </c>
      <c r="K82" s="193">
        <v>0</v>
      </c>
      <c r="L82" s="193">
        <v>50236.96</v>
      </c>
    </row>
    <row r="83">
      <c r="A83" s="270" t="s">
        <v>1339</v>
      </c>
      <c r="B83" s="75" t="s">
        <v>220</v>
      </c>
      <c r="C83" s="193">
        <v>631913.37</v>
      </c>
      <c r="D83" s="193">
        <v>0</v>
      </c>
      <c r="E83" s="178">
        <v>0</v>
      </c>
      <c r="F83" s="178">
        <v>0</v>
      </c>
      <c r="G83" s="193">
        <v>119718.11</v>
      </c>
      <c r="H83" s="193">
        <v>-2880</v>
      </c>
      <c r="I83" s="193">
        <v>119718.11</v>
      </c>
      <c r="J83" s="193">
        <v>-2880</v>
      </c>
      <c r="K83" s="193">
        <v>754511.48</v>
      </c>
      <c r="L83" s="193">
        <v>0</v>
      </c>
    </row>
    <row r="84">
      <c r="A84" s="270" t="s">
        <v>1067</v>
      </c>
      <c r="B84" s="75" t="s">
        <v>1277</v>
      </c>
      <c r="C84" s="193">
        <v>80030.91</v>
      </c>
      <c r="D84" s="193">
        <v>0</v>
      </c>
      <c r="E84" s="178">
        <v>0</v>
      </c>
      <c r="F84" s="178">
        <v>0</v>
      </c>
      <c r="G84" s="193">
        <v>39687.2</v>
      </c>
      <c r="H84" s="193">
        <v>119718.11</v>
      </c>
      <c r="I84" s="193">
        <v>39687.2</v>
      </c>
      <c r="J84" s="193">
        <v>119718.11</v>
      </c>
      <c r="K84" s="193">
        <v>0</v>
      </c>
      <c r="L84" s="193">
        <v>0</v>
      </c>
    </row>
    <row r="85">
      <c r="A85" s="270" t="s">
        <v>1224</v>
      </c>
      <c r="B85" s="75" t="s">
        <v>640</v>
      </c>
      <c r="C85" s="193">
        <v>0</v>
      </c>
      <c r="D85" s="193">
        <v>5233.99</v>
      </c>
      <c r="E85" s="193">
        <v>25.92</v>
      </c>
      <c r="F85" s="193">
        <v>414.47</v>
      </c>
      <c r="G85" s="178">
        <v>0</v>
      </c>
      <c r="H85" s="193">
        <v>14.43</v>
      </c>
      <c r="I85" s="193">
        <v>25.92</v>
      </c>
      <c r="J85" s="193">
        <v>428.9</v>
      </c>
      <c r="K85" s="193">
        <v>0</v>
      </c>
      <c r="L85" s="193">
        <v>5636.97</v>
      </c>
    </row>
    <row r="86">
      <c r="A86" s="270" t="s">
        <v>100</v>
      </c>
      <c r="B86" s="75" t="s">
        <v>325</v>
      </c>
      <c r="C86" s="193">
        <v>0</v>
      </c>
      <c r="D86" s="193">
        <v>34250</v>
      </c>
      <c r="E86" s="178">
        <v>0</v>
      </c>
      <c r="F86" s="178">
        <v>0</v>
      </c>
      <c r="G86" s="178">
        <v>0</v>
      </c>
      <c r="H86" s="193">
        <v>-34250</v>
      </c>
      <c r="I86" s="178">
        <v>0</v>
      </c>
      <c r="J86" s="193">
        <v>-34250</v>
      </c>
      <c r="K86" s="193">
        <v>0</v>
      </c>
      <c r="L86" s="193">
        <v>0</v>
      </c>
    </row>
    <row r="87">
      <c r="A87" s="270" t="s">
        <v>10</v>
      </c>
      <c r="B87" s="75" t="s">
        <v>327</v>
      </c>
      <c r="C87" s="193">
        <v>0</v>
      </c>
      <c r="D87" s="193">
        <v>17529.93</v>
      </c>
      <c r="E87" s="178">
        <v>0</v>
      </c>
      <c r="F87" s="178">
        <v>0</v>
      </c>
      <c r="G87" s="178">
        <v>0</v>
      </c>
      <c r="H87" s="193">
        <v>-17529.93</v>
      </c>
      <c r="I87" s="178">
        <v>0</v>
      </c>
      <c r="J87" s="193">
        <v>-17529.93</v>
      </c>
      <c r="K87" s="193">
        <v>0</v>
      </c>
      <c r="L87" s="193">
        <v>0</v>
      </c>
    </row>
    <row r="88">
      <c r="A88" s="270" t="s">
        <v>776</v>
      </c>
      <c r="B88" s="75" t="s">
        <v>325</v>
      </c>
      <c r="C88" s="193">
        <v>0</v>
      </c>
      <c r="D88" s="193">
        <v>34750</v>
      </c>
      <c r="E88" s="193">
        <v>25000</v>
      </c>
      <c r="F88" s="178">
        <v>0</v>
      </c>
      <c r="G88" s="178">
        <v>0</v>
      </c>
      <c r="H88" s="193">
        <v>121779.93</v>
      </c>
      <c r="I88" s="193">
        <v>25000</v>
      </c>
      <c r="J88" s="193">
        <v>121779.93</v>
      </c>
      <c r="K88" s="193">
        <v>0</v>
      </c>
      <c r="L88" s="193">
        <v>131529.93</v>
      </c>
    </row>
    <row r="89">
      <c r="A89" s="270" t="s">
        <v>1282</v>
      </c>
      <c r="B89" s="75" t="s">
        <v>325</v>
      </c>
      <c r="C89" s="193">
        <v>0</v>
      </c>
      <c r="D89" s="193">
        <v>70000</v>
      </c>
      <c r="E89" s="178">
        <v>0</v>
      </c>
      <c r="F89" s="178">
        <v>0</v>
      </c>
      <c r="G89" s="178">
        <v>0</v>
      </c>
      <c r="H89" s="193">
        <v>-70000</v>
      </c>
      <c r="I89" s="178">
        <v>0</v>
      </c>
      <c r="J89" s="193">
        <v>-70000</v>
      </c>
      <c r="K89" s="193">
        <v>0</v>
      </c>
      <c r="L89" s="193">
        <v>0</v>
      </c>
    </row>
    <row r="90">
      <c r="A90" s="270" t="s">
        <v>1064</v>
      </c>
      <c r="B90" s="75" t="s">
        <v>1083</v>
      </c>
      <c r="C90" s="193">
        <v>0</v>
      </c>
      <c r="D90" s="193">
        <v>228395.6</v>
      </c>
      <c r="E90" s="178">
        <v>0</v>
      </c>
      <c r="F90" s="178">
        <v>0</v>
      </c>
      <c r="G90" s="193">
        <v>1000</v>
      </c>
      <c r="H90" s="178">
        <v>0</v>
      </c>
      <c r="I90" s="193">
        <v>1000</v>
      </c>
      <c r="J90" s="178">
        <v>0</v>
      </c>
      <c r="K90" s="193">
        <v>0</v>
      </c>
      <c r="L90" s="193">
        <v>227395.6</v>
      </c>
    </row>
    <row r="91">
      <c r="A91" s="270" t="s">
        <v>613</v>
      </c>
      <c r="B91" s="75" t="s">
        <v>777</v>
      </c>
      <c r="C91" s="193">
        <v>0</v>
      </c>
      <c r="D91" s="193">
        <v>0</v>
      </c>
      <c r="E91" s="193">
        <v>150000</v>
      </c>
      <c r="F91" s="193">
        <v>221000</v>
      </c>
      <c r="G91" s="193">
        <v>71000</v>
      </c>
      <c r="H91" s="178">
        <v>0</v>
      </c>
      <c r="I91" s="193">
        <v>221000</v>
      </c>
      <c r="J91" s="193">
        <v>221000</v>
      </c>
      <c r="K91" s="193">
        <v>0</v>
      </c>
      <c r="L91" s="193">
        <v>0</v>
      </c>
    </row>
    <row r="92">
      <c r="A92" s="270" t="s">
        <v>92</v>
      </c>
      <c r="B92" s="75" t="s">
        <v>454</v>
      </c>
      <c r="C92" s="193">
        <v>0</v>
      </c>
      <c r="D92" s="193">
        <v>0</v>
      </c>
      <c r="E92" s="193">
        <v>1500</v>
      </c>
      <c r="F92" s="193">
        <v>1500</v>
      </c>
      <c r="G92" s="178">
        <v>0</v>
      </c>
      <c r="H92" s="178">
        <v>0</v>
      </c>
      <c r="I92" s="193">
        <v>1500</v>
      </c>
      <c r="J92" s="193">
        <v>1500</v>
      </c>
      <c r="K92" s="193">
        <v>0</v>
      </c>
      <c r="L92" s="193">
        <v>0</v>
      </c>
    </row>
    <row r="93">
      <c r="A93" s="270" t="s">
        <v>442</v>
      </c>
      <c r="B93" s="75" t="s">
        <v>923</v>
      </c>
      <c r="C93" s="193">
        <v>0</v>
      </c>
      <c r="D93" s="193">
        <v>1564.62</v>
      </c>
      <c r="E93" s="178">
        <v>0</v>
      </c>
      <c r="F93" s="178">
        <v>0</v>
      </c>
      <c r="G93" s="193">
        <v>1564.62</v>
      </c>
      <c r="H93" s="178">
        <v>0</v>
      </c>
      <c r="I93" s="193">
        <v>1564.62</v>
      </c>
      <c r="J93" s="178">
        <v>0</v>
      </c>
      <c r="K93" s="193">
        <v>0</v>
      </c>
      <c r="L93" s="193">
        <v>0</v>
      </c>
    </row>
    <row r="94">
      <c r="A94" s="270" t="s">
        <v>993</v>
      </c>
      <c r="B94" s="75" t="s">
        <v>652</v>
      </c>
      <c r="C94" s="193">
        <v>0</v>
      </c>
      <c r="D94" s="193">
        <v>0</v>
      </c>
      <c r="E94" s="193">
        <v>9315.37</v>
      </c>
      <c r="F94" s="178">
        <v>0</v>
      </c>
      <c r="G94" s="193">
        <v>756.72</v>
      </c>
      <c r="H94" s="178">
        <v>0</v>
      </c>
      <c r="I94" s="193">
        <v>10072.09</v>
      </c>
      <c r="J94" s="178">
        <v>0</v>
      </c>
      <c r="K94" s="193">
        <v>10072.09</v>
      </c>
      <c r="L94" s="193">
        <v>0</v>
      </c>
    </row>
    <row r="95">
      <c r="A95" s="270" t="s">
        <v>204</v>
      </c>
      <c r="B95" s="75" t="s">
        <v>1141</v>
      </c>
      <c r="C95" s="193">
        <v>0</v>
      </c>
      <c r="D95" s="193">
        <v>0</v>
      </c>
      <c r="E95" s="193">
        <v>7254.82</v>
      </c>
      <c r="F95" s="178">
        <v>0</v>
      </c>
      <c r="G95" s="193">
        <v>-4192.77</v>
      </c>
      <c r="H95" s="178">
        <v>0</v>
      </c>
      <c r="I95" s="193">
        <v>3062.05</v>
      </c>
      <c r="J95" s="178">
        <v>0</v>
      </c>
      <c r="K95" s="193">
        <v>3062.05</v>
      </c>
      <c r="L95" s="193">
        <v>0</v>
      </c>
    </row>
    <row r="96">
      <c r="A96" s="270" t="s">
        <v>135</v>
      </c>
      <c r="B96" s="75" t="s">
        <v>657</v>
      </c>
      <c r="C96" s="193">
        <v>0</v>
      </c>
      <c r="D96" s="193">
        <v>0</v>
      </c>
      <c r="E96" s="193">
        <v>794.39</v>
      </c>
      <c r="F96" s="178">
        <v>0</v>
      </c>
      <c r="G96" s="193">
        <v>76.91</v>
      </c>
      <c r="H96" s="178">
        <v>0</v>
      </c>
      <c r="I96" s="193">
        <v>871.3</v>
      </c>
      <c r="J96" s="178">
        <v>0</v>
      </c>
      <c r="K96" s="193">
        <v>871.3</v>
      </c>
      <c r="L96" s="193">
        <v>0</v>
      </c>
    </row>
    <row r="97">
      <c r="A97" s="270" t="s">
        <v>1122</v>
      </c>
      <c r="B97" s="75" t="s">
        <v>1066</v>
      </c>
      <c r="C97" s="193">
        <v>0</v>
      </c>
      <c r="D97" s="193">
        <v>0</v>
      </c>
      <c r="E97" s="193">
        <v>624.09</v>
      </c>
      <c r="F97" s="178">
        <v>0</v>
      </c>
      <c r="G97" s="178">
        <v>0</v>
      </c>
      <c r="H97" s="178">
        <v>0</v>
      </c>
      <c r="I97" s="193">
        <v>624.09</v>
      </c>
      <c r="J97" s="178">
        <v>0</v>
      </c>
      <c r="K97" s="193">
        <v>624.09</v>
      </c>
      <c r="L97" s="193">
        <v>0</v>
      </c>
    </row>
    <row r="98">
      <c r="A98" s="270" t="s">
        <v>1159</v>
      </c>
      <c r="B98" s="75" t="s">
        <v>1138</v>
      </c>
      <c r="C98" s="193">
        <v>0</v>
      </c>
      <c r="D98" s="193">
        <v>0</v>
      </c>
      <c r="E98" s="193">
        <v>217.99</v>
      </c>
      <c r="F98" s="178">
        <v>0</v>
      </c>
      <c r="G98" s="193">
        <v>948.09</v>
      </c>
      <c r="H98" s="178">
        <v>0</v>
      </c>
      <c r="I98" s="193">
        <v>1166.08</v>
      </c>
      <c r="J98" s="178">
        <v>0</v>
      </c>
      <c r="K98" s="193">
        <v>1166.08</v>
      </c>
      <c r="L98" s="193">
        <v>0</v>
      </c>
    </row>
    <row r="99">
      <c r="A99" s="270" t="s">
        <v>530</v>
      </c>
      <c r="B99" s="75" t="s">
        <v>200</v>
      </c>
      <c r="C99" s="193">
        <v>0</v>
      </c>
      <c r="D99" s="193">
        <v>0</v>
      </c>
      <c r="E99" s="193">
        <v>384.94</v>
      </c>
      <c r="F99" s="178">
        <v>0</v>
      </c>
      <c r="G99" s="193">
        <v>22.42</v>
      </c>
      <c r="H99" s="178">
        <v>0</v>
      </c>
      <c r="I99" s="193">
        <v>407.36</v>
      </c>
      <c r="J99" s="178">
        <v>0</v>
      </c>
      <c r="K99" s="193">
        <v>407.36</v>
      </c>
      <c r="L99" s="193">
        <v>0</v>
      </c>
    </row>
    <row r="100">
      <c r="A100" s="270" t="s">
        <v>1114</v>
      </c>
      <c r="B100" s="75" t="s">
        <v>286</v>
      </c>
      <c r="C100" s="193">
        <v>0</v>
      </c>
      <c r="D100" s="193">
        <v>0</v>
      </c>
      <c r="E100" s="193">
        <v>50.97</v>
      </c>
      <c r="F100" s="178">
        <v>0</v>
      </c>
      <c r="G100" s="178">
        <v>0</v>
      </c>
      <c r="H100" s="178">
        <v>0</v>
      </c>
      <c r="I100" s="193">
        <v>50.97</v>
      </c>
      <c r="J100" s="178">
        <v>0</v>
      </c>
      <c r="K100" s="193">
        <v>50.97</v>
      </c>
      <c r="L100" s="193">
        <v>0</v>
      </c>
    </row>
    <row r="101">
      <c r="A101" s="270" t="s">
        <v>1211</v>
      </c>
      <c r="B101" s="75" t="s">
        <v>642</v>
      </c>
      <c r="C101" s="193">
        <v>0</v>
      </c>
      <c r="D101" s="193">
        <v>0</v>
      </c>
      <c r="E101" s="193">
        <v>262.5</v>
      </c>
      <c r="F101" s="178">
        <v>0</v>
      </c>
      <c r="G101" s="178">
        <v>0</v>
      </c>
      <c r="H101" s="178">
        <v>0</v>
      </c>
      <c r="I101" s="193">
        <v>262.5</v>
      </c>
      <c r="J101" s="178">
        <v>0</v>
      </c>
      <c r="K101" s="193">
        <v>262.5</v>
      </c>
      <c r="L101" s="193">
        <v>0</v>
      </c>
    </row>
    <row r="102">
      <c r="A102" s="270" t="s">
        <v>507</v>
      </c>
      <c r="B102" s="75" t="s">
        <v>1349</v>
      </c>
      <c r="C102" s="193">
        <v>0</v>
      </c>
      <c r="D102" s="193">
        <v>0</v>
      </c>
      <c r="E102" s="193">
        <v>711.57</v>
      </c>
      <c r="F102" s="178">
        <v>0</v>
      </c>
      <c r="G102" s="178">
        <v>0</v>
      </c>
      <c r="H102" s="178">
        <v>0</v>
      </c>
      <c r="I102" s="193">
        <v>711.57</v>
      </c>
      <c r="J102" s="178">
        <v>0</v>
      </c>
      <c r="K102" s="193">
        <v>711.57</v>
      </c>
      <c r="L102" s="193">
        <v>0</v>
      </c>
    </row>
    <row r="103">
      <c r="A103" s="270" t="s">
        <v>799</v>
      </c>
      <c r="B103" s="75" t="s">
        <v>752</v>
      </c>
      <c r="C103" s="193">
        <v>0</v>
      </c>
      <c r="D103" s="193">
        <v>0</v>
      </c>
      <c r="E103" s="193">
        <v>856.96</v>
      </c>
      <c r="F103" s="178">
        <v>0</v>
      </c>
      <c r="G103" s="178">
        <v>0</v>
      </c>
      <c r="H103" s="178">
        <v>0</v>
      </c>
      <c r="I103" s="193">
        <v>856.96</v>
      </c>
      <c r="J103" s="178">
        <v>0</v>
      </c>
      <c r="K103" s="193">
        <v>856.96</v>
      </c>
      <c r="L103" s="193">
        <v>0</v>
      </c>
    </row>
    <row r="104">
      <c r="A104" s="270" t="s">
        <v>451</v>
      </c>
      <c r="B104" s="75" t="s">
        <v>1391</v>
      </c>
      <c r="C104" s="193">
        <v>0</v>
      </c>
      <c r="D104" s="193">
        <v>0</v>
      </c>
      <c r="E104" s="193">
        <v>9449.08</v>
      </c>
      <c r="F104" s="178">
        <v>0</v>
      </c>
      <c r="G104" s="193">
        <v>1643.68</v>
      </c>
      <c r="H104" s="178">
        <v>0</v>
      </c>
      <c r="I104" s="193">
        <v>11092.76</v>
      </c>
      <c r="J104" s="178">
        <v>0</v>
      </c>
      <c r="K104" s="193">
        <v>11092.76</v>
      </c>
      <c r="L104" s="193">
        <v>0</v>
      </c>
    </row>
    <row r="105">
      <c r="A105" s="270" t="s">
        <v>215</v>
      </c>
      <c r="B105" s="75" t="s">
        <v>37</v>
      </c>
      <c r="C105" s="193">
        <v>0</v>
      </c>
      <c r="D105" s="193">
        <v>0</v>
      </c>
      <c r="E105" s="193">
        <v>716.7</v>
      </c>
      <c r="F105" s="178">
        <v>0</v>
      </c>
      <c r="G105" s="178">
        <v>0</v>
      </c>
      <c r="H105" s="178">
        <v>0</v>
      </c>
      <c r="I105" s="193">
        <v>716.7</v>
      </c>
      <c r="J105" s="178">
        <v>0</v>
      </c>
      <c r="K105" s="193">
        <v>716.7</v>
      </c>
      <c r="L105" s="193">
        <v>0</v>
      </c>
    </row>
    <row r="106">
      <c r="A106" s="270" t="s">
        <v>1330</v>
      </c>
      <c r="B106" s="75" t="s">
        <v>878</v>
      </c>
      <c r="C106" s="193">
        <v>0</v>
      </c>
      <c r="D106" s="193">
        <v>0</v>
      </c>
      <c r="E106" s="193">
        <v>1480.97</v>
      </c>
      <c r="F106" s="178">
        <v>0</v>
      </c>
      <c r="G106" s="193">
        <v>254.16</v>
      </c>
      <c r="H106" s="178">
        <v>0</v>
      </c>
      <c r="I106" s="193">
        <v>1735.13</v>
      </c>
      <c r="J106" s="178">
        <v>0</v>
      </c>
      <c r="K106" s="193">
        <v>1735.13</v>
      </c>
      <c r="L106" s="193">
        <v>0</v>
      </c>
    </row>
    <row r="107">
      <c r="A107" s="270" t="s">
        <v>313</v>
      </c>
      <c r="B107" s="75" t="s">
        <v>445</v>
      </c>
      <c r="C107" s="193">
        <v>0</v>
      </c>
      <c r="D107" s="193">
        <v>0</v>
      </c>
      <c r="E107" s="193">
        <v>1007.71</v>
      </c>
      <c r="F107" s="178">
        <v>0</v>
      </c>
      <c r="G107" s="178">
        <v>0</v>
      </c>
      <c r="H107" s="178">
        <v>0</v>
      </c>
      <c r="I107" s="193">
        <v>1007.71</v>
      </c>
      <c r="J107" s="178">
        <v>0</v>
      </c>
      <c r="K107" s="193">
        <v>1007.71</v>
      </c>
      <c r="L107" s="193">
        <v>0</v>
      </c>
    </row>
    <row r="108">
      <c r="A108" s="270" t="s">
        <v>217</v>
      </c>
      <c r="B108" s="75" t="s">
        <v>636</v>
      </c>
      <c r="C108" s="193">
        <v>0</v>
      </c>
      <c r="D108" s="193">
        <v>0</v>
      </c>
      <c r="E108" s="193">
        <v>88047.7</v>
      </c>
      <c r="F108" s="193">
        <v>1068.95</v>
      </c>
      <c r="G108" s="178">
        <v>0</v>
      </c>
      <c r="H108" s="178">
        <v>0</v>
      </c>
      <c r="I108" s="193">
        <v>88047.7</v>
      </c>
      <c r="J108" s="193">
        <v>1068.95</v>
      </c>
      <c r="K108" s="193">
        <v>86978.75</v>
      </c>
      <c r="L108" s="193">
        <v>0</v>
      </c>
    </row>
    <row r="109">
      <c r="A109" s="270" t="s">
        <v>1278</v>
      </c>
      <c r="B109" s="75" t="s">
        <v>872</v>
      </c>
      <c r="C109" s="193">
        <v>0</v>
      </c>
      <c r="D109" s="193">
        <v>0</v>
      </c>
      <c r="E109" s="178">
        <v>0</v>
      </c>
      <c r="F109" s="178">
        <v>0</v>
      </c>
      <c r="G109" s="193">
        <v>2646.34</v>
      </c>
      <c r="H109" s="178">
        <v>0</v>
      </c>
      <c r="I109" s="193">
        <v>2646.34</v>
      </c>
      <c r="J109" s="178">
        <v>0</v>
      </c>
      <c r="K109" s="193">
        <v>2646.34</v>
      </c>
      <c r="L109" s="193">
        <v>0</v>
      </c>
    </row>
    <row r="110">
      <c r="A110" s="270" t="s">
        <v>482</v>
      </c>
      <c r="B110" s="75" t="s">
        <v>179</v>
      </c>
      <c r="C110" s="193">
        <v>0</v>
      </c>
      <c r="D110" s="193">
        <v>0</v>
      </c>
      <c r="E110" s="193">
        <v>3766.51</v>
      </c>
      <c r="F110" s="178">
        <v>0</v>
      </c>
      <c r="G110" s="193">
        <v>869.12</v>
      </c>
      <c r="H110" s="178">
        <v>0</v>
      </c>
      <c r="I110" s="193">
        <v>4635.63</v>
      </c>
      <c r="J110" s="178">
        <v>0</v>
      </c>
      <c r="K110" s="193">
        <v>4635.63</v>
      </c>
      <c r="L110" s="193">
        <v>0</v>
      </c>
    </row>
    <row r="111">
      <c r="A111" s="270" t="s">
        <v>401</v>
      </c>
      <c r="B111" s="75" t="s">
        <v>234</v>
      </c>
      <c r="C111" s="193">
        <v>0</v>
      </c>
      <c r="D111" s="193">
        <v>0</v>
      </c>
      <c r="E111" s="193">
        <v>37091.63</v>
      </c>
      <c r="F111" s="178">
        <v>0</v>
      </c>
      <c r="G111" s="193">
        <v>3028.04</v>
      </c>
      <c r="H111" s="178">
        <v>0</v>
      </c>
      <c r="I111" s="193">
        <v>40119.67</v>
      </c>
      <c r="J111" s="178">
        <v>0</v>
      </c>
      <c r="K111" s="193">
        <v>40119.67</v>
      </c>
      <c r="L111" s="193">
        <v>0</v>
      </c>
    </row>
    <row r="112">
      <c r="A112" s="270" t="s">
        <v>134</v>
      </c>
      <c r="B112" s="75" t="s">
        <v>847</v>
      </c>
      <c r="C112" s="193">
        <v>0</v>
      </c>
      <c r="D112" s="193">
        <v>0</v>
      </c>
      <c r="E112" s="193">
        <v>21823.91</v>
      </c>
      <c r="F112" s="178">
        <v>0</v>
      </c>
      <c r="G112" s="193">
        <v>1835.43</v>
      </c>
      <c r="H112" s="178">
        <v>0</v>
      </c>
      <c r="I112" s="193">
        <v>23659.34</v>
      </c>
      <c r="J112" s="178">
        <v>0</v>
      </c>
      <c r="K112" s="193">
        <v>23659.34</v>
      </c>
      <c r="L112" s="193">
        <v>0</v>
      </c>
    </row>
    <row r="113">
      <c r="A113" s="270" t="s">
        <v>874</v>
      </c>
      <c r="B113" s="75" t="s">
        <v>991</v>
      </c>
      <c r="C113" s="193">
        <v>0</v>
      </c>
      <c r="D113" s="193">
        <v>0</v>
      </c>
      <c r="E113" s="193">
        <v>7688.09</v>
      </c>
      <c r="F113" s="178">
        <v>0</v>
      </c>
      <c r="G113" s="178">
        <v>0</v>
      </c>
      <c r="H113" s="178">
        <v>0</v>
      </c>
      <c r="I113" s="193">
        <v>7688.09</v>
      </c>
      <c r="J113" s="178">
        <v>0</v>
      </c>
      <c r="K113" s="193">
        <v>7688.09</v>
      </c>
      <c r="L113" s="193">
        <v>0</v>
      </c>
    </row>
    <row r="114">
      <c r="A114" s="270" t="s">
        <v>1225</v>
      </c>
      <c r="B114" s="75" t="s">
        <v>1281</v>
      </c>
      <c r="C114" s="193">
        <v>0</v>
      </c>
      <c r="D114" s="193">
        <v>0</v>
      </c>
      <c r="E114" s="178">
        <v>0</v>
      </c>
      <c r="F114" s="178">
        <v>0</v>
      </c>
      <c r="G114" s="193">
        <v>3859.05</v>
      </c>
      <c r="H114" s="178">
        <v>0</v>
      </c>
      <c r="I114" s="193">
        <v>3859.05</v>
      </c>
      <c r="J114" s="178">
        <v>0</v>
      </c>
      <c r="K114" s="193">
        <v>3859.05</v>
      </c>
      <c r="L114" s="193">
        <v>0</v>
      </c>
    </row>
    <row r="115">
      <c r="A115" s="270" t="s">
        <v>170</v>
      </c>
      <c r="B115" s="75" t="s">
        <v>68</v>
      </c>
      <c r="C115" s="193">
        <v>0</v>
      </c>
      <c r="D115" s="193">
        <v>0</v>
      </c>
      <c r="E115" s="193">
        <v>60.31</v>
      </c>
      <c r="F115" s="178">
        <v>0</v>
      </c>
      <c r="G115" s="193">
        <v>16.65</v>
      </c>
      <c r="H115" s="178">
        <v>0</v>
      </c>
      <c r="I115" s="193">
        <v>76.96</v>
      </c>
      <c r="J115" s="178">
        <v>0</v>
      </c>
      <c r="K115" s="193">
        <v>76.96</v>
      </c>
      <c r="L115" s="193">
        <v>0</v>
      </c>
    </row>
    <row r="116">
      <c r="A116" s="270" t="s">
        <v>868</v>
      </c>
      <c r="B116" s="75" t="s">
        <v>381</v>
      </c>
      <c r="C116" s="193">
        <v>0</v>
      </c>
      <c r="D116" s="193">
        <v>0</v>
      </c>
      <c r="E116" s="193">
        <v>10944.67</v>
      </c>
      <c r="F116" s="178">
        <v>0</v>
      </c>
      <c r="G116" s="193">
        <v>1496.04</v>
      </c>
      <c r="H116" s="178">
        <v>0</v>
      </c>
      <c r="I116" s="193">
        <v>12440.71</v>
      </c>
      <c r="J116" s="178">
        <v>0</v>
      </c>
      <c r="K116" s="193">
        <v>12440.71</v>
      </c>
      <c r="L116" s="193">
        <v>0</v>
      </c>
    </row>
    <row r="117">
      <c r="A117" s="270" t="s">
        <v>853</v>
      </c>
      <c r="B117" s="75" t="s">
        <v>360</v>
      </c>
      <c r="C117" s="193">
        <v>0</v>
      </c>
      <c r="D117" s="193">
        <v>0</v>
      </c>
      <c r="E117" s="193">
        <v>5222.72</v>
      </c>
      <c r="F117" s="178">
        <v>0</v>
      </c>
      <c r="G117" s="193">
        <v>386.55</v>
      </c>
      <c r="H117" s="178">
        <v>0</v>
      </c>
      <c r="I117" s="193">
        <v>5609.27</v>
      </c>
      <c r="J117" s="178">
        <v>0</v>
      </c>
      <c r="K117" s="193">
        <v>5609.27</v>
      </c>
      <c r="L117" s="193">
        <v>0</v>
      </c>
    </row>
    <row r="118">
      <c r="A118" s="270" t="s">
        <v>996</v>
      </c>
      <c r="B118" s="75" t="s">
        <v>601</v>
      </c>
      <c r="C118" s="193">
        <v>0</v>
      </c>
      <c r="D118" s="193">
        <v>0</v>
      </c>
      <c r="E118" s="193">
        <v>4283.75</v>
      </c>
      <c r="F118" s="178">
        <v>0</v>
      </c>
      <c r="G118" s="193">
        <v>384.5</v>
      </c>
      <c r="H118" s="178">
        <v>0</v>
      </c>
      <c r="I118" s="193">
        <v>4668.25</v>
      </c>
      <c r="J118" s="178">
        <v>0</v>
      </c>
      <c r="K118" s="193">
        <v>4668.25</v>
      </c>
      <c r="L118" s="193">
        <v>0</v>
      </c>
    </row>
    <row r="119">
      <c r="A119" s="270" t="s">
        <v>630</v>
      </c>
      <c r="B119" s="75" t="s">
        <v>934</v>
      </c>
      <c r="C119" s="193">
        <v>0</v>
      </c>
      <c r="D119" s="193">
        <v>0</v>
      </c>
      <c r="E119" s="193">
        <v>5209.69</v>
      </c>
      <c r="F119" s="178">
        <v>0</v>
      </c>
      <c r="G119" s="193">
        <v>83.64</v>
      </c>
      <c r="H119" s="178">
        <v>0</v>
      </c>
      <c r="I119" s="193">
        <v>5293.33</v>
      </c>
      <c r="J119" s="178">
        <v>0</v>
      </c>
      <c r="K119" s="193">
        <v>5293.33</v>
      </c>
      <c r="L119" s="193">
        <v>0</v>
      </c>
    </row>
    <row r="120">
      <c r="A120" s="270" t="s">
        <v>341</v>
      </c>
      <c r="B120" s="75" t="s">
        <v>573</v>
      </c>
      <c r="C120" s="193">
        <v>0</v>
      </c>
      <c r="D120" s="193">
        <v>0</v>
      </c>
      <c r="E120" s="193">
        <v>565.1</v>
      </c>
      <c r="F120" s="178">
        <v>0</v>
      </c>
      <c r="G120" s="193">
        <v>45.17</v>
      </c>
      <c r="H120" s="178">
        <v>0</v>
      </c>
      <c r="I120" s="193">
        <v>610.27</v>
      </c>
      <c r="J120" s="178">
        <v>0</v>
      </c>
      <c r="K120" s="193">
        <v>610.27</v>
      </c>
      <c r="L120" s="193">
        <v>0</v>
      </c>
    </row>
    <row r="121">
      <c r="A121" s="270" t="s">
        <v>253</v>
      </c>
      <c r="B121" s="75" t="s">
        <v>1113</v>
      </c>
      <c r="C121" s="193">
        <v>0</v>
      </c>
      <c r="D121" s="193">
        <v>0</v>
      </c>
      <c r="E121" s="193">
        <v>10</v>
      </c>
      <c r="F121" s="178">
        <v>0</v>
      </c>
      <c r="G121" s="178">
        <v>0</v>
      </c>
      <c r="H121" s="178">
        <v>0</v>
      </c>
      <c r="I121" s="193">
        <v>10</v>
      </c>
      <c r="J121" s="178">
        <v>0</v>
      </c>
      <c r="K121" s="193">
        <v>10</v>
      </c>
      <c r="L121" s="193">
        <v>0</v>
      </c>
    </row>
    <row r="122">
      <c r="A122" s="270" t="s">
        <v>91</v>
      </c>
      <c r="B122" s="75" t="s">
        <v>108</v>
      </c>
      <c r="C122" s="193">
        <v>0</v>
      </c>
      <c r="D122" s="193">
        <v>0</v>
      </c>
      <c r="E122" s="193">
        <v>540</v>
      </c>
      <c r="F122" s="178">
        <v>0</v>
      </c>
      <c r="G122" s="178">
        <v>0</v>
      </c>
      <c r="H122" s="178">
        <v>0</v>
      </c>
      <c r="I122" s="193">
        <v>540</v>
      </c>
      <c r="J122" s="178">
        <v>0</v>
      </c>
      <c r="K122" s="193">
        <v>540</v>
      </c>
      <c r="L122" s="193">
        <v>0</v>
      </c>
    </row>
    <row r="123">
      <c r="A123" s="270" t="s">
        <v>166</v>
      </c>
      <c r="B123" s="75" t="s">
        <v>873</v>
      </c>
      <c r="C123" s="193">
        <v>0</v>
      </c>
      <c r="D123" s="193">
        <v>0</v>
      </c>
      <c r="E123" s="193">
        <v>562.98</v>
      </c>
      <c r="F123" s="178">
        <v>0</v>
      </c>
      <c r="G123" s="193">
        <v>74.37</v>
      </c>
      <c r="H123" s="178">
        <v>0</v>
      </c>
      <c r="I123" s="193">
        <v>637.35</v>
      </c>
      <c r="J123" s="178">
        <v>0</v>
      </c>
      <c r="K123" s="193">
        <v>637.35</v>
      </c>
      <c r="L123" s="193">
        <v>0</v>
      </c>
    </row>
    <row r="124">
      <c r="A124" s="270" t="s">
        <v>715</v>
      </c>
      <c r="B124" s="75" t="s">
        <v>736</v>
      </c>
      <c r="C124" s="193">
        <v>0</v>
      </c>
      <c r="D124" s="193">
        <v>0</v>
      </c>
      <c r="E124" s="193">
        <v>1033.5</v>
      </c>
      <c r="F124" s="178">
        <v>0</v>
      </c>
      <c r="G124" s="193">
        <v>21</v>
      </c>
      <c r="H124" s="178">
        <v>0</v>
      </c>
      <c r="I124" s="193">
        <v>1054.5</v>
      </c>
      <c r="J124" s="178">
        <v>0</v>
      </c>
      <c r="K124" s="193">
        <v>1054.5</v>
      </c>
      <c r="L124" s="193">
        <v>0</v>
      </c>
    </row>
    <row r="125">
      <c r="A125" s="270" t="s">
        <v>1118</v>
      </c>
      <c r="B125" s="75" t="s">
        <v>311</v>
      </c>
      <c r="C125" s="193">
        <v>0</v>
      </c>
      <c r="D125" s="193">
        <v>0</v>
      </c>
      <c r="E125" s="193">
        <v>8989.9</v>
      </c>
      <c r="F125" s="178">
        <v>0</v>
      </c>
      <c r="G125" s="193">
        <v>20</v>
      </c>
      <c r="H125" s="178">
        <v>0</v>
      </c>
      <c r="I125" s="193">
        <v>9009.9</v>
      </c>
      <c r="J125" s="178">
        <v>0</v>
      </c>
      <c r="K125" s="193">
        <v>9009.9</v>
      </c>
      <c r="L125" s="193">
        <v>0</v>
      </c>
    </row>
    <row r="126">
      <c r="A126" s="270" t="s">
        <v>1274</v>
      </c>
      <c r="B126" s="75" t="s">
        <v>585</v>
      </c>
      <c r="C126" s="193">
        <v>0</v>
      </c>
      <c r="D126" s="193">
        <v>0</v>
      </c>
      <c r="E126" s="193">
        <v>398.33</v>
      </c>
      <c r="F126" s="178">
        <v>0</v>
      </c>
      <c r="G126" s="178">
        <v>0</v>
      </c>
      <c r="H126" s="178">
        <v>0</v>
      </c>
      <c r="I126" s="193">
        <v>398.33</v>
      </c>
      <c r="J126" s="178">
        <v>0</v>
      </c>
      <c r="K126" s="193">
        <v>398.33</v>
      </c>
      <c r="L126" s="193">
        <v>0</v>
      </c>
    </row>
    <row r="127">
      <c r="A127" s="270" t="s">
        <v>425</v>
      </c>
      <c r="B127" s="75" t="s">
        <v>361</v>
      </c>
      <c r="C127" s="193">
        <v>0</v>
      </c>
      <c r="D127" s="193">
        <v>0</v>
      </c>
      <c r="E127" s="193">
        <v>18609.43</v>
      </c>
      <c r="F127" s="178">
        <v>0</v>
      </c>
      <c r="G127" s="193">
        <v>331.5</v>
      </c>
      <c r="H127" s="178">
        <v>0</v>
      </c>
      <c r="I127" s="193">
        <v>18940.93</v>
      </c>
      <c r="J127" s="178">
        <v>0</v>
      </c>
      <c r="K127" s="193">
        <v>18940.93</v>
      </c>
      <c r="L127" s="193">
        <v>0</v>
      </c>
    </row>
    <row r="128">
      <c r="A128" s="270" t="s">
        <v>1306</v>
      </c>
      <c r="B128" s="75" t="s">
        <v>1198</v>
      </c>
      <c r="C128" s="193">
        <v>0</v>
      </c>
      <c r="D128" s="193">
        <v>0</v>
      </c>
      <c r="E128" s="193">
        <v>8285.38</v>
      </c>
      <c r="F128" s="178">
        <v>0</v>
      </c>
      <c r="G128" s="193">
        <v>124.58</v>
      </c>
      <c r="H128" s="178">
        <v>0</v>
      </c>
      <c r="I128" s="193">
        <v>8409.96</v>
      </c>
      <c r="J128" s="178">
        <v>0</v>
      </c>
      <c r="K128" s="193">
        <v>8409.96</v>
      </c>
      <c r="L128" s="193">
        <v>0</v>
      </c>
    </row>
    <row r="129">
      <c r="A129" s="270" t="s">
        <v>1377</v>
      </c>
      <c r="B129" s="75" t="s">
        <v>1176</v>
      </c>
      <c r="C129" s="193">
        <v>0</v>
      </c>
      <c r="D129" s="193">
        <v>0</v>
      </c>
      <c r="E129" s="193">
        <v>15443.38</v>
      </c>
      <c r="F129" s="178">
        <v>0</v>
      </c>
      <c r="G129" s="193">
        <v>70.93</v>
      </c>
      <c r="H129" s="178">
        <v>0</v>
      </c>
      <c r="I129" s="193">
        <v>15514.31</v>
      </c>
      <c r="J129" s="178">
        <v>0</v>
      </c>
      <c r="K129" s="193">
        <v>15514.31</v>
      </c>
      <c r="L129" s="193">
        <v>0</v>
      </c>
    </row>
    <row r="130">
      <c r="A130" s="270" t="s">
        <v>246</v>
      </c>
      <c r="B130" s="75" t="s">
        <v>720</v>
      </c>
      <c r="C130" s="193">
        <v>0</v>
      </c>
      <c r="D130" s="193">
        <v>0</v>
      </c>
      <c r="E130" s="193">
        <v>304</v>
      </c>
      <c r="F130" s="178">
        <v>0</v>
      </c>
      <c r="G130" s="178">
        <v>0</v>
      </c>
      <c r="H130" s="178">
        <v>0</v>
      </c>
      <c r="I130" s="193">
        <v>304</v>
      </c>
      <c r="J130" s="178">
        <v>0</v>
      </c>
      <c r="K130" s="193">
        <v>304</v>
      </c>
      <c r="L130" s="193">
        <v>0</v>
      </c>
    </row>
    <row r="131">
      <c r="A131" s="270" t="s">
        <v>619</v>
      </c>
      <c r="B131" s="75" t="s">
        <v>816</v>
      </c>
      <c r="C131" s="193">
        <v>0</v>
      </c>
      <c r="D131" s="193">
        <v>0</v>
      </c>
      <c r="E131" s="193">
        <v>4494.84</v>
      </c>
      <c r="F131" s="178">
        <v>0</v>
      </c>
      <c r="G131" s="193">
        <v>26.67</v>
      </c>
      <c r="H131" s="178">
        <v>0</v>
      </c>
      <c r="I131" s="193">
        <v>4521.51</v>
      </c>
      <c r="J131" s="178">
        <v>0</v>
      </c>
      <c r="K131" s="193">
        <v>4521.51</v>
      </c>
      <c r="L131" s="193">
        <v>0</v>
      </c>
    </row>
    <row r="132">
      <c r="A132" s="270" t="s">
        <v>457</v>
      </c>
      <c r="B132" s="75" t="s">
        <v>438</v>
      </c>
      <c r="C132" s="193">
        <v>0</v>
      </c>
      <c r="D132" s="193">
        <v>0</v>
      </c>
      <c r="E132" s="193">
        <v>41690.59</v>
      </c>
      <c r="F132" s="193">
        <v>125</v>
      </c>
      <c r="G132" s="193">
        <v>4948.18</v>
      </c>
      <c r="H132" s="178">
        <v>0</v>
      </c>
      <c r="I132" s="193">
        <v>46638.77</v>
      </c>
      <c r="J132" s="193">
        <v>125</v>
      </c>
      <c r="K132" s="193">
        <v>46513.77</v>
      </c>
      <c r="L132" s="193">
        <v>0</v>
      </c>
    </row>
    <row r="133">
      <c r="A133" s="270" t="s">
        <v>654</v>
      </c>
      <c r="B133" s="75" t="s">
        <v>968</v>
      </c>
      <c r="C133" s="193">
        <v>0</v>
      </c>
      <c r="D133" s="193">
        <v>0</v>
      </c>
      <c r="E133" s="193">
        <v>82318.88</v>
      </c>
      <c r="F133" s="178">
        <v>0</v>
      </c>
      <c r="G133" s="193">
        <v>3213.75</v>
      </c>
      <c r="H133" s="178">
        <v>0</v>
      </c>
      <c r="I133" s="193">
        <v>85532.63</v>
      </c>
      <c r="J133" s="178">
        <v>0</v>
      </c>
      <c r="K133" s="193">
        <v>85532.63</v>
      </c>
      <c r="L133" s="193">
        <v>0</v>
      </c>
    </row>
    <row r="134">
      <c r="A134" s="270" t="s">
        <v>677</v>
      </c>
      <c r="B134" s="75" t="s">
        <v>981</v>
      </c>
      <c r="C134" s="193">
        <v>0</v>
      </c>
      <c r="D134" s="193">
        <v>0</v>
      </c>
      <c r="E134" s="193">
        <v>28643.64</v>
      </c>
      <c r="F134" s="178">
        <v>0</v>
      </c>
      <c r="G134" s="193">
        <v>1131.16</v>
      </c>
      <c r="H134" s="178">
        <v>0</v>
      </c>
      <c r="I134" s="193">
        <v>29774.8</v>
      </c>
      <c r="J134" s="178">
        <v>0</v>
      </c>
      <c r="K134" s="193">
        <v>29774.8</v>
      </c>
      <c r="L134" s="193">
        <v>0</v>
      </c>
    </row>
    <row r="135">
      <c r="A135" s="270" t="s">
        <v>236</v>
      </c>
      <c r="B135" s="75" t="s">
        <v>238</v>
      </c>
      <c r="C135" s="193">
        <v>0</v>
      </c>
      <c r="D135" s="193">
        <v>0</v>
      </c>
      <c r="E135" s="193">
        <v>414.47</v>
      </c>
      <c r="F135" s="178">
        <v>0</v>
      </c>
      <c r="G135" s="193">
        <v>895.02</v>
      </c>
      <c r="H135" s="178">
        <v>0</v>
      </c>
      <c r="I135" s="193">
        <v>1309.49</v>
      </c>
      <c r="J135" s="178">
        <v>0</v>
      </c>
      <c r="K135" s="193">
        <v>1309.49</v>
      </c>
      <c r="L135" s="193">
        <v>0</v>
      </c>
    </row>
    <row r="136">
      <c r="A136" s="270" t="s">
        <v>854</v>
      </c>
      <c r="B136" s="75" t="s">
        <v>1243</v>
      </c>
      <c r="C136" s="193">
        <v>0</v>
      </c>
      <c r="D136" s="193">
        <v>0</v>
      </c>
      <c r="E136" s="193">
        <v>712.8</v>
      </c>
      <c r="F136" s="178">
        <v>0</v>
      </c>
      <c r="G136" s="178">
        <v>0</v>
      </c>
      <c r="H136" s="178">
        <v>0</v>
      </c>
      <c r="I136" s="193">
        <v>712.8</v>
      </c>
      <c r="J136" s="178">
        <v>0</v>
      </c>
      <c r="K136" s="193">
        <v>712.8</v>
      </c>
      <c r="L136" s="193">
        <v>0</v>
      </c>
    </row>
    <row r="137">
      <c r="A137" s="270" t="s">
        <v>89</v>
      </c>
      <c r="B137" s="75" t="s">
        <v>651</v>
      </c>
      <c r="C137" s="193">
        <v>0</v>
      </c>
      <c r="D137" s="193">
        <v>0</v>
      </c>
      <c r="E137" s="193">
        <v>1647.52</v>
      </c>
      <c r="F137" s="178">
        <v>0</v>
      </c>
      <c r="G137" s="193">
        <v>140.9</v>
      </c>
      <c r="H137" s="178">
        <v>0</v>
      </c>
      <c r="I137" s="193">
        <v>1788.42</v>
      </c>
      <c r="J137" s="178">
        <v>0</v>
      </c>
      <c r="K137" s="193">
        <v>1788.42</v>
      </c>
      <c r="L137" s="193">
        <v>0</v>
      </c>
    </row>
    <row r="138">
      <c r="A138" s="270" t="s">
        <v>20</v>
      </c>
      <c r="B138" s="75" t="s">
        <v>489</v>
      </c>
      <c r="C138" s="193">
        <v>0</v>
      </c>
      <c r="D138" s="193">
        <v>0</v>
      </c>
      <c r="E138" s="178">
        <v>0</v>
      </c>
      <c r="F138" s="178">
        <v>0</v>
      </c>
      <c r="G138" s="193">
        <v>349.75</v>
      </c>
      <c r="H138" s="178">
        <v>0</v>
      </c>
      <c r="I138" s="193">
        <v>349.75</v>
      </c>
      <c r="J138" s="178">
        <v>0</v>
      </c>
      <c r="K138" s="193">
        <v>349.75</v>
      </c>
      <c r="L138" s="193">
        <v>0</v>
      </c>
    </row>
    <row r="139">
      <c r="A139" s="270" t="s">
        <v>29</v>
      </c>
      <c r="B139" s="75" t="s">
        <v>756</v>
      </c>
      <c r="C139" s="193">
        <v>0</v>
      </c>
      <c r="D139" s="193">
        <v>0</v>
      </c>
      <c r="E139" s="193">
        <v>600</v>
      </c>
      <c r="F139" s="178">
        <v>0</v>
      </c>
      <c r="G139" s="193">
        <v>1500</v>
      </c>
      <c r="H139" s="178">
        <v>0</v>
      </c>
      <c r="I139" s="193">
        <v>2100</v>
      </c>
      <c r="J139" s="178">
        <v>0</v>
      </c>
      <c r="K139" s="193">
        <v>2100</v>
      </c>
      <c r="L139" s="193">
        <v>0</v>
      </c>
    </row>
    <row r="140">
      <c r="A140" s="270" t="s">
        <v>355</v>
      </c>
      <c r="B140" s="75" t="s">
        <v>1087</v>
      </c>
      <c r="C140" s="193">
        <v>0</v>
      </c>
      <c r="D140" s="193">
        <v>0</v>
      </c>
      <c r="E140" s="193">
        <v>30</v>
      </c>
      <c r="F140" s="178">
        <v>0</v>
      </c>
      <c r="G140" s="178">
        <v>0</v>
      </c>
      <c r="H140" s="178">
        <v>0</v>
      </c>
      <c r="I140" s="193">
        <v>30</v>
      </c>
      <c r="J140" s="178">
        <v>0</v>
      </c>
      <c r="K140" s="193">
        <v>30</v>
      </c>
      <c r="L140" s="193">
        <v>0</v>
      </c>
    </row>
    <row r="141">
      <c r="A141" s="270" t="s">
        <v>5</v>
      </c>
      <c r="B141" s="75" t="s">
        <v>1051</v>
      </c>
      <c r="C141" s="193">
        <v>0</v>
      </c>
      <c r="D141" s="193">
        <v>0</v>
      </c>
      <c r="E141" s="178">
        <v>0</v>
      </c>
      <c r="F141" s="178">
        <v>0</v>
      </c>
      <c r="G141" s="193">
        <v>2521.37</v>
      </c>
      <c r="H141" s="178">
        <v>0</v>
      </c>
      <c r="I141" s="193">
        <v>2521.37</v>
      </c>
      <c r="J141" s="178">
        <v>0</v>
      </c>
      <c r="K141" s="193">
        <v>2521.37</v>
      </c>
      <c r="L141" s="193">
        <v>0</v>
      </c>
    </row>
    <row r="142">
      <c r="A142" s="270" t="s">
        <v>819</v>
      </c>
      <c r="B142" s="75" t="s">
        <v>414</v>
      </c>
      <c r="C142" s="193">
        <v>0</v>
      </c>
      <c r="D142" s="193">
        <v>0</v>
      </c>
      <c r="E142" s="193">
        <v>2539.4</v>
      </c>
      <c r="F142" s="178">
        <v>0</v>
      </c>
      <c r="G142" s="178">
        <v>0</v>
      </c>
      <c r="H142" s="178">
        <v>0</v>
      </c>
      <c r="I142" s="193">
        <v>2539.4</v>
      </c>
      <c r="J142" s="178">
        <v>0</v>
      </c>
      <c r="K142" s="193">
        <v>2539.4</v>
      </c>
      <c r="L142" s="193">
        <v>0</v>
      </c>
    </row>
    <row r="143">
      <c r="A143" s="270" t="s">
        <v>664</v>
      </c>
      <c r="B143" s="75" t="s">
        <v>2</v>
      </c>
      <c r="C143" s="193">
        <v>0</v>
      </c>
      <c r="D143" s="193">
        <v>0</v>
      </c>
      <c r="E143" s="193">
        <v>1115.11</v>
      </c>
      <c r="F143" s="178">
        <v>0</v>
      </c>
      <c r="G143" s="193">
        <v>326.92</v>
      </c>
      <c r="H143" s="178">
        <v>0</v>
      </c>
      <c r="I143" s="193">
        <v>1442.03</v>
      </c>
      <c r="J143" s="178">
        <v>0</v>
      </c>
      <c r="K143" s="193">
        <v>1442.03</v>
      </c>
      <c r="L143" s="193">
        <v>0</v>
      </c>
    </row>
    <row r="144">
      <c r="A144" s="270" t="s">
        <v>686</v>
      </c>
      <c r="B144" s="75" t="s">
        <v>1117</v>
      </c>
      <c r="C144" s="193">
        <v>0</v>
      </c>
      <c r="D144" s="193">
        <v>0</v>
      </c>
      <c r="E144" s="193">
        <v>1344.02</v>
      </c>
      <c r="F144" s="178">
        <v>0</v>
      </c>
      <c r="G144" s="193">
        <v>203.21</v>
      </c>
      <c r="H144" s="178">
        <v>0</v>
      </c>
      <c r="I144" s="193">
        <v>1547.23</v>
      </c>
      <c r="J144" s="178">
        <v>0</v>
      </c>
      <c r="K144" s="193">
        <v>1547.23</v>
      </c>
      <c r="L144" s="193">
        <v>0</v>
      </c>
    </row>
    <row r="145">
      <c r="A145" s="270" t="s">
        <v>901</v>
      </c>
      <c r="B145" s="75" t="s">
        <v>90</v>
      </c>
      <c r="C145" s="193">
        <v>0</v>
      </c>
      <c r="D145" s="193">
        <v>0</v>
      </c>
      <c r="E145" s="178">
        <v>0</v>
      </c>
      <c r="F145" s="178">
        <v>0</v>
      </c>
      <c r="G145" s="178">
        <v>0</v>
      </c>
      <c r="H145" s="193">
        <v>20326.32</v>
      </c>
      <c r="I145" s="178">
        <v>0</v>
      </c>
      <c r="J145" s="193">
        <v>20326.32</v>
      </c>
      <c r="K145" s="193">
        <v>0</v>
      </c>
      <c r="L145" s="193">
        <v>20326.32</v>
      </c>
    </row>
    <row r="146">
      <c r="A146" s="270" t="s">
        <v>915</v>
      </c>
      <c r="B146" s="75" t="s">
        <v>110</v>
      </c>
      <c r="C146" s="193">
        <v>0</v>
      </c>
      <c r="D146" s="193">
        <v>0</v>
      </c>
      <c r="E146" s="178">
        <v>0</v>
      </c>
      <c r="F146" s="178">
        <v>0</v>
      </c>
      <c r="G146" s="193">
        <v>734.33</v>
      </c>
      <c r="H146" s="178">
        <v>0</v>
      </c>
      <c r="I146" s="193">
        <v>734.33</v>
      </c>
      <c r="J146" s="178">
        <v>0</v>
      </c>
      <c r="K146" s="193">
        <v>734.33</v>
      </c>
      <c r="L146" s="193">
        <v>0</v>
      </c>
    </row>
    <row r="147">
      <c r="A147" s="270" t="s">
        <v>415</v>
      </c>
      <c r="B147" s="75" t="s">
        <v>308</v>
      </c>
      <c r="C147" s="193">
        <v>0</v>
      </c>
      <c r="D147" s="193">
        <v>0</v>
      </c>
      <c r="E147" s="193">
        <v>1543.18</v>
      </c>
      <c r="F147" s="193">
        <v>0.38</v>
      </c>
      <c r="G147" s="193">
        <v>1.68</v>
      </c>
      <c r="H147" s="178">
        <v>0</v>
      </c>
      <c r="I147" s="193">
        <v>1544.86</v>
      </c>
      <c r="J147" s="193">
        <v>0.38</v>
      </c>
      <c r="K147" s="193">
        <v>1544.48</v>
      </c>
      <c r="L147" s="193">
        <v>0</v>
      </c>
    </row>
    <row r="148">
      <c r="A148" s="270" t="s">
        <v>1374</v>
      </c>
      <c r="B148" s="75" t="s">
        <v>623</v>
      </c>
      <c r="C148" s="193">
        <v>0</v>
      </c>
      <c r="D148" s="193">
        <v>0</v>
      </c>
      <c r="E148" s="193">
        <v>505.8</v>
      </c>
      <c r="F148" s="178">
        <v>0</v>
      </c>
      <c r="G148" s="178">
        <v>0</v>
      </c>
      <c r="H148" s="178">
        <v>0</v>
      </c>
      <c r="I148" s="193">
        <v>505.8</v>
      </c>
      <c r="J148" s="178">
        <v>0</v>
      </c>
      <c r="K148" s="193">
        <v>505.8</v>
      </c>
      <c r="L148" s="193">
        <v>0</v>
      </c>
    </row>
    <row r="149">
      <c r="A149" s="270" t="s">
        <v>616</v>
      </c>
      <c r="B149" s="75" t="s">
        <v>1251</v>
      </c>
      <c r="C149" s="193">
        <v>0</v>
      </c>
      <c r="D149" s="193">
        <v>0</v>
      </c>
      <c r="E149" s="193">
        <v>3550.6</v>
      </c>
      <c r="F149" s="178">
        <v>0</v>
      </c>
      <c r="G149" s="193">
        <v>7303.83</v>
      </c>
      <c r="H149" s="178">
        <v>0</v>
      </c>
      <c r="I149" s="193">
        <v>10854.43</v>
      </c>
      <c r="J149" s="178">
        <v>0</v>
      </c>
      <c r="K149" s="193">
        <v>10854.43</v>
      </c>
      <c r="L149" s="193">
        <v>0</v>
      </c>
    </row>
    <row r="150">
      <c r="A150" s="270" t="s">
        <v>904</v>
      </c>
      <c r="B150" s="75" t="s">
        <v>956</v>
      </c>
      <c r="C150" s="193">
        <v>0</v>
      </c>
      <c r="D150" s="193">
        <v>0</v>
      </c>
      <c r="E150" s="193">
        <v>14914.41</v>
      </c>
      <c r="F150" s="178">
        <v>0</v>
      </c>
      <c r="G150" s="193">
        <v>1433.8</v>
      </c>
      <c r="H150" s="178">
        <v>0</v>
      </c>
      <c r="I150" s="193">
        <v>16348.21</v>
      </c>
      <c r="J150" s="178">
        <v>0</v>
      </c>
      <c r="K150" s="193">
        <v>16348.21</v>
      </c>
      <c r="L150" s="193">
        <v>0</v>
      </c>
    </row>
    <row r="151">
      <c r="A151" s="270" t="s">
        <v>681</v>
      </c>
      <c r="B151" s="75" t="s">
        <v>1019</v>
      </c>
      <c r="C151" s="193">
        <v>0</v>
      </c>
      <c r="D151" s="193">
        <v>0</v>
      </c>
      <c r="E151" s="193">
        <v>1396.21</v>
      </c>
      <c r="F151" s="193">
        <v>0.82</v>
      </c>
      <c r="G151" s="193">
        <v>145.31</v>
      </c>
      <c r="H151" s="178">
        <v>0</v>
      </c>
      <c r="I151" s="193">
        <v>1541.52</v>
      </c>
      <c r="J151" s="193">
        <v>0.82</v>
      </c>
      <c r="K151" s="193">
        <v>1540.7</v>
      </c>
      <c r="L151" s="193">
        <v>0</v>
      </c>
    </row>
    <row r="152">
      <c r="A152" s="270" t="s">
        <v>99</v>
      </c>
      <c r="B152" s="75" t="s">
        <v>189</v>
      </c>
      <c r="C152" s="193">
        <v>0</v>
      </c>
      <c r="D152" s="193">
        <v>0</v>
      </c>
      <c r="E152" s="193">
        <v>2108.26</v>
      </c>
      <c r="F152" s="178">
        <v>0</v>
      </c>
      <c r="G152" s="193">
        <v>37</v>
      </c>
      <c r="H152" s="178">
        <v>0</v>
      </c>
      <c r="I152" s="193">
        <v>2145.26</v>
      </c>
      <c r="J152" s="178">
        <v>0</v>
      </c>
      <c r="K152" s="193">
        <v>2145.26</v>
      </c>
      <c r="L152" s="193">
        <v>0</v>
      </c>
    </row>
    <row r="153">
      <c r="A153" s="270" t="s">
        <v>1294</v>
      </c>
      <c r="B153" s="75" t="s">
        <v>1076</v>
      </c>
      <c r="C153" s="193">
        <v>0</v>
      </c>
      <c r="D153" s="193">
        <v>0</v>
      </c>
      <c r="E153" s="193">
        <v>1948.2</v>
      </c>
      <c r="F153" s="178">
        <v>0</v>
      </c>
      <c r="G153" s="193">
        <v>23.57</v>
      </c>
      <c r="H153" s="178">
        <v>0</v>
      </c>
      <c r="I153" s="193">
        <v>1971.77</v>
      </c>
      <c r="J153" s="178">
        <v>0</v>
      </c>
      <c r="K153" s="193">
        <v>1971.77</v>
      </c>
      <c r="L153" s="193">
        <v>0</v>
      </c>
    </row>
    <row r="154">
      <c r="A154" s="270" t="s">
        <v>395</v>
      </c>
      <c r="B154" s="75" t="s">
        <v>684</v>
      </c>
      <c r="C154" s="193">
        <v>0</v>
      </c>
      <c r="D154" s="193">
        <v>0</v>
      </c>
      <c r="E154" s="178">
        <v>0</v>
      </c>
      <c r="F154" s="193">
        <v>350</v>
      </c>
      <c r="G154" s="178">
        <v>0</v>
      </c>
      <c r="H154" s="178">
        <v>0</v>
      </c>
      <c r="I154" s="178">
        <v>0</v>
      </c>
      <c r="J154" s="193">
        <v>350</v>
      </c>
      <c r="K154" s="193">
        <v>0</v>
      </c>
      <c r="L154" s="193">
        <v>350</v>
      </c>
    </row>
    <row r="155">
      <c r="A155" s="270" t="s">
        <v>750</v>
      </c>
      <c r="B155" s="75" t="s">
        <v>49</v>
      </c>
      <c r="C155" s="193">
        <v>0</v>
      </c>
      <c r="D155" s="193">
        <v>0</v>
      </c>
      <c r="E155" s="178">
        <v>0</v>
      </c>
      <c r="F155" s="193">
        <v>146008.59</v>
      </c>
      <c r="G155" s="178">
        <v>0</v>
      </c>
      <c r="H155" s="193">
        <v>5210.4</v>
      </c>
      <c r="I155" s="178">
        <v>0</v>
      </c>
      <c r="J155" s="193">
        <v>151218.99</v>
      </c>
      <c r="K155" s="193">
        <v>0</v>
      </c>
      <c r="L155" s="193">
        <v>151218.99</v>
      </c>
    </row>
    <row r="156">
      <c r="A156" s="270" t="s">
        <v>1111</v>
      </c>
      <c r="B156" s="75" t="s">
        <v>362</v>
      </c>
      <c r="C156" s="193">
        <v>0</v>
      </c>
      <c r="D156" s="193">
        <v>0</v>
      </c>
      <c r="E156" s="178">
        <v>0</v>
      </c>
      <c r="F156" s="193">
        <v>1272.24</v>
      </c>
      <c r="G156" s="178">
        <v>0</v>
      </c>
      <c r="H156" s="193">
        <v>601.86</v>
      </c>
      <c r="I156" s="178">
        <v>0</v>
      </c>
      <c r="J156" s="193">
        <v>1874.1</v>
      </c>
      <c r="K156" s="193">
        <v>0</v>
      </c>
      <c r="L156" s="193">
        <v>1874.1</v>
      </c>
    </row>
    <row r="157">
      <c r="A157" s="270" t="s">
        <v>306</v>
      </c>
      <c r="B157" s="75" t="s">
        <v>18</v>
      </c>
      <c r="C157" s="193">
        <v>0</v>
      </c>
      <c r="D157" s="193">
        <v>0</v>
      </c>
      <c r="E157" s="178">
        <v>0</v>
      </c>
      <c r="F157" s="193">
        <v>52085.78</v>
      </c>
      <c r="G157" s="178">
        <v>0</v>
      </c>
      <c r="H157" s="193">
        <v>10934.17</v>
      </c>
      <c r="I157" s="178">
        <v>0</v>
      </c>
      <c r="J157" s="193">
        <v>63019.95</v>
      </c>
      <c r="K157" s="193">
        <v>0</v>
      </c>
      <c r="L157" s="193">
        <v>63019.95</v>
      </c>
    </row>
    <row r="158">
      <c r="A158" s="270" t="s">
        <v>1222</v>
      </c>
      <c r="B158" s="75" t="s">
        <v>1370</v>
      </c>
      <c r="C158" s="193">
        <v>0</v>
      </c>
      <c r="D158" s="193">
        <v>0</v>
      </c>
      <c r="E158" s="178">
        <v>0</v>
      </c>
      <c r="F158" s="193">
        <v>72289.22</v>
      </c>
      <c r="G158" s="178">
        <v>0</v>
      </c>
      <c r="H158" s="193">
        <v>1938.74</v>
      </c>
      <c r="I158" s="178">
        <v>0</v>
      </c>
      <c r="J158" s="193">
        <v>74227.96</v>
      </c>
      <c r="K158" s="193">
        <v>0</v>
      </c>
      <c r="L158" s="193">
        <v>74227.96</v>
      </c>
    </row>
    <row r="159">
      <c r="A159" s="270" t="s">
        <v>233</v>
      </c>
      <c r="B159" s="75" t="s">
        <v>1072</v>
      </c>
      <c r="C159" s="193">
        <v>0</v>
      </c>
      <c r="D159" s="193">
        <v>0</v>
      </c>
      <c r="E159" s="178">
        <v>0</v>
      </c>
      <c r="F159" s="193">
        <v>24643.36</v>
      </c>
      <c r="G159" s="178">
        <v>0</v>
      </c>
      <c r="H159" s="193">
        <v>287.3</v>
      </c>
      <c r="I159" s="178">
        <v>0</v>
      </c>
      <c r="J159" s="193">
        <v>24930.66</v>
      </c>
      <c r="K159" s="193">
        <v>0</v>
      </c>
      <c r="L159" s="193">
        <v>24930.66</v>
      </c>
    </row>
    <row r="160">
      <c r="A160" s="270" t="s">
        <v>510</v>
      </c>
      <c r="B160" s="75" t="s">
        <v>554</v>
      </c>
      <c r="C160" s="193">
        <v>0</v>
      </c>
      <c r="D160" s="193">
        <v>0</v>
      </c>
      <c r="E160" s="178">
        <v>0</v>
      </c>
      <c r="F160" s="193">
        <v>36030.59</v>
      </c>
      <c r="G160" s="178">
        <v>0</v>
      </c>
      <c r="H160" s="193">
        <v>385.4</v>
      </c>
      <c r="I160" s="178">
        <v>0</v>
      </c>
      <c r="J160" s="193">
        <v>36415.99</v>
      </c>
      <c r="K160" s="193">
        <v>0</v>
      </c>
      <c r="L160" s="193">
        <v>36415.99</v>
      </c>
    </row>
    <row r="161">
      <c r="A161" s="270" t="s">
        <v>933</v>
      </c>
      <c r="B161" s="75" t="s">
        <v>154</v>
      </c>
      <c r="C161" s="193">
        <v>0</v>
      </c>
      <c r="D161" s="193">
        <v>0</v>
      </c>
      <c r="E161" s="178">
        <v>0</v>
      </c>
      <c r="F161" s="193">
        <v>9568.01</v>
      </c>
      <c r="G161" s="178">
        <v>0</v>
      </c>
      <c r="H161" s="193">
        <v>44.16</v>
      </c>
      <c r="I161" s="178">
        <v>0</v>
      </c>
      <c r="J161" s="193">
        <v>9612.17</v>
      </c>
      <c r="K161" s="193">
        <v>0</v>
      </c>
      <c r="L161" s="193">
        <v>9612.17</v>
      </c>
    </row>
    <row r="162">
      <c r="A162" s="270" t="s">
        <v>1172</v>
      </c>
      <c r="B162" s="75" t="s">
        <v>557</v>
      </c>
      <c r="C162" s="193">
        <v>0</v>
      </c>
      <c r="D162" s="193">
        <v>0</v>
      </c>
      <c r="E162" s="178">
        <v>0</v>
      </c>
      <c r="F162" s="193">
        <v>273.33</v>
      </c>
      <c r="G162" s="178">
        <v>0</v>
      </c>
      <c r="H162" s="178">
        <v>0</v>
      </c>
      <c r="I162" s="178">
        <v>0</v>
      </c>
      <c r="J162" s="193">
        <v>273.33</v>
      </c>
      <c r="K162" s="193">
        <v>0</v>
      </c>
      <c r="L162" s="193">
        <v>273.33</v>
      </c>
    </row>
    <row r="163">
      <c r="A163" s="270" t="s">
        <v>973</v>
      </c>
      <c r="B163" s="75" t="s">
        <v>1340</v>
      </c>
      <c r="C163" s="193">
        <v>0</v>
      </c>
      <c r="D163" s="193">
        <v>0</v>
      </c>
      <c r="E163" s="178">
        <v>0</v>
      </c>
      <c r="F163" s="193">
        <v>9484.73</v>
      </c>
      <c r="G163" s="178">
        <v>0</v>
      </c>
      <c r="H163" s="193">
        <v>8.33</v>
      </c>
      <c r="I163" s="178">
        <v>0</v>
      </c>
      <c r="J163" s="193">
        <v>9493.06</v>
      </c>
      <c r="K163" s="193">
        <v>0</v>
      </c>
      <c r="L163" s="193">
        <v>9493.06</v>
      </c>
    </row>
    <row r="164">
      <c r="A164" s="270" t="s">
        <v>1272</v>
      </c>
      <c r="B164" s="75" t="s">
        <v>366</v>
      </c>
      <c r="C164" s="193">
        <v>0</v>
      </c>
      <c r="D164" s="193">
        <v>0</v>
      </c>
      <c r="E164" s="178">
        <v>0</v>
      </c>
      <c r="F164" s="193">
        <v>11196.01</v>
      </c>
      <c r="G164" s="178">
        <v>0</v>
      </c>
      <c r="H164" s="178">
        <v>0</v>
      </c>
      <c r="I164" s="178">
        <v>0</v>
      </c>
      <c r="J164" s="193">
        <v>11196.01</v>
      </c>
      <c r="K164" s="193">
        <v>0</v>
      </c>
      <c r="L164" s="193">
        <v>11196.01</v>
      </c>
    </row>
    <row r="165">
      <c r="A165" s="270" t="s">
        <v>1283</v>
      </c>
      <c r="B165" s="75" t="s">
        <v>1305</v>
      </c>
      <c r="C165" s="193">
        <v>0</v>
      </c>
      <c r="D165" s="193">
        <v>0</v>
      </c>
      <c r="E165" s="178">
        <v>0</v>
      </c>
      <c r="F165" s="193">
        <v>525.83</v>
      </c>
      <c r="G165" s="178">
        <v>0</v>
      </c>
      <c r="H165" s="178">
        <v>0</v>
      </c>
      <c r="I165" s="178">
        <v>0</v>
      </c>
      <c r="J165" s="193">
        <v>525.83</v>
      </c>
      <c r="K165" s="193">
        <v>0</v>
      </c>
      <c r="L165" s="193">
        <v>525.83</v>
      </c>
    </row>
    <row r="166">
      <c r="A166" s="270" t="s">
        <v>1167</v>
      </c>
      <c r="B166" s="75" t="s">
        <v>52</v>
      </c>
      <c r="C166" s="193">
        <v>0</v>
      </c>
      <c r="D166" s="193">
        <v>0</v>
      </c>
      <c r="E166" s="178">
        <v>0</v>
      </c>
      <c r="F166" s="193">
        <v>2270</v>
      </c>
      <c r="G166" s="178">
        <v>0</v>
      </c>
      <c r="H166" s="178">
        <v>0</v>
      </c>
      <c r="I166" s="178">
        <v>0</v>
      </c>
      <c r="J166" s="193">
        <v>2270</v>
      </c>
      <c r="K166" s="193">
        <v>0</v>
      </c>
      <c r="L166" s="193">
        <v>2270</v>
      </c>
    </row>
    <row r="167">
      <c r="A167" s="270" t="s">
        <v>118</v>
      </c>
      <c r="B167" s="75" t="s">
        <v>668</v>
      </c>
      <c r="C167" s="193">
        <v>0</v>
      </c>
      <c r="D167" s="193">
        <v>0</v>
      </c>
      <c r="E167" s="178">
        <v>0</v>
      </c>
      <c r="F167" s="193">
        <v>631.67</v>
      </c>
      <c r="G167" s="178">
        <v>0</v>
      </c>
      <c r="H167" s="193">
        <v>33.33</v>
      </c>
      <c r="I167" s="178">
        <v>0</v>
      </c>
      <c r="J167" s="193">
        <v>665</v>
      </c>
      <c r="K167" s="193">
        <v>0</v>
      </c>
      <c r="L167" s="193">
        <v>665</v>
      </c>
    </row>
    <row r="168">
      <c r="A168" s="270" t="s">
        <v>1355</v>
      </c>
      <c r="B168" s="75" t="s">
        <v>349</v>
      </c>
      <c r="C168" s="193">
        <v>0</v>
      </c>
      <c r="D168" s="193">
        <v>0</v>
      </c>
      <c r="E168" s="178">
        <v>0</v>
      </c>
      <c r="F168" s="193">
        <v>-3811.72</v>
      </c>
      <c r="G168" s="178">
        <v>0</v>
      </c>
      <c r="H168" s="193">
        <v>-65.23</v>
      </c>
      <c r="I168" s="178">
        <v>0</v>
      </c>
      <c r="J168" s="193">
        <v>-3876.95</v>
      </c>
      <c r="K168" s="193">
        <v>3876.95</v>
      </c>
      <c r="L168" s="193">
        <v>0</v>
      </c>
    </row>
    <row r="169">
      <c r="A169" s="270" t="s">
        <v>469</v>
      </c>
      <c r="B169" s="75" t="s">
        <v>1196</v>
      </c>
      <c r="C169" s="193">
        <v>0</v>
      </c>
      <c r="D169" s="193">
        <v>0</v>
      </c>
      <c r="E169" s="178">
        <v>0</v>
      </c>
      <c r="F169" s="193">
        <v>5813.38</v>
      </c>
      <c r="G169" s="178">
        <v>0</v>
      </c>
      <c r="H169" s="178">
        <v>0</v>
      </c>
      <c r="I169" s="178">
        <v>0</v>
      </c>
      <c r="J169" s="193">
        <v>5813.38</v>
      </c>
      <c r="K169" s="193">
        <v>0</v>
      </c>
      <c r="L169" s="193">
        <v>5813.38</v>
      </c>
    </row>
    <row r="170">
      <c r="A170" s="270" t="s">
        <v>885</v>
      </c>
      <c r="B170" s="75" t="s">
        <v>541</v>
      </c>
      <c r="C170" s="193">
        <v>0</v>
      </c>
      <c r="D170" s="193">
        <v>0</v>
      </c>
      <c r="E170" s="178">
        <v>0</v>
      </c>
      <c r="F170" s="193">
        <v>-0.01</v>
      </c>
      <c r="G170" s="178">
        <v>0</v>
      </c>
      <c r="H170" s="178">
        <v>0</v>
      </c>
      <c r="I170" s="178">
        <v>0</v>
      </c>
      <c r="J170" s="193">
        <v>-0.01</v>
      </c>
      <c r="K170" s="193">
        <v>0.01</v>
      </c>
      <c r="L170" s="193">
        <v>0</v>
      </c>
    </row>
    <row r="171">
      <c r="A171" s="270" t="s">
        <v>1311</v>
      </c>
      <c r="B171" s="75" t="s">
        <v>1005</v>
      </c>
      <c r="C171" s="193">
        <v>0</v>
      </c>
      <c r="D171" s="193">
        <v>0</v>
      </c>
      <c r="E171" s="178">
        <v>0</v>
      </c>
      <c r="F171" s="193">
        <v>998.67</v>
      </c>
      <c r="G171" s="178">
        <v>0</v>
      </c>
      <c r="H171" s="178">
        <v>0</v>
      </c>
      <c r="I171" s="178">
        <v>0</v>
      </c>
      <c r="J171" s="193">
        <v>998.67</v>
      </c>
      <c r="K171" s="193">
        <v>0</v>
      </c>
      <c r="L171" s="193">
        <v>998.67</v>
      </c>
    </row>
    <row r="172">
      <c r="A172" s="270" t="s">
        <v>416</v>
      </c>
      <c r="B172" s="75" t="s">
        <v>599</v>
      </c>
      <c r="C172" s="193">
        <v>0</v>
      </c>
      <c r="D172" s="193">
        <v>0</v>
      </c>
      <c r="E172" s="178">
        <v>0</v>
      </c>
      <c r="F172" s="193">
        <v>5481.27</v>
      </c>
      <c r="G172" s="178">
        <v>0</v>
      </c>
      <c r="H172" s="178">
        <v>0</v>
      </c>
      <c r="I172" s="178">
        <v>0</v>
      </c>
      <c r="J172" s="193">
        <v>5481.27</v>
      </c>
      <c r="K172" s="193">
        <v>0</v>
      </c>
      <c r="L172" s="193">
        <v>5481.27</v>
      </c>
    </row>
    <row r="173">
      <c r="A173" s="270" t="s">
        <v>689</v>
      </c>
      <c r="B173" s="75" t="s">
        <v>1235</v>
      </c>
      <c r="C173" s="193">
        <v>0</v>
      </c>
      <c r="D173" s="193">
        <v>0</v>
      </c>
      <c r="E173" s="178">
        <v>0</v>
      </c>
      <c r="F173" s="178">
        <v>0</v>
      </c>
      <c r="G173" s="178">
        <v>0</v>
      </c>
      <c r="H173" s="193">
        <v>13773.87</v>
      </c>
      <c r="I173" s="178">
        <v>0</v>
      </c>
      <c r="J173" s="193">
        <v>13773.87</v>
      </c>
      <c r="K173" s="193">
        <v>0</v>
      </c>
      <c r="L173" s="193">
        <v>13773.87</v>
      </c>
    </row>
    <row r="174">
      <c r="A174" s="270" t="s">
        <v>549</v>
      </c>
      <c r="B174" s="75" t="s">
        <v>1235</v>
      </c>
      <c r="C174" s="193">
        <v>0</v>
      </c>
      <c r="D174" s="193">
        <v>0</v>
      </c>
      <c r="E174" s="193">
        <v>-77.38</v>
      </c>
      <c r="F174" s="193">
        <v>33474.21</v>
      </c>
      <c r="G174" s="178">
        <v>0</v>
      </c>
      <c r="H174" s="193">
        <v>1625.81</v>
      </c>
      <c r="I174" s="193">
        <v>-77.38</v>
      </c>
      <c r="J174" s="193">
        <v>35100.02</v>
      </c>
      <c r="K174" s="193">
        <v>0</v>
      </c>
      <c r="L174" s="193">
        <v>35177.4</v>
      </c>
    </row>
    <row r="175">
      <c r="A175" s="270" t="s">
        <v>502</v>
      </c>
      <c r="B175" s="75" t="s">
        <v>1204</v>
      </c>
      <c r="C175" s="193">
        <v>0</v>
      </c>
      <c r="D175" s="193">
        <v>0</v>
      </c>
      <c r="E175" s="178">
        <v>0</v>
      </c>
      <c r="F175" s="193">
        <v>0.22</v>
      </c>
      <c r="G175" s="178">
        <v>0</v>
      </c>
      <c r="H175" s="193">
        <v>0.74</v>
      </c>
      <c r="I175" s="178">
        <v>0</v>
      </c>
      <c r="J175" s="193">
        <v>0.96</v>
      </c>
      <c r="K175" s="193">
        <v>0</v>
      </c>
      <c r="L175" s="193">
        <v>0.96</v>
      </c>
    </row>
    <row r="176">
      <c r="A176" s="270" t="s">
        <v>61</v>
      </c>
      <c r="B176" s="75" t="s">
        <v>1372</v>
      </c>
      <c r="C176" s="193">
        <v>0</v>
      </c>
      <c r="D176" s="193">
        <v>0</v>
      </c>
      <c r="E176" s="178">
        <v>0</v>
      </c>
      <c r="F176" s="178">
        <v>0</v>
      </c>
      <c r="G176" s="178">
        <v>0</v>
      </c>
      <c r="H176" s="178">
        <v>0</v>
      </c>
      <c r="I176" s="193">
        <v>1435412.78</v>
      </c>
      <c r="J176" s="193">
        <v>1435412.78</v>
      </c>
      <c r="K176" s="193">
        <v>0</v>
      </c>
      <c r="L176" s="193">
        <v>0</v>
      </c>
    </row>
    <row r="177">
      <c r="A177" s="270" t="s">
        <v>365</v>
      </c>
      <c r="B177" s="75" t="s">
        <v>1380</v>
      </c>
      <c r="C177" s="193">
        <v>0</v>
      </c>
      <c r="D177" s="193">
        <v>0</v>
      </c>
      <c r="E177" s="178">
        <v>0</v>
      </c>
      <c r="F177" s="178">
        <v>0</v>
      </c>
      <c r="G177" s="178">
        <v>0</v>
      </c>
      <c r="H177" s="178">
        <v>0</v>
      </c>
      <c r="I177" s="178">
        <v>0</v>
      </c>
      <c r="J177" s="178">
        <v>0</v>
      </c>
      <c r="K177" s="193">
        <v>0</v>
      </c>
      <c r="L177" s="193">
        <v>0</v>
      </c>
    </row>
    <row r="178">
      <c r="A178" s="270" t="s">
        <v>959</v>
      </c>
      <c r="B178" s="75" t="s">
        <v>477</v>
      </c>
      <c r="C178" s="193">
        <v>0</v>
      </c>
      <c r="D178" s="193">
        <v>0</v>
      </c>
      <c r="E178" s="178">
        <v>0</v>
      </c>
      <c r="F178" s="178">
        <v>0</v>
      </c>
      <c r="G178" s="178">
        <v>0</v>
      </c>
      <c r="H178" s="178">
        <v>0</v>
      </c>
      <c r="I178" s="178">
        <v>0</v>
      </c>
      <c r="J178" s="178">
        <v>0</v>
      </c>
      <c r="K178" s="193">
        <v>0</v>
      </c>
      <c r="L178" s="193">
        <v>0</v>
      </c>
    </row>
  </sheetData>
  <sheetCalcPr fullCalcOnLoad="1"/>
  <printOptions/>
  <pageMargins left="0.7" right="0.7" top="0.75" bottom="0.75" header="0.3" footer="0.3"/>
</worksheet>
</file>

<file path=xl/worksheets/sheet46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124"/>
  <sheetViews>
    <sheetView zoomScaleNormal="100" zoomScaleSheetLayoutView="100" zoomScalePageLayoutView="100" workbookViewId="0"/>
  </sheetViews>
  <sheetFormatPr defaultColWidth="9.109375" defaultRowHeight="12"/>
  <cols>
    <col min="1" max="1" width="16.109375" style="63" customWidth="1"/>
    <col min="2" max="2" width="46.6640625" style="2" customWidth="1"/>
    <col min="3" max="3" width="15.33203125" style="257" customWidth="1"/>
    <col min="4" max="4" width="15.33203125" style="257" customWidth="1"/>
    <col min="5" max="5" width="15.109375" style="257" customWidth="1"/>
    <col min="6" max="7" width="15.33203125" style="257" customWidth="1"/>
    <col min="8" max="8" width="15.33203125" style="257" customWidth="1"/>
    <col min="9" max="11" width="15.33203125" style="257" customWidth="1"/>
    <col min="12" max="12" width="14.88671875" style="257" customWidth="1"/>
    <col min="13" max="16384" width="9.109375" style="124"/>
  </cols>
  <sheetData>
    <row r="1">
      <c r="A1" s="55" t="s">
        <v>593</v>
      </c>
      <c r="B1" s="11" t="s">
        <v>1130</v>
      </c>
      <c r="C1" s="173" t="s">
        <v>321</v>
      </c>
      <c r="D1" s="173" t="s">
        <v>717</v>
      </c>
      <c r="E1" s="173" t="s">
        <v>644</v>
      </c>
      <c r="F1" s="173" t="s">
        <v>372</v>
      </c>
      <c r="G1" s="173" t="s">
        <v>742</v>
      </c>
      <c r="H1" s="173" t="s">
        <v>707</v>
      </c>
      <c r="I1" s="173" t="s">
        <v>1145</v>
      </c>
      <c r="J1" s="173" t="s">
        <v>1351</v>
      </c>
      <c r="K1" s="173" t="s">
        <v>1275</v>
      </c>
      <c r="L1" s="173" t="s">
        <v>298</v>
      </c>
    </row>
    <row r="2">
      <c r="A2" s="240" t="s">
        <v>374</v>
      </c>
      <c r="B2" s="113" t="s">
        <v>937</v>
      </c>
      <c r="C2" s="158">
        <v>7957.68</v>
      </c>
      <c r="D2" s="158">
        <v>0</v>
      </c>
      <c r="E2" s="158">
        <v>0</v>
      </c>
      <c r="F2" s="158">
        <v>0</v>
      </c>
      <c r="G2" s="158">
        <v>0</v>
      </c>
      <c r="H2" s="158">
        <v>0</v>
      </c>
      <c r="I2" s="158">
        <v>0</v>
      </c>
      <c r="J2" s="158">
        <v>0</v>
      </c>
      <c r="K2" s="158">
        <v>7957.68</v>
      </c>
      <c r="L2" s="158">
        <v>0</v>
      </c>
    </row>
    <row r="3">
      <c r="A3" s="240" t="s">
        <v>1369</v>
      </c>
      <c r="B3" s="113" t="s">
        <v>177</v>
      </c>
      <c r="C3" s="158">
        <v>252901.07</v>
      </c>
      <c r="D3" s="158">
        <v>0</v>
      </c>
      <c r="E3" s="158">
        <v>0</v>
      </c>
      <c r="F3" s="158">
        <v>0</v>
      </c>
      <c r="G3" s="158">
        <v>0</v>
      </c>
      <c r="H3" s="158">
        <v>0</v>
      </c>
      <c r="I3" s="158">
        <v>0</v>
      </c>
      <c r="J3" s="158">
        <v>0</v>
      </c>
      <c r="K3" s="158">
        <v>252901.07</v>
      </c>
      <c r="L3" s="158">
        <v>0</v>
      </c>
    </row>
    <row r="4">
      <c r="A4" s="240" t="s">
        <v>974</v>
      </c>
      <c r="B4" s="113" t="s">
        <v>1127</v>
      </c>
      <c r="C4" s="158">
        <v>138136.83</v>
      </c>
      <c r="D4" s="158">
        <v>0</v>
      </c>
      <c r="E4" s="158">
        <v>8016.08</v>
      </c>
      <c r="F4" s="158">
        <v>0</v>
      </c>
      <c r="G4" s="158">
        <v>0</v>
      </c>
      <c r="H4" s="158">
        <v>0</v>
      </c>
      <c r="I4" s="158">
        <v>8016.08</v>
      </c>
      <c r="J4" s="158">
        <v>0</v>
      </c>
      <c r="K4" s="158">
        <v>146152.91</v>
      </c>
      <c r="L4" s="158">
        <v>0</v>
      </c>
    </row>
    <row r="5">
      <c r="A5" s="240" t="s">
        <v>592</v>
      </c>
      <c r="B5" s="113" t="s">
        <v>558</v>
      </c>
      <c r="C5" s="158">
        <v>6399.38</v>
      </c>
      <c r="D5" s="158">
        <v>0</v>
      </c>
      <c r="E5" s="158">
        <v>0</v>
      </c>
      <c r="F5" s="158">
        <v>0</v>
      </c>
      <c r="G5" s="158">
        <v>0</v>
      </c>
      <c r="H5" s="158">
        <v>0</v>
      </c>
      <c r="I5" s="158">
        <v>0</v>
      </c>
      <c r="J5" s="158">
        <v>0</v>
      </c>
      <c r="K5" s="158">
        <v>6399.38</v>
      </c>
      <c r="L5" s="158">
        <v>0</v>
      </c>
    </row>
    <row r="6">
      <c r="A6" s="240" t="s">
        <v>845</v>
      </c>
      <c r="B6" s="113" t="s">
        <v>1121</v>
      </c>
      <c r="C6" s="158">
        <v>30163</v>
      </c>
      <c r="D6" s="158">
        <v>0</v>
      </c>
      <c r="E6" s="158">
        <v>0</v>
      </c>
      <c r="F6" s="158">
        <v>0</v>
      </c>
      <c r="G6" s="158">
        <v>0</v>
      </c>
      <c r="H6" s="158">
        <v>0</v>
      </c>
      <c r="I6" s="158">
        <v>0</v>
      </c>
      <c r="J6" s="158">
        <v>0</v>
      </c>
      <c r="K6" s="158">
        <v>30163</v>
      </c>
      <c r="L6" s="158">
        <v>0</v>
      </c>
    </row>
    <row r="7">
      <c r="A7" s="240" t="s">
        <v>743</v>
      </c>
      <c r="B7" s="113" t="s">
        <v>826</v>
      </c>
      <c r="C7" s="158">
        <v>55793.32</v>
      </c>
      <c r="D7" s="158">
        <v>0</v>
      </c>
      <c r="E7" s="158">
        <v>5750</v>
      </c>
      <c r="F7" s="158">
        <v>8016.08</v>
      </c>
      <c r="G7" s="158">
        <v>0</v>
      </c>
      <c r="H7" s="158">
        <v>0</v>
      </c>
      <c r="I7" s="158">
        <v>5750</v>
      </c>
      <c r="J7" s="158">
        <v>8016.08</v>
      </c>
      <c r="K7" s="158">
        <v>53527.24</v>
      </c>
      <c r="L7" s="158">
        <v>0</v>
      </c>
    </row>
    <row r="8">
      <c r="A8" s="240" t="s">
        <v>772</v>
      </c>
      <c r="B8" s="113" t="s">
        <v>146</v>
      </c>
      <c r="C8" s="158">
        <v>0</v>
      </c>
      <c r="D8" s="158">
        <v>7957.68</v>
      </c>
      <c r="E8" s="158">
        <v>0</v>
      </c>
      <c r="F8" s="158">
        <v>0</v>
      </c>
      <c r="G8" s="158">
        <v>0</v>
      </c>
      <c r="H8" s="158">
        <v>0</v>
      </c>
      <c r="I8" s="158">
        <v>0</v>
      </c>
      <c r="J8" s="158">
        <v>0</v>
      </c>
      <c r="K8" s="158">
        <v>0</v>
      </c>
      <c r="L8" s="158">
        <v>7957.68</v>
      </c>
    </row>
    <row r="9">
      <c r="A9" s="240" t="s">
        <v>812</v>
      </c>
      <c r="B9" s="113" t="s">
        <v>881</v>
      </c>
      <c r="C9" s="158">
        <v>0</v>
      </c>
      <c r="D9" s="158">
        <v>106917.79</v>
      </c>
      <c r="E9" s="158">
        <v>0</v>
      </c>
      <c r="F9" s="158">
        <v>9286.53</v>
      </c>
      <c r="G9" s="158">
        <v>0</v>
      </c>
      <c r="H9" s="158">
        <v>840.76</v>
      </c>
      <c r="I9" s="158">
        <v>0</v>
      </c>
      <c r="J9" s="158">
        <v>10127.29</v>
      </c>
      <c r="K9" s="158">
        <v>0</v>
      </c>
      <c r="L9" s="158">
        <v>117045.08</v>
      </c>
    </row>
    <row r="10">
      <c r="A10" s="240" t="s">
        <v>886</v>
      </c>
      <c r="B10" s="113" t="s">
        <v>1284</v>
      </c>
      <c r="C10" s="158">
        <v>0</v>
      </c>
      <c r="D10" s="158">
        <v>105505.52</v>
      </c>
      <c r="E10" s="158">
        <v>0</v>
      </c>
      <c r="F10" s="158">
        <v>5403.26</v>
      </c>
      <c r="G10" s="158">
        <v>0</v>
      </c>
      <c r="H10" s="158">
        <v>572.62</v>
      </c>
      <c r="I10" s="158">
        <v>0</v>
      </c>
      <c r="J10" s="158">
        <v>5975.88</v>
      </c>
      <c r="K10" s="158">
        <v>0</v>
      </c>
      <c r="L10" s="158">
        <v>111481.4</v>
      </c>
    </row>
    <row r="11">
      <c r="A11" s="240" t="s">
        <v>811</v>
      </c>
      <c r="B11" s="113" t="s">
        <v>547</v>
      </c>
      <c r="C11" s="158">
        <v>0</v>
      </c>
      <c r="D11" s="158">
        <v>5868.7</v>
      </c>
      <c r="E11" s="158">
        <v>0</v>
      </c>
      <c r="F11" s="158">
        <v>224.62</v>
      </c>
      <c r="G11" s="158">
        <v>0</v>
      </c>
      <c r="H11" s="158">
        <v>20.42</v>
      </c>
      <c r="I11" s="158">
        <v>0</v>
      </c>
      <c r="J11" s="158">
        <v>245.04</v>
      </c>
      <c r="K11" s="158">
        <v>0</v>
      </c>
      <c r="L11" s="158">
        <v>6113.74</v>
      </c>
    </row>
    <row r="12">
      <c r="A12" s="240" t="s">
        <v>1081</v>
      </c>
      <c r="B12" s="113" t="s">
        <v>967</v>
      </c>
      <c r="C12" s="158">
        <v>0</v>
      </c>
      <c r="D12" s="158">
        <v>0</v>
      </c>
      <c r="E12" s="158">
        <v>198661.94</v>
      </c>
      <c r="F12" s="158">
        <v>197741.84</v>
      </c>
      <c r="G12" s="158">
        <v>256.13</v>
      </c>
      <c r="H12" s="158">
        <v>0</v>
      </c>
      <c r="I12" s="158">
        <v>198918.07</v>
      </c>
      <c r="J12" s="158">
        <v>197741.84</v>
      </c>
      <c r="K12" s="158">
        <v>1176.23</v>
      </c>
      <c r="L12" s="158">
        <v>0</v>
      </c>
    </row>
    <row r="13">
      <c r="A13" s="240" t="s">
        <v>475</v>
      </c>
      <c r="B13" s="113" t="s">
        <v>575</v>
      </c>
      <c r="C13" s="158">
        <v>15606.33</v>
      </c>
      <c r="D13" s="158">
        <v>0</v>
      </c>
      <c r="E13" s="158">
        <v>200180.66</v>
      </c>
      <c r="F13" s="158">
        <v>204736.24</v>
      </c>
      <c r="G13" s="158">
        <v>4703.66</v>
      </c>
      <c r="H13" s="158">
        <v>510.89</v>
      </c>
      <c r="I13" s="158">
        <v>204884.32</v>
      </c>
      <c r="J13" s="158">
        <v>205247.13</v>
      </c>
      <c r="K13" s="158">
        <v>15243.52</v>
      </c>
      <c r="L13" s="158">
        <v>0</v>
      </c>
    </row>
    <row r="14">
      <c r="A14" s="240" t="s">
        <v>318</v>
      </c>
      <c r="B14" s="113" t="s">
        <v>474</v>
      </c>
      <c r="C14" s="158">
        <v>8700</v>
      </c>
      <c r="D14" s="158">
        <v>0</v>
      </c>
      <c r="E14" s="158">
        <v>0</v>
      </c>
      <c r="F14" s="158">
        <v>0</v>
      </c>
      <c r="G14" s="158">
        <v>0</v>
      </c>
      <c r="H14" s="158">
        <v>0</v>
      </c>
      <c r="I14" s="158">
        <v>0</v>
      </c>
      <c r="J14" s="158">
        <v>0</v>
      </c>
      <c r="K14" s="158">
        <v>8700</v>
      </c>
      <c r="L14" s="158">
        <v>0</v>
      </c>
    </row>
    <row r="15">
      <c r="A15" s="240" t="s">
        <v>70</v>
      </c>
      <c r="B15" s="113" t="s">
        <v>259</v>
      </c>
      <c r="C15" s="158">
        <v>66974.23</v>
      </c>
      <c r="D15" s="158">
        <v>0</v>
      </c>
      <c r="E15" s="158">
        <v>332307.54</v>
      </c>
      <c r="F15" s="158">
        <v>327485.62</v>
      </c>
      <c r="G15" s="158">
        <v>27755.92</v>
      </c>
      <c r="H15" s="158">
        <v>94247.44</v>
      </c>
      <c r="I15" s="158">
        <v>360063.46</v>
      </c>
      <c r="J15" s="158">
        <v>421733.06</v>
      </c>
      <c r="K15" s="158">
        <v>5304.63</v>
      </c>
      <c r="L15" s="158">
        <v>0</v>
      </c>
    </row>
    <row r="16">
      <c r="A16" s="240" t="s">
        <v>1155</v>
      </c>
      <c r="B16" s="113" t="s">
        <v>660</v>
      </c>
      <c r="C16" s="158">
        <v>266.97</v>
      </c>
      <c r="D16" s="158">
        <v>0</v>
      </c>
      <c r="E16" s="158">
        <v>17260.49</v>
      </c>
      <c r="F16" s="158">
        <v>13282.25</v>
      </c>
      <c r="G16" s="158">
        <v>0</v>
      </c>
      <c r="H16" s="158">
        <v>1496.04</v>
      </c>
      <c r="I16" s="158">
        <v>17260.49</v>
      </c>
      <c r="J16" s="158">
        <v>14778.29</v>
      </c>
      <c r="K16" s="158">
        <v>2749.17</v>
      </c>
      <c r="L16" s="158">
        <v>0</v>
      </c>
    </row>
    <row r="17">
      <c r="A17" s="240" t="s">
        <v>501</v>
      </c>
      <c r="B17" s="113" t="s">
        <v>47</v>
      </c>
      <c r="C17" s="158">
        <v>19689.23</v>
      </c>
      <c r="D17" s="158">
        <v>0</v>
      </c>
      <c r="E17" s="158">
        <v>486589.32</v>
      </c>
      <c r="F17" s="158">
        <v>524087</v>
      </c>
      <c r="G17" s="158">
        <v>4249.44</v>
      </c>
      <c r="H17" s="158">
        <v>18479.77</v>
      </c>
      <c r="I17" s="158">
        <v>490838.76</v>
      </c>
      <c r="J17" s="158">
        <v>542566.77</v>
      </c>
      <c r="K17" s="158">
        <v>0</v>
      </c>
      <c r="L17" s="158">
        <v>32038.78</v>
      </c>
    </row>
    <row r="18">
      <c r="A18" s="240" t="s">
        <v>79</v>
      </c>
      <c r="B18" s="113" t="s">
        <v>989</v>
      </c>
      <c r="C18" s="158">
        <v>0</v>
      </c>
      <c r="D18" s="158">
        <v>27018.07</v>
      </c>
      <c r="E18" s="158">
        <v>0</v>
      </c>
      <c r="F18" s="158">
        <v>0</v>
      </c>
      <c r="G18" s="158">
        <v>0</v>
      </c>
      <c r="H18" s="158">
        <v>0</v>
      </c>
      <c r="I18" s="158">
        <v>0</v>
      </c>
      <c r="J18" s="158">
        <v>0</v>
      </c>
      <c r="K18" s="158">
        <v>0</v>
      </c>
      <c r="L18" s="158">
        <v>27018.07</v>
      </c>
    </row>
    <row r="19">
      <c r="A19" s="240" t="s">
        <v>738</v>
      </c>
      <c r="B19" s="113" t="s">
        <v>320</v>
      </c>
      <c r="C19" s="158">
        <v>0</v>
      </c>
      <c r="D19" s="158">
        <v>0</v>
      </c>
      <c r="E19" s="158">
        <v>307817.06</v>
      </c>
      <c r="F19" s="158">
        <v>309817.06</v>
      </c>
      <c r="G19" s="158">
        <v>14010.47</v>
      </c>
      <c r="H19" s="158">
        <v>12010.47</v>
      </c>
      <c r="I19" s="158">
        <v>321827.53</v>
      </c>
      <c r="J19" s="158">
        <v>321827.53</v>
      </c>
      <c r="K19" s="158">
        <v>0</v>
      </c>
      <c r="L19" s="158">
        <v>0</v>
      </c>
    </row>
    <row r="20">
      <c r="A20" s="240" t="s">
        <v>412</v>
      </c>
      <c r="B20" s="113" t="s">
        <v>172</v>
      </c>
      <c r="C20" s="158">
        <v>28390.48</v>
      </c>
      <c r="D20" s="158">
        <v>0</v>
      </c>
      <c r="E20" s="158">
        <v>150754.43</v>
      </c>
      <c r="F20" s="158">
        <v>158848.41</v>
      </c>
      <c r="G20" s="158">
        <v>9978.51</v>
      </c>
      <c r="H20" s="158">
        <v>35142.41</v>
      </c>
      <c r="I20" s="158">
        <v>160732.94</v>
      </c>
      <c r="J20" s="158">
        <v>193990.82</v>
      </c>
      <c r="K20" s="158">
        <v>0</v>
      </c>
      <c r="L20" s="158">
        <v>4867.4</v>
      </c>
    </row>
    <row r="21">
      <c r="A21" s="240" t="s">
        <v>792</v>
      </c>
      <c r="B21" s="113" t="s">
        <v>880</v>
      </c>
      <c r="C21" s="158">
        <v>0</v>
      </c>
      <c r="D21" s="158">
        <v>18</v>
      </c>
      <c r="E21" s="158">
        <v>120015.52</v>
      </c>
      <c r="F21" s="158">
        <v>119997.52</v>
      </c>
      <c r="G21" s="158">
        <v>1297.89</v>
      </c>
      <c r="H21" s="158">
        <v>1297.89</v>
      </c>
      <c r="I21" s="158">
        <v>121313.41</v>
      </c>
      <c r="J21" s="158">
        <v>121295.41</v>
      </c>
      <c r="K21" s="158">
        <v>0</v>
      </c>
      <c r="L21" s="158">
        <v>0</v>
      </c>
    </row>
    <row r="22">
      <c r="A22" s="240" t="s">
        <v>428</v>
      </c>
      <c r="B22" s="113" t="s">
        <v>1229</v>
      </c>
      <c r="C22" s="158">
        <v>0</v>
      </c>
      <c r="D22" s="158">
        <v>297503.45</v>
      </c>
      <c r="E22" s="158">
        <v>438894.54</v>
      </c>
      <c r="F22" s="158">
        <v>336299.27</v>
      </c>
      <c r="G22" s="158">
        <v>53627.85</v>
      </c>
      <c r="H22" s="158">
        <v>19845.75</v>
      </c>
      <c r="I22" s="158">
        <v>492522.39</v>
      </c>
      <c r="J22" s="158">
        <v>356145.02</v>
      </c>
      <c r="K22" s="158">
        <v>0</v>
      </c>
      <c r="L22" s="158">
        <v>161126.08</v>
      </c>
    </row>
    <row r="23">
      <c r="A23" s="240" t="s">
        <v>537</v>
      </c>
      <c r="B23" s="113" t="s">
        <v>801</v>
      </c>
      <c r="C23" s="158">
        <v>0</v>
      </c>
      <c r="D23" s="158">
        <v>21952.44</v>
      </c>
      <c r="E23" s="158">
        <v>83975.15</v>
      </c>
      <c r="F23" s="158">
        <v>84539.24</v>
      </c>
      <c r="G23" s="158">
        <v>-13307.4</v>
      </c>
      <c r="H23" s="158">
        <v>-34669.55</v>
      </c>
      <c r="I23" s="158">
        <v>70667.75</v>
      </c>
      <c r="J23" s="158">
        <v>49869.69</v>
      </c>
      <c r="K23" s="158">
        <v>0</v>
      </c>
      <c r="L23" s="158">
        <v>1154.38</v>
      </c>
    </row>
    <row r="24">
      <c r="A24" s="240" t="s">
        <v>265</v>
      </c>
      <c r="B24" s="113" t="s">
        <v>949</v>
      </c>
      <c r="C24" s="158">
        <v>192.6</v>
      </c>
      <c r="D24" s="158">
        <v>0</v>
      </c>
      <c r="E24" s="158">
        <v>1535</v>
      </c>
      <c r="F24" s="158">
        <v>2539.4</v>
      </c>
      <c r="G24" s="158">
        <v>0</v>
      </c>
      <c r="H24" s="158">
        <v>20299.84</v>
      </c>
      <c r="I24" s="158">
        <v>1535</v>
      </c>
      <c r="J24" s="158">
        <v>22839.24</v>
      </c>
      <c r="K24" s="158">
        <v>0</v>
      </c>
      <c r="L24" s="158">
        <v>21111.64</v>
      </c>
    </row>
    <row r="25">
      <c r="A25" s="240" t="s">
        <v>120</v>
      </c>
      <c r="B25" s="113" t="s">
        <v>1163</v>
      </c>
      <c r="C25" s="158">
        <v>3411.33</v>
      </c>
      <c r="D25" s="158">
        <v>0</v>
      </c>
      <c r="E25" s="158">
        <v>126</v>
      </c>
      <c r="F25" s="158">
        <v>0</v>
      </c>
      <c r="G25" s="158">
        <v>432</v>
      </c>
      <c r="H25" s="158">
        <v>7828.38</v>
      </c>
      <c r="I25" s="158">
        <v>558</v>
      </c>
      <c r="J25" s="158">
        <v>7828.38</v>
      </c>
      <c r="K25" s="158">
        <v>0</v>
      </c>
      <c r="L25" s="158">
        <v>3859.05</v>
      </c>
    </row>
    <row r="26">
      <c r="A26" s="240" t="s">
        <v>319</v>
      </c>
      <c r="B26" s="113" t="s">
        <v>633</v>
      </c>
      <c r="C26" s="158">
        <v>0</v>
      </c>
      <c r="D26" s="158">
        <v>16768.81</v>
      </c>
      <c r="E26" s="158">
        <v>146416.64</v>
      </c>
      <c r="F26" s="158">
        <v>134973.57</v>
      </c>
      <c r="G26" s="158">
        <v>5941.7</v>
      </c>
      <c r="H26" s="158">
        <v>6893.93</v>
      </c>
      <c r="I26" s="158">
        <v>152358.34</v>
      </c>
      <c r="J26" s="158">
        <v>141867.5</v>
      </c>
      <c r="K26" s="158">
        <v>0</v>
      </c>
      <c r="L26" s="158">
        <v>6277.97</v>
      </c>
    </row>
    <row r="27">
      <c r="A27" s="240" t="s">
        <v>370</v>
      </c>
      <c r="B27" s="113" t="s">
        <v>378</v>
      </c>
      <c r="C27" s="158">
        <v>0</v>
      </c>
      <c r="D27" s="158">
        <v>362.88</v>
      </c>
      <c r="E27" s="158">
        <v>1362.24</v>
      </c>
      <c r="F27" s="158">
        <v>1601.22</v>
      </c>
      <c r="G27" s="158">
        <v>601.86</v>
      </c>
      <c r="H27" s="158">
        <v>0</v>
      </c>
      <c r="I27" s="158">
        <v>1964.1</v>
      </c>
      <c r="J27" s="158">
        <v>1601.22</v>
      </c>
      <c r="K27" s="158">
        <v>0</v>
      </c>
      <c r="L27" s="158">
        <v>0</v>
      </c>
    </row>
    <row r="28">
      <c r="A28" s="240" t="s">
        <v>840</v>
      </c>
      <c r="B28" s="113" t="s">
        <v>77</v>
      </c>
      <c r="C28" s="158">
        <v>0</v>
      </c>
      <c r="D28" s="158">
        <v>20418.34</v>
      </c>
      <c r="E28" s="158">
        <v>53481.4</v>
      </c>
      <c r="F28" s="158">
        <v>39533.47</v>
      </c>
      <c r="G28" s="158">
        <v>3355.42</v>
      </c>
      <c r="H28" s="158">
        <v>1664.94</v>
      </c>
      <c r="I28" s="158">
        <v>56836.82</v>
      </c>
      <c r="J28" s="158">
        <v>41198.41</v>
      </c>
      <c r="K28" s="158">
        <v>0</v>
      </c>
      <c r="L28" s="158">
        <v>4779.93</v>
      </c>
    </row>
    <row r="29">
      <c r="A29" s="240" t="s">
        <v>1148</v>
      </c>
      <c r="B29" s="113" t="s">
        <v>155</v>
      </c>
      <c r="C29" s="158">
        <v>0</v>
      </c>
      <c r="D29" s="158">
        <v>7669.76</v>
      </c>
      <c r="E29" s="158">
        <v>0</v>
      </c>
      <c r="F29" s="158">
        <v>0</v>
      </c>
      <c r="G29" s="158">
        <v>0</v>
      </c>
      <c r="H29" s="158">
        <v>-7669.76</v>
      </c>
      <c r="I29" s="158">
        <v>0</v>
      </c>
      <c r="J29" s="158">
        <v>-7669.76</v>
      </c>
      <c r="K29" s="158">
        <v>0</v>
      </c>
      <c r="L29" s="158">
        <v>0</v>
      </c>
    </row>
    <row r="30">
      <c r="A30" s="240" t="s">
        <v>1190</v>
      </c>
      <c r="B30" s="113" t="s">
        <v>825</v>
      </c>
      <c r="C30" s="158">
        <v>0</v>
      </c>
      <c r="D30" s="158">
        <v>1688.43</v>
      </c>
      <c r="E30" s="158">
        <v>5605.73</v>
      </c>
      <c r="F30" s="158">
        <v>5481.22</v>
      </c>
      <c r="G30" s="158">
        <v>1563.92</v>
      </c>
      <c r="H30" s="158">
        <v>226.51</v>
      </c>
      <c r="I30" s="158">
        <v>7169.65</v>
      </c>
      <c r="J30" s="158">
        <v>5707.73</v>
      </c>
      <c r="K30" s="158">
        <v>0</v>
      </c>
      <c r="L30" s="158">
        <v>226.51</v>
      </c>
    </row>
    <row r="31">
      <c r="A31" s="240" t="s">
        <v>153</v>
      </c>
      <c r="B31" s="113" t="s">
        <v>1092</v>
      </c>
      <c r="C31" s="158">
        <v>49.74</v>
      </c>
      <c r="D31" s="158">
        <v>0</v>
      </c>
      <c r="E31" s="158">
        <v>192545.16</v>
      </c>
      <c r="F31" s="158">
        <v>189021.95</v>
      </c>
      <c r="G31" s="158">
        <v>9985.8</v>
      </c>
      <c r="H31" s="158">
        <v>11515.23</v>
      </c>
      <c r="I31" s="158">
        <v>202530.96</v>
      </c>
      <c r="J31" s="158">
        <v>200537.18</v>
      </c>
      <c r="K31" s="158">
        <v>2043.52</v>
      </c>
      <c r="L31" s="158">
        <v>0</v>
      </c>
    </row>
    <row r="32">
      <c r="A32" s="240" t="s">
        <v>683</v>
      </c>
      <c r="B32" s="113" t="s">
        <v>1087</v>
      </c>
      <c r="C32" s="158">
        <v>301.59</v>
      </c>
      <c r="D32" s="158">
        <v>0</v>
      </c>
      <c r="E32" s="158">
        <v>4321.77</v>
      </c>
      <c r="F32" s="158">
        <v>0</v>
      </c>
      <c r="G32" s="158">
        <v>0</v>
      </c>
      <c r="H32" s="158">
        <v>4973.11</v>
      </c>
      <c r="I32" s="158">
        <v>4321.77</v>
      </c>
      <c r="J32" s="158">
        <v>4973.11</v>
      </c>
      <c r="K32" s="158">
        <v>0</v>
      </c>
      <c r="L32" s="158">
        <v>349.75</v>
      </c>
    </row>
    <row r="33">
      <c r="A33" s="240" t="s">
        <v>1166</v>
      </c>
      <c r="B33" s="113" t="s">
        <v>65</v>
      </c>
      <c r="C33" s="158">
        <v>0</v>
      </c>
      <c r="D33" s="158">
        <v>0</v>
      </c>
      <c r="E33" s="158">
        <v>0</v>
      </c>
      <c r="F33" s="158">
        <v>90000</v>
      </c>
      <c r="G33" s="158">
        <v>0</v>
      </c>
      <c r="H33" s="158">
        <v>0</v>
      </c>
      <c r="I33" s="158">
        <v>0</v>
      </c>
      <c r="J33" s="158">
        <v>90000</v>
      </c>
      <c r="K33" s="158">
        <v>0</v>
      </c>
      <c r="L33" s="158">
        <v>90000</v>
      </c>
    </row>
    <row r="34">
      <c r="A34" s="240" t="s">
        <v>1008</v>
      </c>
      <c r="B34" s="113" t="s">
        <v>1258</v>
      </c>
      <c r="C34" s="158">
        <v>1430.95</v>
      </c>
      <c r="D34" s="158">
        <v>0</v>
      </c>
      <c r="E34" s="158">
        <v>44500</v>
      </c>
      <c r="F34" s="158">
        <v>44500</v>
      </c>
      <c r="G34" s="158">
        <v>0</v>
      </c>
      <c r="H34" s="158">
        <v>1430.95</v>
      </c>
      <c r="I34" s="158">
        <v>44500</v>
      </c>
      <c r="J34" s="158">
        <v>45930.95</v>
      </c>
      <c r="K34" s="158">
        <v>0</v>
      </c>
      <c r="L34" s="158">
        <v>0</v>
      </c>
    </row>
    <row r="35">
      <c r="A35" s="240" t="s">
        <v>239</v>
      </c>
      <c r="B35" s="113" t="s">
        <v>900</v>
      </c>
      <c r="C35" s="158">
        <v>0</v>
      </c>
      <c r="D35" s="158">
        <v>11832.74</v>
      </c>
      <c r="E35" s="158">
        <v>0</v>
      </c>
      <c r="F35" s="158">
        <v>0</v>
      </c>
      <c r="G35" s="158">
        <v>1332.74</v>
      </c>
      <c r="H35" s="158">
        <v>0</v>
      </c>
      <c r="I35" s="158">
        <v>1332.74</v>
      </c>
      <c r="J35" s="158">
        <v>0</v>
      </c>
      <c r="K35" s="158">
        <v>0</v>
      </c>
      <c r="L35" s="158">
        <v>10500</v>
      </c>
    </row>
    <row r="36">
      <c r="A36" s="240" t="s">
        <v>14</v>
      </c>
      <c r="B36" s="113" t="s">
        <v>555</v>
      </c>
      <c r="C36" s="158">
        <v>0</v>
      </c>
      <c r="D36" s="158">
        <v>0</v>
      </c>
      <c r="E36" s="158">
        <v>18.59</v>
      </c>
      <c r="F36" s="158">
        <v>0</v>
      </c>
      <c r="G36" s="158">
        <v>332.01</v>
      </c>
      <c r="H36" s="158">
        <v>0</v>
      </c>
      <c r="I36" s="158">
        <v>350.6</v>
      </c>
      <c r="J36" s="158">
        <v>0</v>
      </c>
      <c r="K36" s="158">
        <v>350.6</v>
      </c>
      <c r="L36" s="158">
        <v>0</v>
      </c>
    </row>
    <row r="37">
      <c r="A37" s="240" t="s">
        <v>869</v>
      </c>
      <c r="B37" s="113" t="s">
        <v>335</v>
      </c>
      <c r="C37" s="158">
        <v>0</v>
      </c>
      <c r="D37" s="158">
        <v>20326.32</v>
      </c>
      <c r="E37" s="158">
        <v>0</v>
      </c>
      <c r="F37" s="158">
        <v>0</v>
      </c>
      <c r="G37" s="158">
        <v>20326.32</v>
      </c>
      <c r="H37" s="158">
        <v>0</v>
      </c>
      <c r="I37" s="158">
        <v>20326.32</v>
      </c>
      <c r="J37" s="158">
        <v>0</v>
      </c>
      <c r="K37" s="158">
        <v>0</v>
      </c>
      <c r="L37" s="158">
        <v>0</v>
      </c>
    </row>
    <row r="38">
      <c r="A38" s="240" t="s">
        <v>576</v>
      </c>
      <c r="B38" s="113" t="s">
        <v>393</v>
      </c>
      <c r="C38" s="158">
        <v>0</v>
      </c>
      <c r="D38" s="158">
        <v>234635</v>
      </c>
      <c r="E38" s="158">
        <v>0</v>
      </c>
      <c r="F38" s="158">
        <v>0</v>
      </c>
      <c r="G38" s="158">
        <v>0</v>
      </c>
      <c r="H38" s="158">
        <v>0</v>
      </c>
      <c r="I38" s="158">
        <v>0</v>
      </c>
      <c r="J38" s="158">
        <v>0</v>
      </c>
      <c r="K38" s="158">
        <v>0</v>
      </c>
      <c r="L38" s="158">
        <v>234635</v>
      </c>
    </row>
    <row r="39">
      <c r="A39" s="240" t="s">
        <v>567</v>
      </c>
      <c r="B39" s="113" t="s">
        <v>1384</v>
      </c>
      <c r="C39" s="158">
        <v>0</v>
      </c>
      <c r="D39" s="158">
        <v>4137.74</v>
      </c>
      <c r="E39" s="158">
        <v>0</v>
      </c>
      <c r="F39" s="158">
        <v>0</v>
      </c>
      <c r="G39" s="158">
        <v>0</v>
      </c>
      <c r="H39" s="158">
        <v>0</v>
      </c>
      <c r="I39" s="158">
        <v>0</v>
      </c>
      <c r="J39" s="158">
        <v>0</v>
      </c>
      <c r="K39" s="158">
        <v>0</v>
      </c>
      <c r="L39" s="158">
        <v>4137.74</v>
      </c>
    </row>
    <row r="40">
      <c r="A40" s="240" t="s">
        <v>300</v>
      </c>
      <c r="B40" s="113" t="s">
        <v>1308</v>
      </c>
      <c r="C40" s="158">
        <v>0</v>
      </c>
      <c r="D40" s="158">
        <v>66003.2</v>
      </c>
      <c r="E40" s="158">
        <v>0</v>
      </c>
      <c r="F40" s="158">
        <v>0</v>
      </c>
      <c r="G40" s="158">
        <v>0</v>
      </c>
      <c r="H40" s="158">
        <v>50236.96</v>
      </c>
      <c r="I40" s="158">
        <v>0</v>
      </c>
      <c r="J40" s="158">
        <v>50236.96</v>
      </c>
      <c r="K40" s="158">
        <v>0</v>
      </c>
      <c r="L40" s="158">
        <v>116240.16</v>
      </c>
    </row>
    <row r="41">
      <c r="A41" s="240" t="s">
        <v>1168</v>
      </c>
      <c r="B41" s="113" t="s">
        <v>220</v>
      </c>
      <c r="C41" s="158">
        <v>631913.37</v>
      </c>
      <c r="D41" s="158">
        <v>0</v>
      </c>
      <c r="E41" s="158">
        <v>0</v>
      </c>
      <c r="F41" s="158">
        <v>0</v>
      </c>
      <c r="G41" s="158">
        <v>119718.11</v>
      </c>
      <c r="H41" s="158">
        <v>-2880</v>
      </c>
      <c r="I41" s="158">
        <v>119718.11</v>
      </c>
      <c r="J41" s="158">
        <v>-2880</v>
      </c>
      <c r="K41" s="158">
        <v>754511.48</v>
      </c>
      <c r="L41" s="158">
        <v>0</v>
      </c>
    </row>
    <row r="42">
      <c r="A42" s="240" t="s">
        <v>1055</v>
      </c>
      <c r="B42" s="113" t="s">
        <v>1277</v>
      </c>
      <c r="C42" s="158">
        <v>80030.91</v>
      </c>
      <c r="D42" s="158">
        <v>0</v>
      </c>
      <c r="E42" s="158">
        <v>0</v>
      </c>
      <c r="F42" s="158">
        <v>0</v>
      </c>
      <c r="G42" s="158">
        <v>39687.2</v>
      </c>
      <c r="H42" s="158">
        <v>119718.11</v>
      </c>
      <c r="I42" s="158">
        <v>39687.2</v>
      </c>
      <c r="J42" s="158">
        <v>119718.11</v>
      </c>
      <c r="K42" s="158">
        <v>0</v>
      </c>
      <c r="L42" s="158">
        <v>0</v>
      </c>
    </row>
    <row r="43">
      <c r="A43" s="240" t="s">
        <v>1078</v>
      </c>
      <c r="B43" s="113" t="s">
        <v>500</v>
      </c>
      <c r="C43" s="158">
        <v>0</v>
      </c>
      <c r="D43" s="158">
        <v>5233.99</v>
      </c>
      <c r="E43" s="158">
        <v>25.92</v>
      </c>
      <c r="F43" s="158">
        <v>414.47</v>
      </c>
      <c r="G43" s="158">
        <v>0</v>
      </c>
      <c r="H43" s="158">
        <v>14.43</v>
      </c>
      <c r="I43" s="158">
        <v>25.92</v>
      </c>
      <c r="J43" s="158">
        <v>428.9</v>
      </c>
      <c r="K43" s="158">
        <v>0</v>
      </c>
      <c r="L43" s="158">
        <v>5636.97</v>
      </c>
    </row>
    <row r="44">
      <c r="A44" s="240" t="s">
        <v>1286</v>
      </c>
      <c r="B44" s="113" t="s">
        <v>420</v>
      </c>
      <c r="C44" s="158">
        <v>0</v>
      </c>
      <c r="D44" s="158">
        <v>384925.53</v>
      </c>
      <c r="E44" s="158">
        <v>176500</v>
      </c>
      <c r="F44" s="158">
        <v>222500</v>
      </c>
      <c r="G44" s="158">
        <v>72000</v>
      </c>
      <c r="H44" s="158">
        <v>0</v>
      </c>
      <c r="I44" s="158">
        <v>248500</v>
      </c>
      <c r="J44" s="158">
        <v>222500</v>
      </c>
      <c r="K44" s="158">
        <v>0</v>
      </c>
      <c r="L44" s="158">
        <v>358925.53</v>
      </c>
    </row>
    <row r="45">
      <c r="A45" s="240" t="s">
        <v>938</v>
      </c>
      <c r="B45" s="113" t="s">
        <v>923</v>
      </c>
      <c r="C45" s="158">
        <v>0</v>
      </c>
      <c r="D45" s="158">
        <v>1564.62</v>
      </c>
      <c r="E45" s="158">
        <v>0</v>
      </c>
      <c r="F45" s="158">
        <v>0</v>
      </c>
      <c r="G45" s="158">
        <v>1564.62</v>
      </c>
      <c r="H45" s="158">
        <v>0</v>
      </c>
      <c r="I45" s="158">
        <v>1564.62</v>
      </c>
      <c r="J45" s="158">
        <v>0</v>
      </c>
      <c r="K45" s="158">
        <v>0</v>
      </c>
      <c r="L45" s="158">
        <v>0</v>
      </c>
    </row>
    <row r="46">
      <c r="A46" s="240" t="s">
        <v>25</v>
      </c>
      <c r="B46" s="113" t="s">
        <v>797</v>
      </c>
      <c r="C46" s="158">
        <v>0</v>
      </c>
      <c r="D46" s="158">
        <v>0</v>
      </c>
      <c r="E46" s="158">
        <v>124942.27</v>
      </c>
      <c r="F46" s="158">
        <v>1068.95</v>
      </c>
      <c r="G46" s="158">
        <v>3024.67</v>
      </c>
      <c r="H46" s="158">
        <v>0</v>
      </c>
      <c r="I46" s="158">
        <v>127966.94</v>
      </c>
      <c r="J46" s="158">
        <v>1068.95</v>
      </c>
      <c r="K46" s="158">
        <v>126897.99</v>
      </c>
      <c r="L46" s="158">
        <v>0</v>
      </c>
    </row>
    <row r="47">
      <c r="A47" s="240" t="s">
        <v>1331</v>
      </c>
      <c r="B47" s="113" t="s">
        <v>234</v>
      </c>
      <c r="C47" s="158">
        <v>0</v>
      </c>
      <c r="D47" s="158">
        <v>0</v>
      </c>
      <c r="E47" s="158">
        <v>66603.63</v>
      </c>
      <c r="F47" s="158">
        <v>0</v>
      </c>
      <c r="G47" s="158">
        <v>4863.47</v>
      </c>
      <c r="H47" s="158">
        <v>0</v>
      </c>
      <c r="I47" s="158">
        <v>71467.1</v>
      </c>
      <c r="J47" s="158">
        <v>0</v>
      </c>
      <c r="K47" s="158">
        <v>71467.1</v>
      </c>
      <c r="L47" s="158">
        <v>0</v>
      </c>
    </row>
    <row r="48">
      <c r="A48" s="240" t="s">
        <v>357</v>
      </c>
      <c r="B48" s="113" t="s">
        <v>1281</v>
      </c>
      <c r="C48" s="158">
        <v>0</v>
      </c>
      <c r="D48" s="158">
        <v>0</v>
      </c>
      <c r="E48" s="158">
        <v>0</v>
      </c>
      <c r="F48" s="158">
        <v>0</v>
      </c>
      <c r="G48" s="158">
        <v>3859.05</v>
      </c>
      <c r="H48" s="158">
        <v>0</v>
      </c>
      <c r="I48" s="158">
        <v>3859.05</v>
      </c>
      <c r="J48" s="158">
        <v>0</v>
      </c>
      <c r="K48" s="158">
        <v>3859.05</v>
      </c>
      <c r="L48" s="158">
        <v>0</v>
      </c>
    </row>
    <row r="49">
      <c r="A49" s="240" t="s">
        <v>918</v>
      </c>
      <c r="B49" s="113" t="s">
        <v>1009</v>
      </c>
      <c r="C49" s="158">
        <v>0</v>
      </c>
      <c r="D49" s="158">
        <v>0</v>
      </c>
      <c r="E49" s="158">
        <v>11004.98</v>
      </c>
      <c r="F49" s="158">
        <v>0</v>
      </c>
      <c r="G49" s="158">
        <v>1512.69</v>
      </c>
      <c r="H49" s="158">
        <v>0</v>
      </c>
      <c r="I49" s="158">
        <v>12517.67</v>
      </c>
      <c r="J49" s="158">
        <v>0</v>
      </c>
      <c r="K49" s="158">
        <v>12517.67</v>
      </c>
      <c r="L49" s="158">
        <v>0</v>
      </c>
    </row>
    <row r="50">
      <c r="A50" s="240" t="s">
        <v>1049</v>
      </c>
      <c r="B50" s="113" t="s">
        <v>389</v>
      </c>
      <c r="C50" s="158">
        <v>0</v>
      </c>
      <c r="D50" s="158">
        <v>0</v>
      </c>
      <c r="E50" s="158">
        <v>115643.59</v>
      </c>
      <c r="F50" s="158">
        <v>125</v>
      </c>
      <c r="G50" s="158">
        <v>6517.09</v>
      </c>
      <c r="H50" s="158">
        <v>0</v>
      </c>
      <c r="I50" s="158">
        <v>122160.68</v>
      </c>
      <c r="J50" s="158">
        <v>125</v>
      </c>
      <c r="K50" s="158">
        <v>122035.68</v>
      </c>
      <c r="L50" s="158">
        <v>0</v>
      </c>
    </row>
    <row r="51">
      <c r="A51" s="240" t="s">
        <v>328</v>
      </c>
      <c r="B51" s="113" t="s">
        <v>968</v>
      </c>
      <c r="C51" s="158">
        <v>0</v>
      </c>
      <c r="D51" s="158">
        <v>0</v>
      </c>
      <c r="E51" s="158">
        <v>82318.88</v>
      </c>
      <c r="F51" s="158">
        <v>0</v>
      </c>
      <c r="G51" s="158">
        <v>3213.75</v>
      </c>
      <c r="H51" s="158">
        <v>0</v>
      </c>
      <c r="I51" s="158">
        <v>85532.63</v>
      </c>
      <c r="J51" s="158">
        <v>0</v>
      </c>
      <c r="K51" s="158">
        <v>85532.63</v>
      </c>
      <c r="L51" s="158">
        <v>0</v>
      </c>
    </row>
    <row r="52">
      <c r="A52" s="240" t="s">
        <v>297</v>
      </c>
      <c r="B52" s="113" t="s">
        <v>981</v>
      </c>
      <c r="C52" s="158">
        <v>0</v>
      </c>
      <c r="D52" s="158">
        <v>0</v>
      </c>
      <c r="E52" s="158">
        <v>28643.64</v>
      </c>
      <c r="F52" s="158">
        <v>0</v>
      </c>
      <c r="G52" s="158">
        <v>1131.16</v>
      </c>
      <c r="H52" s="158">
        <v>0</v>
      </c>
      <c r="I52" s="158">
        <v>29774.8</v>
      </c>
      <c r="J52" s="158">
        <v>0</v>
      </c>
      <c r="K52" s="158">
        <v>29774.8</v>
      </c>
      <c r="L52" s="158">
        <v>0</v>
      </c>
    </row>
    <row r="53">
      <c r="A53" s="240" t="s">
        <v>1239</v>
      </c>
      <c r="B53" s="113" t="s">
        <v>238</v>
      </c>
      <c r="C53" s="158">
        <v>0</v>
      </c>
      <c r="D53" s="158">
        <v>0</v>
      </c>
      <c r="E53" s="158">
        <v>2774.79</v>
      </c>
      <c r="F53" s="158">
        <v>0</v>
      </c>
      <c r="G53" s="158">
        <v>1035.92</v>
      </c>
      <c r="H53" s="158">
        <v>0</v>
      </c>
      <c r="I53" s="158">
        <v>3810.71</v>
      </c>
      <c r="J53" s="158">
        <v>0</v>
      </c>
      <c r="K53" s="158">
        <v>3810.71</v>
      </c>
      <c r="L53" s="158">
        <v>0</v>
      </c>
    </row>
    <row r="54">
      <c r="A54" s="240" t="s">
        <v>1177</v>
      </c>
      <c r="B54" s="113" t="s">
        <v>489</v>
      </c>
      <c r="C54" s="158">
        <v>0</v>
      </c>
      <c r="D54" s="158">
        <v>0</v>
      </c>
      <c r="E54" s="158">
        <v>0</v>
      </c>
      <c r="F54" s="158">
        <v>0</v>
      </c>
      <c r="G54" s="158">
        <v>349.75</v>
      </c>
      <c r="H54" s="158">
        <v>0</v>
      </c>
      <c r="I54" s="158">
        <v>349.75</v>
      </c>
      <c r="J54" s="158">
        <v>0</v>
      </c>
      <c r="K54" s="158">
        <v>349.75</v>
      </c>
      <c r="L54" s="158">
        <v>0</v>
      </c>
    </row>
    <row r="55">
      <c r="A55" s="240" t="s">
        <v>1217</v>
      </c>
      <c r="B55" s="113" t="s">
        <v>756</v>
      </c>
      <c r="C55" s="158">
        <v>0</v>
      </c>
      <c r="D55" s="158">
        <v>0</v>
      </c>
      <c r="E55" s="158">
        <v>600</v>
      </c>
      <c r="F55" s="158">
        <v>0</v>
      </c>
      <c r="G55" s="158">
        <v>1500</v>
      </c>
      <c r="H55" s="158">
        <v>0</v>
      </c>
      <c r="I55" s="158">
        <v>2100</v>
      </c>
      <c r="J55" s="158">
        <v>0</v>
      </c>
      <c r="K55" s="158">
        <v>2100</v>
      </c>
      <c r="L55" s="158">
        <v>0</v>
      </c>
    </row>
    <row r="56">
      <c r="A56" s="240" t="s">
        <v>452</v>
      </c>
      <c r="B56" s="113" t="s">
        <v>1087</v>
      </c>
      <c r="C56" s="158">
        <v>0</v>
      </c>
      <c r="D56" s="158">
        <v>0</v>
      </c>
      <c r="E56" s="158">
        <v>2569.4</v>
      </c>
      <c r="F56" s="158">
        <v>0</v>
      </c>
      <c r="G56" s="158">
        <v>2521.37</v>
      </c>
      <c r="H56" s="158">
        <v>0</v>
      </c>
      <c r="I56" s="158">
        <v>5090.77</v>
      </c>
      <c r="J56" s="158">
        <v>0</v>
      </c>
      <c r="K56" s="158">
        <v>5090.77</v>
      </c>
      <c r="L56" s="158">
        <v>0</v>
      </c>
    </row>
    <row r="57">
      <c r="A57" s="240" t="s">
        <v>1189</v>
      </c>
      <c r="B57" s="113" t="s">
        <v>1187</v>
      </c>
      <c r="C57" s="158">
        <v>0</v>
      </c>
      <c r="D57" s="158">
        <v>0</v>
      </c>
      <c r="E57" s="158">
        <v>1115.11</v>
      </c>
      <c r="F57" s="158">
        <v>0</v>
      </c>
      <c r="G57" s="158">
        <v>326.92</v>
      </c>
      <c r="H57" s="158">
        <v>0</v>
      </c>
      <c r="I57" s="158">
        <v>1442.03</v>
      </c>
      <c r="J57" s="158">
        <v>0</v>
      </c>
      <c r="K57" s="158">
        <v>1442.03</v>
      </c>
      <c r="L57" s="158">
        <v>0</v>
      </c>
    </row>
    <row r="58">
      <c r="A58" s="240" t="s">
        <v>984</v>
      </c>
      <c r="B58" s="113" t="s">
        <v>561</v>
      </c>
      <c r="C58" s="158">
        <v>0</v>
      </c>
      <c r="D58" s="158">
        <v>0</v>
      </c>
      <c r="E58" s="158">
        <v>1344.02</v>
      </c>
      <c r="F58" s="158">
        <v>0</v>
      </c>
      <c r="G58" s="158">
        <v>203.21</v>
      </c>
      <c r="H58" s="158">
        <v>0</v>
      </c>
      <c r="I58" s="158">
        <v>1547.23</v>
      </c>
      <c r="J58" s="158">
        <v>0</v>
      </c>
      <c r="K58" s="158">
        <v>1547.23</v>
      </c>
      <c r="L58" s="158">
        <v>0</v>
      </c>
    </row>
    <row r="59">
      <c r="A59" s="240" t="s">
        <v>407</v>
      </c>
      <c r="B59" s="113" t="s">
        <v>90</v>
      </c>
      <c r="C59" s="158">
        <v>0</v>
      </c>
      <c r="D59" s="158">
        <v>0</v>
      </c>
      <c r="E59" s="158">
        <v>0</v>
      </c>
      <c r="F59" s="158">
        <v>0</v>
      </c>
      <c r="G59" s="158">
        <v>0</v>
      </c>
      <c r="H59" s="158">
        <v>20326.32</v>
      </c>
      <c r="I59" s="158">
        <v>0</v>
      </c>
      <c r="J59" s="158">
        <v>20326.32</v>
      </c>
      <c r="K59" s="158">
        <v>0</v>
      </c>
      <c r="L59" s="158">
        <v>20326.32</v>
      </c>
    </row>
    <row r="60">
      <c r="A60" s="240" t="s">
        <v>1004</v>
      </c>
      <c r="B60" s="113" t="s">
        <v>862</v>
      </c>
      <c r="C60" s="158">
        <v>0</v>
      </c>
      <c r="D60" s="158">
        <v>0</v>
      </c>
      <c r="E60" s="158">
        <v>5599.58</v>
      </c>
      <c r="F60" s="158">
        <v>0.38</v>
      </c>
      <c r="G60" s="158">
        <v>8039.84</v>
      </c>
      <c r="H60" s="158">
        <v>0</v>
      </c>
      <c r="I60" s="158">
        <v>13639.42</v>
      </c>
      <c r="J60" s="158">
        <v>0.38</v>
      </c>
      <c r="K60" s="158">
        <v>13639.04</v>
      </c>
      <c r="L60" s="158">
        <v>0</v>
      </c>
    </row>
    <row r="61">
      <c r="A61" s="240" t="s">
        <v>112</v>
      </c>
      <c r="B61" s="113" t="s">
        <v>953</v>
      </c>
      <c r="C61" s="158">
        <v>0</v>
      </c>
      <c r="D61" s="158">
        <v>0</v>
      </c>
      <c r="E61" s="158">
        <v>14914.41</v>
      </c>
      <c r="F61" s="158">
        <v>0</v>
      </c>
      <c r="G61" s="158">
        <v>1433.8</v>
      </c>
      <c r="H61" s="158">
        <v>0</v>
      </c>
      <c r="I61" s="158">
        <v>16348.21</v>
      </c>
      <c r="J61" s="158">
        <v>0</v>
      </c>
      <c r="K61" s="158">
        <v>16348.21</v>
      </c>
      <c r="L61" s="158">
        <v>0</v>
      </c>
    </row>
    <row r="62">
      <c r="A62" s="240" t="s">
        <v>1344</v>
      </c>
      <c r="B62" s="113" t="s">
        <v>645</v>
      </c>
      <c r="C62" s="158">
        <v>0</v>
      </c>
      <c r="D62" s="158">
        <v>0</v>
      </c>
      <c r="E62" s="158">
        <v>1396.21</v>
      </c>
      <c r="F62" s="158">
        <v>0.82</v>
      </c>
      <c r="G62" s="158">
        <v>145.31</v>
      </c>
      <c r="H62" s="158">
        <v>0</v>
      </c>
      <c r="I62" s="158">
        <v>1541.52</v>
      </c>
      <c r="J62" s="158">
        <v>0.82</v>
      </c>
      <c r="K62" s="158">
        <v>1540.7</v>
      </c>
      <c r="L62" s="158">
        <v>0</v>
      </c>
    </row>
    <row r="63">
      <c r="A63" s="240" t="s">
        <v>1036</v>
      </c>
      <c r="B63" s="113" t="s">
        <v>1383</v>
      </c>
      <c r="C63" s="158">
        <v>0</v>
      </c>
      <c r="D63" s="158">
        <v>0</v>
      </c>
      <c r="E63" s="158">
        <v>4056.46</v>
      </c>
      <c r="F63" s="158">
        <v>0</v>
      </c>
      <c r="G63" s="158">
        <v>60.57</v>
      </c>
      <c r="H63" s="158">
        <v>0</v>
      </c>
      <c r="I63" s="158">
        <v>4117.03</v>
      </c>
      <c r="J63" s="158">
        <v>0</v>
      </c>
      <c r="K63" s="158">
        <v>4117.03</v>
      </c>
      <c r="L63" s="158">
        <v>0</v>
      </c>
    </row>
    <row r="64">
      <c r="A64" s="240" t="s">
        <v>1095</v>
      </c>
      <c r="B64" s="113" t="s">
        <v>190</v>
      </c>
      <c r="C64" s="158">
        <v>0</v>
      </c>
      <c r="D64" s="158">
        <v>0</v>
      </c>
      <c r="E64" s="158">
        <v>0</v>
      </c>
      <c r="F64" s="158">
        <v>350</v>
      </c>
      <c r="G64" s="158">
        <v>0</v>
      </c>
      <c r="H64" s="158">
        <v>0</v>
      </c>
      <c r="I64" s="158">
        <v>0</v>
      </c>
      <c r="J64" s="158">
        <v>350</v>
      </c>
      <c r="K64" s="158">
        <v>0</v>
      </c>
      <c r="L64" s="158">
        <v>350</v>
      </c>
    </row>
    <row r="65">
      <c r="A65" s="240" t="s">
        <v>363</v>
      </c>
      <c r="B65" s="113" t="s">
        <v>364</v>
      </c>
      <c r="C65" s="158">
        <v>0</v>
      </c>
      <c r="D65" s="158">
        <v>0</v>
      </c>
      <c r="E65" s="158">
        <v>0</v>
      </c>
      <c r="F65" s="158">
        <v>368281.01</v>
      </c>
      <c r="G65" s="158">
        <v>0</v>
      </c>
      <c r="H65" s="158">
        <v>19378.46</v>
      </c>
      <c r="I65" s="158">
        <v>0</v>
      </c>
      <c r="J65" s="158">
        <v>387659.47</v>
      </c>
      <c r="K65" s="158">
        <v>0</v>
      </c>
      <c r="L65" s="158">
        <v>387659.47</v>
      </c>
    </row>
    <row r="66">
      <c r="A66" s="240" t="s">
        <v>6</v>
      </c>
      <c r="B66" s="113" t="s">
        <v>1005</v>
      </c>
      <c r="C66" s="158">
        <v>0</v>
      </c>
      <c r="D66" s="158">
        <v>0</v>
      </c>
      <c r="E66" s="158">
        <v>0</v>
      </c>
      <c r="F66" s="158">
        <v>998.67</v>
      </c>
      <c r="G66" s="158">
        <v>0</v>
      </c>
      <c r="H66" s="158">
        <v>0</v>
      </c>
      <c r="I66" s="158">
        <v>0</v>
      </c>
      <c r="J66" s="158">
        <v>998.67</v>
      </c>
      <c r="K66" s="158">
        <v>0</v>
      </c>
      <c r="L66" s="158">
        <v>998.67</v>
      </c>
    </row>
    <row r="67">
      <c r="A67" s="240" t="s">
        <v>1219</v>
      </c>
      <c r="B67" s="113" t="s">
        <v>599</v>
      </c>
      <c r="C67" s="158">
        <v>0</v>
      </c>
      <c r="D67" s="158">
        <v>0</v>
      </c>
      <c r="E67" s="158">
        <v>0</v>
      </c>
      <c r="F67" s="158">
        <v>5481.27</v>
      </c>
      <c r="G67" s="158">
        <v>0</v>
      </c>
      <c r="H67" s="158">
        <v>0</v>
      </c>
      <c r="I67" s="158">
        <v>0</v>
      </c>
      <c r="J67" s="158">
        <v>5481.27</v>
      </c>
      <c r="K67" s="158">
        <v>0</v>
      </c>
      <c r="L67" s="158">
        <v>5481.27</v>
      </c>
    </row>
    <row r="68">
      <c r="A68" s="240" t="s">
        <v>81</v>
      </c>
      <c r="B68" s="113" t="s">
        <v>1235</v>
      </c>
      <c r="C68" s="158">
        <v>0</v>
      </c>
      <c r="D68" s="158">
        <v>0</v>
      </c>
      <c r="E68" s="158">
        <v>-77.38</v>
      </c>
      <c r="F68" s="158">
        <v>33474.43</v>
      </c>
      <c r="G68" s="158">
        <v>0</v>
      </c>
      <c r="H68" s="158">
        <v>15400.42</v>
      </c>
      <c r="I68" s="158">
        <v>-77.38</v>
      </c>
      <c r="J68" s="158">
        <v>48874.85</v>
      </c>
      <c r="K68" s="158">
        <v>0</v>
      </c>
      <c r="L68" s="158">
        <v>48952.23</v>
      </c>
    </row>
    <row r="69">
      <c r="A69" s="240" t="s">
        <v>531</v>
      </c>
      <c r="B69" s="113" t="s">
        <v>1372</v>
      </c>
      <c r="C69" s="158">
        <v>0</v>
      </c>
      <c r="D69" s="158">
        <v>0</v>
      </c>
      <c r="E69" s="158">
        <v>0</v>
      </c>
      <c r="F69" s="158">
        <v>0</v>
      </c>
      <c r="G69" s="158">
        <v>0</v>
      </c>
      <c r="H69" s="158">
        <v>0</v>
      </c>
      <c r="I69" s="158">
        <v>1435412.78</v>
      </c>
      <c r="J69" s="158">
        <v>1435412.78</v>
      </c>
      <c r="K69" s="158">
        <v>0</v>
      </c>
      <c r="L69" s="158">
        <v>0</v>
      </c>
    </row>
    <row r="70">
      <c r="A70" s="240" t="s">
        <v>596</v>
      </c>
      <c r="B70" s="113" t="s">
        <v>1380</v>
      </c>
      <c r="C70" s="158">
        <v>0</v>
      </c>
      <c r="D70" s="158">
        <v>0</v>
      </c>
      <c r="E70" s="158">
        <v>0</v>
      </c>
      <c r="F70" s="158">
        <v>0</v>
      </c>
      <c r="G70" s="158">
        <v>0</v>
      </c>
      <c r="H70" s="158">
        <v>0</v>
      </c>
      <c r="I70" s="158">
        <v>0</v>
      </c>
      <c r="J70" s="158">
        <v>0</v>
      </c>
      <c r="K70" s="158">
        <v>0</v>
      </c>
      <c r="L70" s="158">
        <v>0</v>
      </c>
    </row>
    <row r="71">
      <c r="A71" s="240" t="s">
        <v>210</v>
      </c>
      <c r="B71" s="113" t="s">
        <v>477</v>
      </c>
      <c r="C71" s="158">
        <v>0</v>
      </c>
      <c r="D71" s="158">
        <v>0</v>
      </c>
      <c r="E71" s="158">
        <v>0</v>
      </c>
      <c r="F71" s="158">
        <v>0</v>
      </c>
      <c r="G71" s="158">
        <v>0</v>
      </c>
      <c r="H71" s="158">
        <v>0</v>
      </c>
      <c r="I71" s="158">
        <v>0</v>
      </c>
      <c r="J71" s="158">
        <v>0</v>
      </c>
      <c r="K71" s="158">
        <v>0</v>
      </c>
      <c r="L71" s="158">
        <v>0</v>
      </c>
    </row>
    <row r="72">
      <c r="A72" s="240"/>
      <c r="B72" s="113"/>
      <c r="C72" s="149"/>
      <c r="D72" s="149"/>
      <c r="E72" s="149"/>
      <c r="F72" s="149"/>
      <c r="G72" s="149"/>
      <c r="H72" s="149"/>
      <c r="I72" s="149"/>
      <c r="J72" s="149"/>
      <c r="K72" s="149"/>
      <c r="L72" s="149"/>
    </row>
    <row r="73">
      <c r="A73" s="240"/>
      <c r="B73" s="113"/>
      <c r="C73" s="149"/>
      <c r="D73" s="149"/>
      <c r="E73" s="149"/>
      <c r="F73" s="149"/>
      <c r="G73" s="149"/>
      <c r="H73" s="149"/>
      <c r="I73" s="149"/>
      <c r="J73" s="149"/>
      <c r="K73" s="149"/>
      <c r="L73" s="149"/>
    </row>
    <row r="74">
      <c r="A74" s="240"/>
      <c r="B74" s="113"/>
      <c r="C74" s="149"/>
      <c r="D74" s="149"/>
      <c r="E74" s="149"/>
      <c r="F74" s="149"/>
      <c r="G74" s="149"/>
      <c r="H74" s="149"/>
      <c r="I74" s="149"/>
      <c r="J74" s="149"/>
      <c r="K74" s="149"/>
      <c r="L74" s="149"/>
    </row>
    <row r="75">
      <c r="A75" s="240"/>
      <c r="B75" s="113"/>
      <c r="C75" s="149"/>
      <c r="D75" s="149"/>
      <c r="E75" s="149"/>
      <c r="F75" s="149"/>
      <c r="G75" s="149"/>
      <c r="H75" s="149"/>
      <c r="I75" s="149"/>
      <c r="J75" s="149"/>
      <c r="K75" s="149"/>
      <c r="L75" s="149"/>
    </row>
    <row r="76">
      <c r="A76" s="240"/>
      <c r="B76" s="113"/>
      <c r="C76" s="149"/>
      <c r="D76" s="149"/>
      <c r="E76" s="149"/>
      <c r="F76" s="149"/>
      <c r="G76" s="149"/>
      <c r="H76" s="149"/>
      <c r="I76" s="149"/>
      <c r="J76" s="149"/>
      <c r="K76" s="149"/>
      <c r="L76" s="149"/>
    </row>
    <row r="77">
      <c r="A77" s="240"/>
      <c r="B77" s="113"/>
      <c r="C77" s="149"/>
      <c r="D77" s="149"/>
      <c r="E77" s="149"/>
      <c r="F77" s="149"/>
      <c r="G77" s="149"/>
      <c r="H77" s="149"/>
      <c r="I77" s="149"/>
      <c r="J77" s="149"/>
      <c r="K77" s="149"/>
      <c r="L77" s="149"/>
    </row>
    <row r="78">
      <c r="A78" s="240"/>
      <c r="B78" s="113"/>
      <c r="C78" s="149"/>
      <c r="D78" s="149"/>
      <c r="E78" s="149"/>
      <c r="F78" s="149"/>
      <c r="G78" s="149"/>
      <c r="H78" s="149"/>
      <c r="I78" s="149"/>
      <c r="J78" s="149"/>
      <c r="K78" s="149"/>
      <c r="L78" s="149"/>
    </row>
    <row r="79">
      <c r="A79" s="240"/>
      <c r="B79" s="113"/>
      <c r="C79" s="149"/>
      <c r="D79" s="149"/>
      <c r="E79" s="149"/>
      <c r="F79" s="149"/>
      <c r="G79" s="149"/>
      <c r="H79" s="149"/>
      <c r="I79" s="149"/>
      <c r="J79" s="149"/>
      <c r="K79" s="149"/>
      <c r="L79" s="149"/>
    </row>
    <row r="80">
      <c r="A80" s="240"/>
      <c r="B80" s="113"/>
      <c r="C80" s="149"/>
      <c r="D80" s="149"/>
      <c r="E80" s="149"/>
      <c r="F80" s="149"/>
      <c r="G80" s="149"/>
      <c r="H80" s="149"/>
      <c r="I80" s="149"/>
      <c r="J80" s="149"/>
      <c r="K80" s="149"/>
      <c r="L80" s="149"/>
    </row>
    <row r="81">
      <c r="A81" s="240"/>
      <c r="B81" s="113"/>
      <c r="C81" s="149"/>
      <c r="D81" s="149"/>
      <c r="E81" s="149"/>
      <c r="F81" s="149"/>
      <c r="G81" s="149"/>
      <c r="H81" s="149"/>
      <c r="I81" s="149"/>
      <c r="J81" s="149"/>
      <c r="K81" s="149"/>
      <c r="L81" s="149"/>
    </row>
    <row r="82">
      <c r="A82" s="240"/>
      <c r="B82" s="113"/>
      <c r="C82" s="149"/>
      <c r="D82" s="149"/>
      <c r="E82" s="149"/>
      <c r="F82" s="149"/>
      <c r="G82" s="149"/>
      <c r="H82" s="149"/>
      <c r="I82" s="149"/>
      <c r="J82" s="149"/>
      <c r="K82" s="149"/>
      <c r="L82" s="149"/>
    </row>
    <row r="83">
      <c r="A83" s="240"/>
      <c r="B83" s="113"/>
      <c r="C83" s="149"/>
      <c r="D83" s="149"/>
      <c r="E83" s="149"/>
      <c r="F83" s="149"/>
      <c r="G83" s="149"/>
      <c r="H83" s="149"/>
      <c r="I83" s="149"/>
      <c r="J83" s="149"/>
      <c r="K83" s="149"/>
      <c r="L83" s="149"/>
    </row>
    <row r="84">
      <c r="A84" s="240"/>
      <c r="B84" s="113"/>
      <c r="C84" s="149"/>
      <c r="D84" s="149"/>
      <c r="E84" s="149"/>
      <c r="F84" s="149"/>
      <c r="G84" s="149"/>
      <c r="H84" s="149"/>
      <c r="I84" s="149"/>
      <c r="J84" s="149"/>
      <c r="K84" s="149"/>
      <c r="L84" s="149"/>
    </row>
    <row r="85">
      <c r="A85" s="240"/>
      <c r="B85" s="113"/>
      <c r="C85" s="149"/>
      <c r="D85" s="149"/>
      <c r="E85" s="149"/>
      <c r="F85" s="149"/>
      <c r="G85" s="149"/>
      <c r="H85" s="149"/>
      <c r="I85" s="149"/>
      <c r="J85" s="149"/>
      <c r="K85" s="149"/>
      <c r="L85" s="149"/>
    </row>
    <row r="86">
      <c r="A86" s="240"/>
      <c r="B86" s="113"/>
      <c r="C86" s="149"/>
      <c r="D86" s="149"/>
      <c r="E86" s="149"/>
      <c r="F86" s="149"/>
      <c r="G86" s="149"/>
      <c r="H86" s="149"/>
      <c r="I86" s="149"/>
      <c r="J86" s="149"/>
      <c r="K86" s="149"/>
      <c r="L86" s="149"/>
    </row>
    <row r="87">
      <c r="A87" s="240"/>
      <c r="B87" s="113"/>
      <c r="C87" s="149"/>
      <c r="D87" s="149"/>
      <c r="E87" s="149"/>
      <c r="F87" s="149"/>
      <c r="G87" s="149"/>
      <c r="H87" s="149"/>
      <c r="I87" s="149"/>
      <c r="J87" s="149"/>
      <c r="K87" s="149"/>
      <c r="L87" s="149"/>
    </row>
    <row r="88">
      <c r="A88" s="240"/>
      <c r="B88" s="113"/>
      <c r="C88" s="149"/>
      <c r="D88" s="149"/>
      <c r="E88" s="149"/>
      <c r="F88" s="149"/>
      <c r="G88" s="149"/>
      <c r="H88" s="149"/>
      <c r="I88" s="149"/>
      <c r="J88" s="149"/>
      <c r="K88" s="149"/>
      <c r="L88" s="149"/>
    </row>
    <row r="89">
      <c r="A89" s="240"/>
      <c r="B89" s="113"/>
      <c r="C89" s="149"/>
      <c r="D89" s="149"/>
      <c r="E89" s="149"/>
      <c r="F89" s="149"/>
      <c r="G89" s="149"/>
      <c r="H89" s="149"/>
      <c r="I89" s="149"/>
      <c r="J89" s="149"/>
      <c r="K89" s="149"/>
      <c r="L89" s="149"/>
    </row>
    <row r="90">
      <c r="A90" s="240"/>
      <c r="B90" s="113"/>
      <c r="C90" s="149"/>
      <c r="D90" s="149"/>
      <c r="E90" s="149"/>
      <c r="F90" s="149"/>
      <c r="G90" s="149"/>
      <c r="H90" s="149"/>
      <c r="I90" s="149"/>
      <c r="J90" s="149"/>
      <c r="K90" s="149"/>
      <c r="L90" s="149"/>
    </row>
    <row r="91">
      <c r="A91" s="240"/>
      <c r="B91" s="113"/>
      <c r="C91" s="149"/>
      <c r="D91" s="149"/>
      <c r="E91" s="149"/>
      <c r="F91" s="149"/>
      <c r="G91" s="149"/>
      <c r="H91" s="149"/>
      <c r="I91" s="149"/>
      <c r="J91" s="149"/>
      <c r="K91" s="149"/>
      <c r="L91" s="149"/>
    </row>
    <row r="92">
      <c r="A92" s="240"/>
      <c r="B92" s="113"/>
      <c r="C92" s="149"/>
      <c r="D92" s="149"/>
      <c r="E92" s="149"/>
      <c r="F92" s="149"/>
      <c r="G92" s="149"/>
      <c r="H92" s="149"/>
      <c r="I92" s="149"/>
      <c r="J92" s="149"/>
      <c r="K92" s="149"/>
      <c r="L92" s="149"/>
    </row>
    <row r="93">
      <c r="A93" s="240"/>
      <c r="B93" s="113"/>
      <c r="C93" s="149"/>
      <c r="D93" s="149"/>
      <c r="E93" s="149"/>
      <c r="F93" s="149"/>
      <c r="G93" s="149"/>
      <c r="H93" s="149"/>
      <c r="I93" s="149"/>
      <c r="J93" s="149"/>
      <c r="K93" s="149"/>
      <c r="L93" s="149"/>
    </row>
    <row r="94">
      <c r="A94" s="240"/>
      <c r="B94" s="113"/>
      <c r="C94" s="149"/>
      <c r="D94" s="149"/>
      <c r="E94" s="149"/>
      <c r="F94" s="149"/>
      <c r="G94" s="149"/>
      <c r="H94" s="149"/>
      <c r="I94" s="149"/>
      <c r="J94" s="149"/>
      <c r="K94" s="149"/>
      <c r="L94" s="149"/>
    </row>
    <row r="95">
      <c r="A95" s="240"/>
      <c r="B95" s="113"/>
      <c r="C95" s="149"/>
      <c r="D95" s="149"/>
      <c r="E95" s="149"/>
      <c r="F95" s="149"/>
      <c r="G95" s="149"/>
      <c r="H95" s="149"/>
      <c r="I95" s="149"/>
      <c r="J95" s="149"/>
      <c r="K95" s="149"/>
      <c r="L95" s="149"/>
    </row>
    <row r="96">
      <c r="A96" s="240"/>
      <c r="B96" s="113"/>
      <c r="C96" s="149"/>
      <c r="D96" s="149"/>
      <c r="E96" s="149"/>
      <c r="F96" s="149"/>
      <c r="G96" s="149"/>
      <c r="H96" s="149"/>
      <c r="I96" s="149"/>
      <c r="J96" s="149"/>
      <c r="K96" s="149"/>
      <c r="L96" s="149"/>
    </row>
    <row r="97">
      <c r="A97" s="240"/>
      <c r="B97" s="113"/>
      <c r="C97" s="149"/>
      <c r="D97" s="149"/>
      <c r="E97" s="149"/>
      <c r="F97" s="149"/>
      <c r="G97" s="149"/>
      <c r="H97" s="149"/>
      <c r="I97" s="149"/>
      <c r="J97" s="149"/>
      <c r="K97" s="149"/>
      <c r="L97" s="149"/>
    </row>
    <row r="98">
      <c r="A98" s="240"/>
      <c r="B98" s="113"/>
      <c r="C98" s="149"/>
      <c r="D98" s="149"/>
      <c r="E98" s="149"/>
      <c r="F98" s="149"/>
      <c r="G98" s="149"/>
      <c r="H98" s="149"/>
      <c r="I98" s="149"/>
      <c r="J98" s="149"/>
      <c r="K98" s="149"/>
      <c r="L98" s="149"/>
    </row>
    <row r="99">
      <c r="A99" s="240"/>
      <c r="B99" s="113"/>
      <c r="C99" s="149"/>
      <c r="D99" s="149"/>
      <c r="E99" s="149"/>
      <c r="F99" s="149"/>
      <c r="G99" s="149"/>
      <c r="H99" s="149"/>
      <c r="I99" s="149"/>
      <c r="J99" s="149"/>
      <c r="K99" s="149"/>
      <c r="L99" s="149"/>
    </row>
    <row r="100">
      <c r="A100" s="240"/>
      <c r="B100" s="113"/>
      <c r="C100" s="149"/>
      <c r="D100" s="149"/>
      <c r="E100" s="149"/>
      <c r="F100" s="149"/>
      <c r="G100" s="149"/>
      <c r="H100" s="149"/>
      <c r="I100" s="149"/>
      <c r="J100" s="149"/>
      <c r="K100" s="149"/>
      <c r="L100" s="149"/>
    </row>
    <row r="101">
      <c r="A101" s="240"/>
      <c r="B101" s="113"/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</row>
    <row r="102">
      <c r="A102" s="240"/>
      <c r="B102" s="113"/>
      <c r="C102" s="149"/>
      <c r="D102" s="149"/>
      <c r="E102" s="149"/>
      <c r="F102" s="149"/>
      <c r="G102" s="149"/>
      <c r="H102" s="149"/>
      <c r="I102" s="149"/>
      <c r="J102" s="149"/>
      <c r="K102" s="149"/>
      <c r="L102" s="149"/>
    </row>
    <row r="103">
      <c r="A103" s="240"/>
      <c r="B103" s="113"/>
      <c r="C103" s="149"/>
      <c r="D103" s="149"/>
      <c r="E103" s="149"/>
      <c r="F103" s="149"/>
      <c r="G103" s="149"/>
      <c r="H103" s="149"/>
      <c r="I103" s="149"/>
      <c r="J103" s="149"/>
      <c r="K103" s="149"/>
      <c r="L103" s="149"/>
    </row>
    <row r="104">
      <c r="A104" s="240"/>
      <c r="B104" s="113"/>
      <c r="C104" s="149"/>
      <c r="D104" s="149"/>
      <c r="E104" s="149"/>
      <c r="F104" s="149"/>
      <c r="G104" s="149"/>
      <c r="H104" s="149"/>
      <c r="I104" s="149"/>
      <c r="J104" s="149"/>
      <c r="K104" s="149"/>
      <c r="L104" s="149"/>
    </row>
    <row r="105">
      <c r="A105" s="240"/>
      <c r="B105" s="113"/>
      <c r="C105" s="149"/>
      <c r="D105" s="149"/>
      <c r="E105" s="149"/>
      <c r="F105" s="149"/>
      <c r="G105" s="149"/>
      <c r="H105" s="149"/>
      <c r="I105" s="149"/>
      <c r="J105" s="149"/>
      <c r="K105" s="149"/>
      <c r="L105" s="149"/>
    </row>
    <row r="106">
      <c r="A106" s="240"/>
      <c r="B106" s="113"/>
      <c r="C106" s="149"/>
      <c r="D106" s="149"/>
      <c r="E106" s="149"/>
      <c r="F106" s="149"/>
      <c r="G106" s="149"/>
      <c r="H106" s="149"/>
      <c r="I106" s="149"/>
      <c r="J106" s="149"/>
      <c r="K106" s="149"/>
      <c r="L106" s="149"/>
    </row>
    <row r="107">
      <c r="A107" s="240"/>
      <c r="B107" s="113"/>
      <c r="C107" s="149"/>
      <c r="D107" s="149"/>
      <c r="E107" s="149"/>
      <c r="F107" s="149"/>
      <c r="G107" s="149"/>
      <c r="H107" s="149"/>
      <c r="I107" s="149"/>
      <c r="J107" s="149"/>
      <c r="K107" s="149"/>
      <c r="L107" s="149"/>
    </row>
    <row r="108">
      <c r="A108" s="240"/>
      <c r="B108" s="113"/>
      <c r="C108" s="149"/>
      <c r="D108" s="149"/>
      <c r="E108" s="149"/>
      <c r="F108" s="149"/>
      <c r="G108" s="149"/>
      <c r="H108" s="149"/>
      <c r="I108" s="149"/>
      <c r="J108" s="149"/>
      <c r="K108" s="149"/>
      <c r="L108" s="149"/>
    </row>
    <row r="109">
      <c r="A109" s="240"/>
      <c r="B109" s="113"/>
      <c r="C109" s="149"/>
      <c r="D109" s="149"/>
      <c r="E109" s="149"/>
      <c r="F109" s="149"/>
      <c r="G109" s="149"/>
      <c r="H109" s="149"/>
      <c r="I109" s="149"/>
      <c r="J109" s="149"/>
      <c r="K109" s="149"/>
      <c r="L109" s="149"/>
    </row>
    <row r="110">
      <c r="A110" s="240"/>
      <c r="B110" s="113"/>
      <c r="C110" s="149"/>
      <c r="D110" s="149"/>
      <c r="E110" s="149"/>
      <c r="F110" s="149"/>
      <c r="G110" s="149"/>
      <c r="H110" s="149"/>
      <c r="I110" s="149"/>
      <c r="J110" s="149"/>
      <c r="K110" s="149"/>
      <c r="L110" s="149"/>
    </row>
    <row r="111">
      <c r="A111" s="240"/>
      <c r="B111" s="113"/>
      <c r="C111" s="149"/>
      <c r="D111" s="149"/>
      <c r="E111" s="149"/>
      <c r="F111" s="149"/>
      <c r="G111" s="149"/>
      <c r="H111" s="149"/>
      <c r="I111" s="149"/>
      <c r="J111" s="149"/>
      <c r="K111" s="149"/>
      <c r="L111" s="149"/>
    </row>
    <row r="112">
      <c r="A112" s="240"/>
      <c r="B112" s="113"/>
      <c r="C112" s="149"/>
      <c r="D112" s="149"/>
      <c r="E112" s="149"/>
      <c r="F112" s="149"/>
      <c r="G112" s="149"/>
      <c r="H112" s="149"/>
      <c r="I112" s="149"/>
      <c r="J112" s="149"/>
      <c r="K112" s="149"/>
      <c r="L112" s="149"/>
    </row>
    <row r="113">
      <c r="A113" s="240"/>
      <c r="B113" s="113"/>
      <c r="C113" s="149"/>
      <c r="D113" s="149"/>
      <c r="E113" s="149"/>
      <c r="F113" s="149"/>
      <c r="G113" s="149"/>
      <c r="H113" s="149"/>
      <c r="I113" s="149"/>
      <c r="J113" s="149"/>
      <c r="K113" s="149"/>
      <c r="L113" s="149"/>
    </row>
    <row r="114">
      <c r="A114" s="240"/>
      <c r="B114" s="113"/>
      <c r="C114" s="149"/>
      <c r="D114" s="149"/>
      <c r="E114" s="149"/>
      <c r="F114" s="149"/>
      <c r="G114" s="149"/>
      <c r="H114" s="149"/>
      <c r="I114" s="149"/>
      <c r="J114" s="149"/>
      <c r="K114" s="149"/>
      <c r="L114" s="149"/>
    </row>
    <row r="115">
      <c r="A115" s="240"/>
      <c r="B115" s="113"/>
      <c r="C115" s="149"/>
      <c r="D115" s="149"/>
      <c r="E115" s="149"/>
      <c r="F115" s="149"/>
      <c r="G115" s="149"/>
      <c r="H115" s="149"/>
      <c r="I115" s="149"/>
      <c r="J115" s="149"/>
      <c r="K115" s="149"/>
      <c r="L115" s="149"/>
    </row>
    <row r="116">
      <c r="A116" s="240"/>
      <c r="B116" s="113"/>
      <c r="C116" s="149"/>
      <c r="D116" s="149"/>
      <c r="E116" s="149"/>
      <c r="F116" s="149"/>
      <c r="G116" s="149"/>
      <c r="H116" s="149"/>
      <c r="I116" s="149"/>
      <c r="J116" s="149"/>
      <c r="K116" s="149"/>
      <c r="L116" s="149"/>
    </row>
    <row r="117">
      <c r="A117" s="240"/>
      <c r="B117" s="113"/>
      <c r="C117" s="149"/>
      <c r="D117" s="149"/>
      <c r="E117" s="149"/>
      <c r="F117" s="149"/>
      <c r="G117" s="149"/>
      <c r="H117" s="149"/>
      <c r="I117" s="149"/>
      <c r="J117" s="149"/>
      <c r="K117" s="149"/>
      <c r="L117" s="149"/>
    </row>
    <row r="118">
      <c r="A118" s="240"/>
      <c r="B118" s="113"/>
      <c r="C118" s="149"/>
      <c r="D118" s="149"/>
      <c r="E118" s="149"/>
      <c r="F118" s="149"/>
      <c r="G118" s="149"/>
      <c r="H118" s="149"/>
      <c r="I118" s="149"/>
      <c r="J118" s="149"/>
      <c r="K118" s="149"/>
      <c r="L118" s="149"/>
    </row>
    <row r="119">
      <c r="A119" s="240"/>
      <c r="B119" s="113"/>
      <c r="C119" s="149"/>
      <c r="D119" s="149"/>
      <c r="E119" s="149"/>
      <c r="F119" s="149"/>
      <c r="G119" s="149"/>
      <c r="H119" s="149"/>
      <c r="I119" s="149"/>
      <c r="J119" s="149"/>
      <c r="K119" s="149"/>
      <c r="L119" s="149"/>
    </row>
    <row r="120">
      <c r="A120" s="240"/>
      <c r="B120" s="113"/>
      <c r="C120" s="149"/>
      <c r="D120" s="149"/>
      <c r="E120" s="149"/>
      <c r="F120" s="149"/>
      <c r="G120" s="149"/>
      <c r="H120" s="149"/>
      <c r="I120" s="149"/>
      <c r="J120" s="149"/>
      <c r="K120" s="149"/>
      <c r="L120" s="149"/>
    </row>
    <row r="121">
      <c r="A121" s="240"/>
      <c r="B121" s="113"/>
      <c r="C121" s="149"/>
      <c r="D121" s="149"/>
      <c r="E121" s="149"/>
      <c r="F121" s="149"/>
      <c r="G121" s="149"/>
      <c r="H121" s="149"/>
      <c r="I121" s="149"/>
      <c r="J121" s="149"/>
      <c r="K121" s="149"/>
      <c r="L121" s="149"/>
    </row>
    <row r="122">
      <c r="A122" s="240"/>
      <c r="B122" s="113"/>
      <c r="C122" s="149"/>
      <c r="D122" s="149"/>
      <c r="E122" s="149"/>
      <c r="F122" s="149"/>
      <c r="G122" s="149"/>
      <c r="H122" s="149"/>
      <c r="I122" s="149"/>
      <c r="J122" s="149"/>
      <c r="K122" s="149"/>
      <c r="L122" s="149"/>
    </row>
    <row r="123">
      <c r="A123" s="240"/>
      <c r="B123" s="113"/>
      <c r="C123" s="149"/>
      <c r="D123" s="149"/>
      <c r="E123" s="149"/>
      <c r="F123" s="149"/>
      <c r="G123" s="149"/>
      <c r="H123" s="149"/>
      <c r="I123" s="149"/>
      <c r="J123" s="149"/>
      <c r="K123" s="149"/>
      <c r="L123" s="149"/>
    </row>
    <row r="124">
      <c r="A124" s="240"/>
      <c r="B124" s="113"/>
      <c r="C124" s="149"/>
      <c r="D124" s="149"/>
      <c r="E124" s="149"/>
      <c r="F124" s="149"/>
      <c r="G124" s="149"/>
      <c r="H124" s="149"/>
      <c r="I124" s="149"/>
      <c r="J124" s="149"/>
      <c r="K124" s="149"/>
      <c r="L124" s="149"/>
    </row>
  </sheetData>
  <sheetCalcPr fullCalcOnLoad="1"/>
  <printOptions/>
  <pageMargins left="0.7" right="0.7" top="0.75" bottom="0.75" header="0.3" footer="0.3"/>
</worksheet>
</file>

<file path=xl/worksheets/sheet47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199" customWidth="1"/>
    <col min="2" max="2" width="86.109375" style="199" customWidth="1"/>
    <col min="3" max="3" width="4.44140625" style="162" customWidth="1"/>
    <col min="4" max="7" width="15.33203125" style="6" customWidth="1"/>
    <col min="8" max="16384" width="9.109375" style="124"/>
  </cols>
  <sheetData>
    <row r="1">
      <c r="A1" s="11" t="s">
        <v>1388</v>
      </c>
      <c r="B1" s="11" t="s">
        <v>171</v>
      </c>
      <c r="C1" s="55" t="s">
        <v>62</v>
      </c>
      <c r="D1" s="173" t="s">
        <v>970</v>
      </c>
      <c r="E1" s="173" t="s">
        <v>282</v>
      </c>
      <c r="F1" s="173" t="s">
        <v>1234</v>
      </c>
      <c r="G1" s="173" t="s">
        <v>556</v>
      </c>
    </row>
    <row r="2">
      <c r="A2" s="113" t="s">
        <v>1230</v>
      </c>
      <c r="B2" s="113" t="s">
        <v>470</v>
      </c>
      <c r="C2" s="240" t="s">
        <v>709</v>
      </c>
      <c r="D2" s="149">
        <v>0</v>
      </c>
      <c r="E2" s="158">
        <v>0</v>
      </c>
      <c r="F2" s="149">
        <v>0</v>
      </c>
      <c r="G2" s="158">
        <v>0</v>
      </c>
    </row>
    <row r="3">
      <c r="A3" s="113" t="s">
        <v>622</v>
      </c>
      <c r="B3" s="113" t="s">
        <v>165</v>
      </c>
      <c r="C3" s="240" t="s">
        <v>94</v>
      </c>
      <c r="D3" s="158">
        <v>801121</v>
      </c>
      <c r="E3" s="158">
        <v>443441</v>
      </c>
      <c r="F3" s="158">
        <v>801121</v>
      </c>
      <c r="G3" s="158">
        <v>443441</v>
      </c>
    </row>
    <row r="4">
      <c r="A4" s="113" t="s">
        <v>706</v>
      </c>
      <c r="B4" s="113" t="s">
        <v>1263</v>
      </c>
      <c r="C4" s="240" t="s">
        <v>1101</v>
      </c>
      <c r="D4" s="149">
        <v>0</v>
      </c>
      <c r="E4" s="158">
        <v>999</v>
      </c>
      <c r="F4" s="149">
        <v>0</v>
      </c>
      <c r="G4" s="158">
        <v>999</v>
      </c>
    </row>
    <row r="5">
      <c r="A5" s="113" t="s">
        <v>35</v>
      </c>
      <c r="B5" s="113" t="s">
        <v>1054</v>
      </c>
      <c r="C5" s="240" t="s">
        <v>586</v>
      </c>
      <c r="D5" s="149">
        <v>0</v>
      </c>
      <c r="E5" s="158">
        <v>350</v>
      </c>
      <c r="F5" s="149">
        <v>0</v>
      </c>
      <c r="G5" s="158">
        <v>350</v>
      </c>
    </row>
    <row r="6">
      <c r="A6" s="113" t="s">
        <v>340</v>
      </c>
      <c r="B6" s="113" t="s">
        <v>1268</v>
      </c>
      <c r="C6" s="240" t="s">
        <v>1253</v>
      </c>
      <c r="D6" s="158">
        <v>590625</v>
      </c>
      <c r="E6" s="158">
        <v>387659</v>
      </c>
      <c r="F6" s="158">
        <v>590625</v>
      </c>
      <c r="G6" s="158">
        <v>387659</v>
      </c>
    </row>
    <row r="7">
      <c r="A7" s="113" t="s">
        <v>629</v>
      </c>
      <c r="B7" s="113" t="s">
        <v>150</v>
      </c>
      <c r="C7" s="240" t="s">
        <v>1347</v>
      </c>
      <c r="D7" s="149">
        <v>0</v>
      </c>
      <c r="E7" s="158">
        <v>0</v>
      </c>
      <c r="F7" s="149">
        <v>0</v>
      </c>
      <c r="G7" s="158">
        <v>0</v>
      </c>
    </row>
    <row r="8">
      <c r="A8" s="113" t="s">
        <v>921</v>
      </c>
      <c r="B8" s="113" t="s">
        <v>1200</v>
      </c>
      <c r="C8" s="240" t="s">
        <v>891</v>
      </c>
      <c r="D8" s="158">
        <v>14668</v>
      </c>
      <c r="E8" s="158">
        <v>5481</v>
      </c>
      <c r="F8" s="158">
        <v>14668</v>
      </c>
      <c r="G8" s="158">
        <v>5481</v>
      </c>
    </row>
    <row r="9">
      <c r="A9" s="113" t="s">
        <v>346</v>
      </c>
      <c r="B9" s="113" t="s">
        <v>385</v>
      </c>
      <c r="C9" s="240" t="s">
        <v>1194</v>
      </c>
      <c r="D9" s="149">
        <v>0</v>
      </c>
      <c r="E9" s="158">
        <v>0</v>
      </c>
      <c r="F9" s="149">
        <v>0</v>
      </c>
      <c r="G9" s="158">
        <v>0</v>
      </c>
    </row>
    <row r="10">
      <c r="A10" s="113" t="s">
        <v>22</v>
      </c>
      <c r="B10" s="113" t="s">
        <v>84</v>
      </c>
      <c r="C10" s="240" t="s">
        <v>739</v>
      </c>
      <c r="D10" s="158">
        <v>195828</v>
      </c>
      <c r="E10" s="158">
        <v>48952</v>
      </c>
      <c r="F10" s="158">
        <v>195828</v>
      </c>
      <c r="G10" s="158">
        <v>48952</v>
      </c>
    </row>
    <row r="11">
      <c r="A11" s="113" t="s">
        <v>622</v>
      </c>
      <c r="B11" s="113" t="s">
        <v>1354</v>
      </c>
      <c r="C11" s="240" t="s">
        <v>464</v>
      </c>
      <c r="D11" s="158">
        <v>656310</v>
      </c>
      <c r="E11" s="158">
        <v>476085</v>
      </c>
      <c r="F11" s="158">
        <v>656310</v>
      </c>
      <c r="G11" s="158">
        <v>476085</v>
      </c>
    </row>
    <row r="12">
      <c r="A12" s="113" t="s">
        <v>121</v>
      </c>
      <c r="B12" s="113" t="s">
        <v>775</v>
      </c>
      <c r="C12" s="240" t="s">
        <v>218</v>
      </c>
      <c r="D12" s="149">
        <v>0</v>
      </c>
      <c r="E12" s="158">
        <v>3859</v>
      </c>
      <c r="F12" s="149">
        <v>0</v>
      </c>
      <c r="G12" s="158">
        <v>3859</v>
      </c>
    </row>
    <row r="13">
      <c r="A13" s="113" t="s">
        <v>441</v>
      </c>
      <c r="B13" s="113" t="s">
        <v>382</v>
      </c>
      <c r="C13" s="240" t="s">
        <v>58</v>
      </c>
      <c r="D13" s="158">
        <v>268455</v>
      </c>
      <c r="E13" s="158">
        <v>198365</v>
      </c>
      <c r="F13" s="158">
        <v>268455</v>
      </c>
      <c r="G13" s="158">
        <v>198365</v>
      </c>
    </row>
    <row r="14">
      <c r="A14" s="113" t="s">
        <v>1338</v>
      </c>
      <c r="B14" s="113" t="s">
        <v>1057</v>
      </c>
      <c r="C14" s="240" t="s">
        <v>72</v>
      </c>
      <c r="D14" s="149">
        <v>0</v>
      </c>
      <c r="E14" s="158">
        <v>0</v>
      </c>
      <c r="F14" s="149">
        <v>0</v>
      </c>
      <c r="G14" s="158">
        <v>0</v>
      </c>
    </row>
    <row r="15">
      <c r="A15" s="113" t="s">
        <v>15</v>
      </c>
      <c r="B15" s="113" t="s">
        <v>688</v>
      </c>
      <c r="C15" s="240" t="s">
        <v>387</v>
      </c>
      <c r="D15" s="158">
        <v>228633</v>
      </c>
      <c r="E15" s="158">
        <v>134551</v>
      </c>
      <c r="F15" s="158">
        <v>228633</v>
      </c>
      <c r="G15" s="158">
        <v>134551</v>
      </c>
    </row>
    <row r="16">
      <c r="A16" s="113" t="s">
        <v>1213</v>
      </c>
      <c r="B16" s="113" t="s">
        <v>9</v>
      </c>
      <c r="C16" s="240" t="s">
        <v>12</v>
      </c>
      <c r="D16" s="158">
        <v>122532</v>
      </c>
      <c r="E16" s="158">
        <v>119119</v>
      </c>
      <c r="F16" s="158">
        <v>122532</v>
      </c>
      <c r="G16" s="158">
        <v>119119</v>
      </c>
    </row>
    <row r="17">
      <c r="A17" s="113" t="s">
        <v>1262</v>
      </c>
      <c r="B17" s="113" t="s">
        <v>303</v>
      </c>
      <c r="C17" s="240" t="s">
        <v>584</v>
      </c>
      <c r="D17" s="158">
        <v>86747</v>
      </c>
      <c r="E17" s="158">
        <v>85533</v>
      </c>
      <c r="F17" s="158">
        <v>86747</v>
      </c>
      <c r="G17" s="158">
        <v>85533</v>
      </c>
    </row>
    <row r="18">
      <c r="A18" s="113" t="s">
        <v>536</v>
      </c>
      <c r="B18" s="113" t="s">
        <v>21</v>
      </c>
      <c r="C18" s="240" t="s">
        <v>748</v>
      </c>
      <c r="D18" s="149">
        <v>0</v>
      </c>
      <c r="E18" s="158">
        <v>0</v>
      </c>
      <c r="F18" s="149">
        <v>0</v>
      </c>
      <c r="G18" s="158">
        <v>0</v>
      </c>
    </row>
    <row r="19">
      <c r="A19" s="113" t="s">
        <v>1042</v>
      </c>
      <c r="B19" s="113" t="s">
        <v>911</v>
      </c>
      <c r="C19" s="240" t="s">
        <v>221</v>
      </c>
      <c r="D19" s="158">
        <v>33164</v>
      </c>
      <c r="E19" s="158">
        <v>29775</v>
      </c>
      <c r="F19" s="158">
        <v>33164</v>
      </c>
      <c r="G19" s="158">
        <v>29775</v>
      </c>
    </row>
    <row r="20">
      <c r="A20" s="113" t="s">
        <v>272</v>
      </c>
      <c r="B20" s="113" t="s">
        <v>1357</v>
      </c>
      <c r="C20" s="240" t="s">
        <v>1191</v>
      </c>
      <c r="D20" s="158">
        <v>2621</v>
      </c>
      <c r="E20" s="158">
        <v>3811</v>
      </c>
      <c r="F20" s="158">
        <v>2621</v>
      </c>
      <c r="G20" s="158">
        <v>3811</v>
      </c>
    </row>
    <row r="21">
      <c r="A21" s="113" t="s">
        <v>399</v>
      </c>
      <c r="B21" s="113" t="s">
        <v>142</v>
      </c>
      <c r="C21" s="240" t="s">
        <v>583</v>
      </c>
      <c r="D21" s="158">
        <v>10947</v>
      </c>
      <c r="E21" s="158">
        <v>7541</v>
      </c>
      <c r="F21" s="158">
        <v>10947</v>
      </c>
      <c r="G21" s="158">
        <v>7541</v>
      </c>
    </row>
    <row r="22">
      <c r="A22" s="113" t="s">
        <v>278</v>
      </c>
      <c r="B22" s="113" t="s">
        <v>1237</v>
      </c>
      <c r="C22" s="240" t="s">
        <v>3</v>
      </c>
      <c r="D22" s="158">
        <v>16423</v>
      </c>
      <c r="E22" s="158">
        <v>16348</v>
      </c>
      <c r="F22" s="158">
        <v>16423</v>
      </c>
      <c r="G22" s="158">
        <v>16348</v>
      </c>
    </row>
    <row r="23">
      <c r="A23" s="113" t="s">
        <v>1157</v>
      </c>
      <c r="B23" s="113" t="s">
        <v>132</v>
      </c>
      <c r="C23" s="240" t="s">
        <v>225</v>
      </c>
      <c r="D23" s="158">
        <v>16423</v>
      </c>
      <c r="E23" s="158">
        <v>16348</v>
      </c>
      <c r="F23" s="158">
        <v>16423</v>
      </c>
      <c r="G23" s="158">
        <v>16348</v>
      </c>
    </row>
    <row r="24">
      <c r="A24" s="113" t="s">
        <v>536</v>
      </c>
      <c r="B24" s="113" t="s">
        <v>820</v>
      </c>
      <c r="C24" s="240" t="s">
        <v>779</v>
      </c>
      <c r="D24" s="149">
        <v>0</v>
      </c>
      <c r="E24" s="158">
        <v>0</v>
      </c>
      <c r="F24" s="149">
        <v>0</v>
      </c>
      <c r="G24" s="158">
        <v>0</v>
      </c>
    </row>
    <row r="25">
      <c r="A25" s="113" t="s">
        <v>800</v>
      </c>
      <c r="B25" s="113" t="s">
        <v>486</v>
      </c>
      <c r="C25" s="240" t="s">
        <v>1307</v>
      </c>
      <c r="D25" s="149">
        <v>0</v>
      </c>
      <c r="E25" s="158">
        <v>0</v>
      </c>
      <c r="F25" s="149">
        <v>0</v>
      </c>
      <c r="G25" s="158">
        <v>0</v>
      </c>
    </row>
    <row r="26">
      <c r="A26" s="113" t="s">
        <v>706</v>
      </c>
      <c r="B26" s="113" t="s">
        <v>723</v>
      </c>
      <c r="C26" s="240" t="s">
        <v>534</v>
      </c>
      <c r="D26" s="149">
        <v>0</v>
      </c>
      <c r="E26" s="158">
        <v>-20326</v>
      </c>
      <c r="F26" s="149">
        <v>0</v>
      </c>
      <c r="G26" s="158">
        <v>-20326</v>
      </c>
    </row>
    <row r="27">
      <c r="A27" s="113" t="s">
        <v>1260</v>
      </c>
      <c r="B27" s="113" t="s">
        <v>508</v>
      </c>
      <c r="C27" s="240" t="s">
        <v>828</v>
      </c>
      <c r="D27" s="158">
        <v>9320</v>
      </c>
      <c r="E27" s="158">
        <v>16628</v>
      </c>
      <c r="F27" s="158">
        <v>9320</v>
      </c>
      <c r="G27" s="158">
        <v>16628</v>
      </c>
    </row>
    <row r="28">
      <c r="A28" s="113" t="s">
        <v>1332</v>
      </c>
      <c r="B28" s="113" t="s">
        <v>941</v>
      </c>
      <c r="C28" s="240" t="s">
        <v>1181</v>
      </c>
      <c r="D28" s="158">
        <v>144811</v>
      </c>
      <c r="E28" s="158">
        <v>-32644</v>
      </c>
      <c r="F28" s="158">
        <v>144811</v>
      </c>
      <c r="G28" s="158">
        <v>-32644</v>
      </c>
    </row>
    <row r="29">
      <c r="A29" s="113" t="s">
        <v>1230</v>
      </c>
      <c r="B29" s="113" t="s">
        <v>296</v>
      </c>
      <c r="C29" s="240" t="s">
        <v>240</v>
      </c>
      <c r="D29" s="158">
        <v>108205</v>
      </c>
      <c r="E29" s="158">
        <v>57714</v>
      </c>
      <c r="F29" s="158">
        <v>108205</v>
      </c>
      <c r="G29" s="158">
        <v>57714</v>
      </c>
    </row>
    <row r="30">
      <c r="A30" s="113" t="s">
        <v>622</v>
      </c>
      <c r="B30" s="113" t="s">
        <v>1382</v>
      </c>
      <c r="C30" s="240" t="s">
        <v>760</v>
      </c>
      <c r="D30" s="158">
        <v>11</v>
      </c>
      <c r="E30" s="158">
        <v>0</v>
      </c>
      <c r="F30" s="158">
        <v>11</v>
      </c>
      <c r="G30" s="158">
        <v>0</v>
      </c>
    </row>
    <row r="31">
      <c r="A31" s="113" t="s">
        <v>525</v>
      </c>
      <c r="B31" s="113" t="s">
        <v>59</v>
      </c>
      <c r="C31" s="240" t="s">
        <v>1365</v>
      </c>
      <c r="D31" s="149">
        <v>0</v>
      </c>
      <c r="E31" s="158">
        <v>0</v>
      </c>
      <c r="F31" s="149">
        <v>0</v>
      </c>
      <c r="G31" s="158">
        <v>0</v>
      </c>
    </row>
    <row r="32">
      <c r="A32" s="113" t="s">
        <v>858</v>
      </c>
      <c r="B32" s="113" t="s">
        <v>545</v>
      </c>
      <c r="C32" s="240" t="s">
        <v>701</v>
      </c>
      <c r="D32" s="149">
        <v>0</v>
      </c>
      <c r="E32" s="158">
        <v>0</v>
      </c>
      <c r="F32" s="149">
        <v>0</v>
      </c>
      <c r="G32" s="158">
        <v>0</v>
      </c>
    </row>
    <row r="33">
      <c r="A33" s="113" t="s">
        <v>433</v>
      </c>
      <c r="B33" s="113" t="s">
        <v>31</v>
      </c>
      <c r="C33" s="240" t="s">
        <v>269</v>
      </c>
      <c r="D33" s="149">
        <v>0</v>
      </c>
      <c r="E33" s="158">
        <v>0</v>
      </c>
      <c r="F33" s="149">
        <v>0</v>
      </c>
      <c r="G33" s="158">
        <v>0</v>
      </c>
    </row>
    <row r="34">
      <c r="A34" s="113" t="s">
        <v>536</v>
      </c>
      <c r="B34" s="113" t="s">
        <v>148</v>
      </c>
      <c r="C34" s="240" t="s">
        <v>606</v>
      </c>
      <c r="D34" s="149">
        <v>0</v>
      </c>
      <c r="E34" s="158">
        <v>0</v>
      </c>
      <c r="F34" s="149">
        <v>0</v>
      </c>
      <c r="G34" s="158">
        <v>0</v>
      </c>
    </row>
    <row r="35">
      <c r="A35" s="113" t="s">
        <v>1042</v>
      </c>
      <c r="B35" s="113" t="s">
        <v>979</v>
      </c>
      <c r="C35" s="240" t="s">
        <v>920</v>
      </c>
      <c r="D35" s="149">
        <v>0</v>
      </c>
      <c r="E35" s="158">
        <v>0</v>
      </c>
      <c r="F35" s="149">
        <v>0</v>
      </c>
      <c r="G35" s="158">
        <v>0</v>
      </c>
    </row>
    <row r="36">
      <c r="A36" s="113" t="s">
        <v>1116</v>
      </c>
      <c r="B36" s="113" t="s">
        <v>273</v>
      </c>
      <c r="C36" s="240" t="s">
        <v>522</v>
      </c>
      <c r="D36" s="149">
        <v>0</v>
      </c>
      <c r="E36" s="158">
        <v>0</v>
      </c>
      <c r="F36" s="149">
        <v>0</v>
      </c>
      <c r="G36" s="158">
        <v>0</v>
      </c>
    </row>
    <row r="37">
      <c r="A37" s="113" t="s">
        <v>1124</v>
      </c>
      <c r="B37" s="113" t="s">
        <v>324</v>
      </c>
      <c r="C37" s="240" t="s">
        <v>1158</v>
      </c>
      <c r="D37" s="149">
        <v>0</v>
      </c>
      <c r="E37" s="158">
        <v>0</v>
      </c>
      <c r="F37" s="149">
        <v>0</v>
      </c>
      <c r="G37" s="158">
        <v>0</v>
      </c>
    </row>
    <row r="38">
      <c r="A38" s="113" t="s">
        <v>536</v>
      </c>
      <c r="B38" s="113" t="s">
        <v>56</v>
      </c>
      <c r="C38" s="240" t="s">
        <v>1169</v>
      </c>
      <c r="D38" s="149">
        <v>0</v>
      </c>
      <c r="E38" s="158">
        <v>0</v>
      </c>
      <c r="F38" s="149">
        <v>0</v>
      </c>
      <c r="G38" s="158">
        <v>0</v>
      </c>
    </row>
    <row r="39">
      <c r="A39" s="113" t="s">
        <v>1042</v>
      </c>
      <c r="B39" s="113" t="s">
        <v>1041</v>
      </c>
      <c r="C39" s="240" t="s">
        <v>1044</v>
      </c>
      <c r="D39" s="149">
        <v>0</v>
      </c>
      <c r="E39" s="158">
        <v>0</v>
      </c>
      <c r="F39" s="149">
        <v>0</v>
      </c>
      <c r="G39" s="158">
        <v>0</v>
      </c>
    </row>
    <row r="40">
      <c r="A40" s="113" t="s">
        <v>1014</v>
      </c>
      <c r="B40" s="113" t="s">
        <v>1070</v>
      </c>
      <c r="C40" s="240" t="s">
        <v>463</v>
      </c>
      <c r="D40" s="158">
        <v>11</v>
      </c>
      <c r="E40" s="158">
        <v>0</v>
      </c>
      <c r="F40" s="158">
        <v>11</v>
      </c>
      <c r="G40" s="158">
        <v>0</v>
      </c>
    </row>
    <row r="41">
      <c r="A41" s="113" t="s">
        <v>638</v>
      </c>
      <c r="B41" s="113" t="s">
        <v>461</v>
      </c>
      <c r="C41" s="240" t="s">
        <v>347</v>
      </c>
      <c r="D41" s="149">
        <v>0</v>
      </c>
      <c r="E41" s="158">
        <v>0</v>
      </c>
      <c r="F41" s="149">
        <v>0</v>
      </c>
      <c r="G41" s="158">
        <v>0</v>
      </c>
    </row>
    <row r="42">
      <c r="A42" s="113" t="s">
        <v>536</v>
      </c>
      <c r="B42" s="113" t="s">
        <v>216</v>
      </c>
      <c r="C42" s="240" t="s">
        <v>1160</v>
      </c>
      <c r="D42" s="158">
        <v>11</v>
      </c>
      <c r="E42" s="158">
        <v>0</v>
      </c>
      <c r="F42" s="158">
        <v>11</v>
      </c>
      <c r="G42" s="158">
        <v>0</v>
      </c>
    </row>
    <row r="43">
      <c r="A43" s="113" t="s">
        <v>910</v>
      </c>
      <c r="B43" s="113" t="s">
        <v>1025</v>
      </c>
      <c r="C43" s="240" t="s">
        <v>113</v>
      </c>
      <c r="D43" s="149">
        <v>0</v>
      </c>
      <c r="E43" s="158">
        <v>0</v>
      </c>
      <c r="F43" s="149">
        <v>0</v>
      </c>
      <c r="G43" s="158">
        <v>0</v>
      </c>
    </row>
    <row r="44">
      <c r="A44" s="113" t="s">
        <v>1368</v>
      </c>
      <c r="B44" s="113" t="s">
        <v>405</v>
      </c>
      <c r="C44" s="240" t="s">
        <v>753</v>
      </c>
      <c r="D44" s="149">
        <v>0</v>
      </c>
      <c r="E44" s="158">
        <v>0</v>
      </c>
      <c r="F44" s="149">
        <v>0</v>
      </c>
      <c r="G44" s="158">
        <v>0</v>
      </c>
    </row>
    <row r="45">
      <c r="A45" s="113" t="s">
        <v>538</v>
      </c>
      <c r="B45" s="113" t="s">
        <v>173</v>
      </c>
      <c r="C45" s="240" t="s">
        <v>839</v>
      </c>
      <c r="D45" s="149">
        <v>0</v>
      </c>
      <c r="E45" s="158">
        <v>0</v>
      </c>
      <c r="F45" s="149">
        <v>0</v>
      </c>
      <c r="G45" s="158">
        <v>0</v>
      </c>
    </row>
    <row r="46">
      <c r="A46" s="113" t="s">
        <v>622</v>
      </c>
      <c r="B46" s="113" t="s">
        <v>421</v>
      </c>
      <c r="C46" s="240" t="s">
        <v>1026</v>
      </c>
      <c r="D46" s="158">
        <v>5943</v>
      </c>
      <c r="E46" s="158">
        <v>5658</v>
      </c>
      <c r="F46" s="158">
        <v>5943</v>
      </c>
      <c r="G46" s="158">
        <v>5658</v>
      </c>
    </row>
    <row r="47">
      <c r="A47" s="113" t="s">
        <v>871</v>
      </c>
      <c r="B47" s="113" t="s">
        <v>1206</v>
      </c>
      <c r="C47" s="240" t="s">
        <v>1227</v>
      </c>
      <c r="D47" s="149">
        <v>0</v>
      </c>
      <c r="E47" s="158">
        <v>0</v>
      </c>
      <c r="F47" s="149">
        <v>0</v>
      </c>
      <c r="G47" s="158">
        <v>0</v>
      </c>
    </row>
    <row r="48">
      <c r="A48" s="113" t="s">
        <v>305</v>
      </c>
      <c r="B48" s="113" t="s">
        <v>544</v>
      </c>
      <c r="C48" s="240" t="s">
        <v>375</v>
      </c>
      <c r="D48" s="149">
        <v>0</v>
      </c>
      <c r="E48" s="158">
        <v>0</v>
      </c>
      <c r="F48" s="149">
        <v>0</v>
      </c>
      <c r="G48" s="158">
        <v>0</v>
      </c>
    </row>
    <row r="49">
      <c r="A49" s="113" t="s">
        <v>1151</v>
      </c>
      <c r="B49" s="113" t="s">
        <v>598</v>
      </c>
      <c r="C49" s="240" t="s">
        <v>1218</v>
      </c>
      <c r="D49" s="149">
        <v>0</v>
      </c>
      <c r="E49" s="158">
        <v>0</v>
      </c>
      <c r="F49" s="149">
        <v>0</v>
      </c>
      <c r="G49" s="158">
        <v>0</v>
      </c>
    </row>
    <row r="50">
      <c r="A50" s="113" t="s">
        <v>804</v>
      </c>
      <c r="B50" s="113" t="s">
        <v>432</v>
      </c>
      <c r="C50" s="240" t="s">
        <v>270</v>
      </c>
      <c r="D50" s="158">
        <v>837</v>
      </c>
      <c r="E50" s="158">
        <v>1541</v>
      </c>
      <c r="F50" s="158">
        <v>837</v>
      </c>
      <c r="G50" s="158">
        <v>1541</v>
      </c>
    </row>
    <row r="51">
      <c r="A51" s="113" t="s">
        <v>299</v>
      </c>
      <c r="B51" s="113" t="s">
        <v>159</v>
      </c>
      <c r="C51" s="240" t="s">
        <v>97</v>
      </c>
      <c r="D51" s="149">
        <v>0</v>
      </c>
      <c r="E51" s="158">
        <v>0</v>
      </c>
      <c r="F51" s="149">
        <v>0</v>
      </c>
      <c r="G51" s="158">
        <v>0</v>
      </c>
    </row>
    <row r="52">
      <c r="A52" s="113" t="s">
        <v>536</v>
      </c>
      <c r="B52" s="113" t="s">
        <v>851</v>
      </c>
      <c r="C52" s="240" t="s">
        <v>1007</v>
      </c>
      <c r="D52" s="158">
        <v>837</v>
      </c>
      <c r="E52" s="158">
        <v>1541</v>
      </c>
      <c r="F52" s="158">
        <v>837</v>
      </c>
      <c r="G52" s="158">
        <v>1541</v>
      </c>
    </row>
    <row r="53">
      <c r="A53" s="113" t="s">
        <v>1136</v>
      </c>
      <c r="B53" s="113" t="s">
        <v>17</v>
      </c>
      <c r="C53" s="240" t="s">
        <v>1123</v>
      </c>
      <c r="D53" s="149">
        <v>0</v>
      </c>
      <c r="E53" s="158">
        <v>0</v>
      </c>
      <c r="F53" s="149">
        <v>0</v>
      </c>
      <c r="G53" s="158">
        <v>0</v>
      </c>
    </row>
    <row r="54">
      <c r="A54" s="113" t="s">
        <v>367</v>
      </c>
      <c r="B54" s="113" t="s">
        <v>917</v>
      </c>
      <c r="C54" s="240" t="s">
        <v>889</v>
      </c>
      <c r="D54" s="149">
        <v>0</v>
      </c>
      <c r="E54" s="158">
        <v>0</v>
      </c>
      <c r="F54" s="149">
        <v>0</v>
      </c>
      <c r="G54" s="158">
        <v>0</v>
      </c>
    </row>
    <row r="55">
      <c r="A55" s="113" t="s">
        <v>725</v>
      </c>
      <c r="B55" s="113" t="s">
        <v>242</v>
      </c>
      <c r="C55" s="240" t="s">
        <v>691</v>
      </c>
      <c r="D55" s="158">
        <v>5106</v>
      </c>
      <c r="E55" s="158">
        <v>4117</v>
      </c>
      <c r="F55" s="158">
        <v>5106</v>
      </c>
      <c r="G55" s="158">
        <v>4117</v>
      </c>
    </row>
    <row r="56">
      <c r="A56" s="113" t="s">
        <v>1332</v>
      </c>
      <c r="B56" s="113" t="s">
        <v>326</v>
      </c>
      <c r="C56" s="240" t="s">
        <v>647</v>
      </c>
      <c r="D56" s="158">
        <v>-5932</v>
      </c>
      <c r="E56" s="158">
        <v>-5658</v>
      </c>
      <c r="F56" s="158">
        <v>-5932</v>
      </c>
      <c r="G56" s="158">
        <v>-5658</v>
      </c>
    </row>
    <row r="57">
      <c r="A57" s="113" t="s">
        <v>7</v>
      </c>
      <c r="B57" s="113" t="s">
        <v>604</v>
      </c>
      <c r="C57" s="240" t="s">
        <v>566</v>
      </c>
      <c r="D57" s="158">
        <v>138879</v>
      </c>
      <c r="E57" s="158">
        <v>-38302</v>
      </c>
      <c r="F57" s="158">
        <v>138879</v>
      </c>
      <c r="G57" s="158">
        <v>-38302</v>
      </c>
    </row>
    <row r="58">
      <c r="A58" s="113" t="s">
        <v>426</v>
      </c>
      <c r="B58" s="113" t="s">
        <v>116</v>
      </c>
      <c r="C58" s="240" t="s">
        <v>1073</v>
      </c>
      <c r="D58" s="158">
        <v>9717</v>
      </c>
      <c r="E58" s="158">
        <v>0</v>
      </c>
      <c r="F58" s="158">
        <v>9717</v>
      </c>
      <c r="G58" s="158">
        <v>0</v>
      </c>
    </row>
    <row r="59">
      <c r="A59" s="113" t="s">
        <v>969</v>
      </c>
      <c r="B59" s="113" t="s">
        <v>1006</v>
      </c>
      <c r="C59" s="240" t="s">
        <v>827</v>
      </c>
      <c r="D59" s="158">
        <v>9717</v>
      </c>
      <c r="E59" s="158">
        <v>0</v>
      </c>
      <c r="F59" s="158">
        <v>9717</v>
      </c>
      <c r="G59" s="158">
        <v>0</v>
      </c>
    </row>
    <row r="60">
      <c r="A60" s="113" t="s">
        <v>536</v>
      </c>
      <c r="B60" s="113" t="s">
        <v>591</v>
      </c>
      <c r="C60" s="240" t="s">
        <v>1039</v>
      </c>
      <c r="D60" s="149">
        <v>0</v>
      </c>
      <c r="E60" s="158">
        <v>0</v>
      </c>
      <c r="F60" s="149">
        <v>0</v>
      </c>
      <c r="G60" s="158">
        <v>0</v>
      </c>
    </row>
    <row r="61">
      <c r="A61" s="113" t="s">
        <v>1185</v>
      </c>
      <c r="B61" s="113" t="s">
        <v>1386</v>
      </c>
      <c r="C61" s="240" t="s">
        <v>517</v>
      </c>
      <c r="D61" s="149">
        <v>0</v>
      </c>
      <c r="E61" s="158">
        <v>0</v>
      </c>
      <c r="F61" s="149">
        <v>0</v>
      </c>
      <c r="G61" s="158">
        <v>0</v>
      </c>
    </row>
    <row r="62">
      <c r="A62" s="113" t="s">
        <v>7</v>
      </c>
      <c r="B62" s="113" t="s">
        <v>790</v>
      </c>
      <c r="C62" s="240" t="s">
        <v>1390</v>
      </c>
      <c r="D62" s="158">
        <v>129162</v>
      </c>
      <c r="E62" s="158">
        <v>-38302</v>
      </c>
      <c r="F62" s="158">
        <v>129162</v>
      </c>
      <c r="G62" s="158">
        <v>-38302</v>
      </c>
    </row>
  </sheetData>
  <sheetCalcPr fullCalcOnLoad="1"/>
  <printOptions/>
  <pageMargins left="0.7" right="0.7" top="0.75" bottom="0.75" header="0.3" footer="0.3"/>
</worksheet>
</file>

<file path=xl/worksheets/sheet48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2"/>
  <sheetViews>
    <sheetView topLeftCell="A45"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86.10937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1388</v>
      </c>
      <c r="B1" s="11" t="s">
        <v>171</v>
      </c>
      <c r="C1" s="55" t="s">
        <v>62</v>
      </c>
      <c r="D1" s="173" t="s">
        <v>970</v>
      </c>
      <c r="E1" s="173" t="s">
        <v>282</v>
      </c>
      <c r="F1" s="173" t="s">
        <v>1234</v>
      </c>
      <c r="G1" s="173" t="s">
        <v>556</v>
      </c>
    </row>
    <row r="2">
      <c r="A2" s="75" t="s">
        <v>1230</v>
      </c>
      <c r="B2" s="75" t="s">
        <v>470</v>
      </c>
      <c r="C2" s="270" t="s">
        <v>709</v>
      </c>
      <c r="D2" s="178">
        <v>0</v>
      </c>
      <c r="E2" s="193">
        <v>0</v>
      </c>
      <c r="F2" s="178">
        <v>0</v>
      </c>
      <c r="G2" s="193">
        <v>0</v>
      </c>
    </row>
    <row r="3">
      <c r="A3" s="75" t="s">
        <v>622</v>
      </c>
      <c r="B3" s="75" t="s">
        <v>165</v>
      </c>
      <c r="C3" s="270" t="s">
        <v>94</v>
      </c>
      <c r="D3" s="158">
        <v>443441</v>
      </c>
      <c r="E3" s="158">
        <v>964622</v>
      </c>
      <c r="F3" s="158">
        <v>443441</v>
      </c>
      <c r="G3" s="158">
        <v>964622</v>
      </c>
    </row>
    <row r="4">
      <c r="A4" s="75" t="s">
        <v>706</v>
      </c>
      <c r="B4" s="75" t="s">
        <v>1263</v>
      </c>
      <c r="C4" s="270" t="s">
        <v>1101</v>
      </c>
      <c r="D4" s="193">
        <v>999</v>
      </c>
      <c r="E4" s="193">
        <v>8963</v>
      </c>
      <c r="F4" s="193">
        <v>999</v>
      </c>
      <c r="G4" s="193">
        <v>8963</v>
      </c>
    </row>
    <row r="5">
      <c r="A5" s="75" t="s">
        <v>35</v>
      </c>
      <c r="B5" s="75" t="s">
        <v>1054</v>
      </c>
      <c r="C5" s="270" t="s">
        <v>586</v>
      </c>
      <c r="D5" s="193">
        <v>350</v>
      </c>
      <c r="E5" s="193">
        <v>80</v>
      </c>
      <c r="F5" s="193">
        <v>350</v>
      </c>
      <c r="G5" s="193">
        <v>80</v>
      </c>
    </row>
    <row r="6">
      <c r="A6" s="75" t="s">
        <v>340</v>
      </c>
      <c r="B6" s="75" t="s">
        <v>1268</v>
      </c>
      <c r="C6" s="270" t="s">
        <v>1253</v>
      </c>
      <c r="D6" s="193">
        <v>387659</v>
      </c>
      <c r="E6" s="193">
        <v>760545</v>
      </c>
      <c r="F6" s="193">
        <v>387659</v>
      </c>
      <c r="G6" s="193">
        <v>760545</v>
      </c>
    </row>
    <row r="7">
      <c r="A7" s="75" t="s">
        <v>629</v>
      </c>
      <c r="B7" s="75" t="s">
        <v>150</v>
      </c>
      <c r="C7" s="270" t="s">
        <v>1347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921</v>
      </c>
      <c r="B8" s="75" t="s">
        <v>1200</v>
      </c>
      <c r="C8" s="270" t="s">
        <v>891</v>
      </c>
      <c r="D8" s="193">
        <v>5481</v>
      </c>
      <c r="E8" s="193">
        <v>2020</v>
      </c>
      <c r="F8" s="193">
        <v>5481</v>
      </c>
      <c r="G8" s="193">
        <v>2020</v>
      </c>
    </row>
    <row r="9">
      <c r="A9" s="75" t="s">
        <v>346</v>
      </c>
      <c r="B9" s="75" t="s">
        <v>385</v>
      </c>
      <c r="C9" s="270" t="s">
        <v>1194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22</v>
      </c>
      <c r="B10" s="75" t="s">
        <v>84</v>
      </c>
      <c r="C10" s="270" t="s">
        <v>739</v>
      </c>
      <c r="D10" s="193">
        <v>48952</v>
      </c>
      <c r="E10" s="193">
        <v>193014</v>
      </c>
      <c r="F10" s="193">
        <v>48952</v>
      </c>
      <c r="G10" s="193">
        <v>193014</v>
      </c>
    </row>
    <row r="11">
      <c r="A11" s="75" t="s">
        <v>622</v>
      </c>
      <c r="B11" s="75" t="s">
        <v>1354</v>
      </c>
      <c r="C11" s="270" t="s">
        <v>464</v>
      </c>
      <c r="D11" s="193">
        <v>476085</v>
      </c>
      <c r="E11" s="193">
        <v>907988</v>
      </c>
      <c r="F11" s="193">
        <v>476085</v>
      </c>
      <c r="G11" s="193">
        <v>907988</v>
      </c>
    </row>
    <row r="12">
      <c r="A12" s="75" t="s">
        <v>121</v>
      </c>
      <c r="B12" s="75" t="s">
        <v>775</v>
      </c>
      <c r="C12" s="270" t="s">
        <v>218</v>
      </c>
      <c r="D12" s="193">
        <v>3859</v>
      </c>
      <c r="E12" s="193">
        <v>0</v>
      </c>
      <c r="F12" s="193">
        <v>3859</v>
      </c>
      <c r="G12" s="193">
        <v>0</v>
      </c>
    </row>
    <row r="13">
      <c r="A13" s="75" t="s">
        <v>441</v>
      </c>
      <c r="B13" s="75" t="s">
        <v>382</v>
      </c>
      <c r="C13" s="270" t="s">
        <v>58</v>
      </c>
      <c r="D13" s="193">
        <v>198365</v>
      </c>
      <c r="E13" s="193">
        <v>338367</v>
      </c>
      <c r="F13" s="193">
        <v>198365</v>
      </c>
      <c r="G13" s="193">
        <v>338367</v>
      </c>
    </row>
    <row r="14">
      <c r="A14" s="75" t="s">
        <v>1338</v>
      </c>
      <c r="B14" s="75" t="s">
        <v>1057</v>
      </c>
      <c r="C14" s="270" t="s">
        <v>72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15</v>
      </c>
      <c r="B15" s="75" t="s">
        <v>688</v>
      </c>
      <c r="C15" s="270" t="s">
        <v>387</v>
      </c>
      <c r="D15" s="193">
        <v>134551</v>
      </c>
      <c r="E15" s="193">
        <v>231499</v>
      </c>
      <c r="F15" s="193">
        <v>134551</v>
      </c>
      <c r="G15" s="193">
        <v>231499</v>
      </c>
    </row>
    <row r="16">
      <c r="A16" s="75" t="s">
        <v>1213</v>
      </c>
      <c r="B16" s="75" t="s">
        <v>9</v>
      </c>
      <c r="C16" s="270" t="s">
        <v>12</v>
      </c>
      <c r="D16" s="193">
        <v>119119</v>
      </c>
      <c r="E16" s="193">
        <v>288056</v>
      </c>
      <c r="F16" s="193">
        <v>119119</v>
      </c>
      <c r="G16" s="193">
        <v>288056</v>
      </c>
    </row>
    <row r="17">
      <c r="A17" s="75" t="s">
        <v>1262</v>
      </c>
      <c r="B17" s="75" t="s">
        <v>303</v>
      </c>
      <c r="C17" s="270" t="s">
        <v>584</v>
      </c>
      <c r="D17" s="193">
        <v>85533</v>
      </c>
      <c r="E17" s="193">
        <v>203664</v>
      </c>
      <c r="F17" s="193">
        <v>85533</v>
      </c>
      <c r="G17" s="193">
        <v>203664</v>
      </c>
    </row>
    <row r="18">
      <c r="A18" s="75" t="s">
        <v>536</v>
      </c>
      <c r="B18" s="75" t="s">
        <v>21</v>
      </c>
      <c r="C18" s="270" t="s">
        <v>748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1042</v>
      </c>
      <c r="B19" s="75" t="s">
        <v>911</v>
      </c>
      <c r="C19" s="270" t="s">
        <v>221</v>
      </c>
      <c r="D19" s="193">
        <v>29775</v>
      </c>
      <c r="E19" s="193">
        <v>77763</v>
      </c>
      <c r="F19" s="193">
        <v>29775</v>
      </c>
      <c r="G19" s="193">
        <v>77763</v>
      </c>
    </row>
    <row r="20">
      <c r="A20" s="75" t="s">
        <v>272</v>
      </c>
      <c r="B20" s="75" t="s">
        <v>1357</v>
      </c>
      <c r="C20" s="270" t="s">
        <v>1191</v>
      </c>
      <c r="D20" s="193">
        <v>3811</v>
      </c>
      <c r="E20" s="193">
        <v>6629</v>
      </c>
      <c r="F20" s="193">
        <v>3811</v>
      </c>
      <c r="G20" s="193">
        <v>6629</v>
      </c>
    </row>
    <row r="21">
      <c r="A21" s="75" t="s">
        <v>399</v>
      </c>
      <c r="B21" s="75" t="s">
        <v>142</v>
      </c>
      <c r="C21" s="270" t="s">
        <v>583</v>
      </c>
      <c r="D21" s="193">
        <v>7541</v>
      </c>
      <c r="E21" s="193">
        <v>8505</v>
      </c>
      <c r="F21" s="193">
        <v>7541</v>
      </c>
      <c r="G21" s="193">
        <v>8505</v>
      </c>
    </row>
    <row r="22">
      <c r="A22" s="75" t="s">
        <v>278</v>
      </c>
      <c r="B22" s="75" t="s">
        <v>1237</v>
      </c>
      <c r="C22" s="270" t="s">
        <v>3</v>
      </c>
      <c r="D22" s="193">
        <v>16348</v>
      </c>
      <c r="E22" s="193">
        <v>13819</v>
      </c>
      <c r="F22" s="193">
        <v>16348</v>
      </c>
      <c r="G22" s="193">
        <v>13819</v>
      </c>
    </row>
    <row r="23">
      <c r="A23" s="75" t="s">
        <v>1157</v>
      </c>
      <c r="B23" s="75" t="s">
        <v>132</v>
      </c>
      <c r="C23" s="270" t="s">
        <v>225</v>
      </c>
      <c r="D23" s="193">
        <v>16348</v>
      </c>
      <c r="E23" s="193">
        <v>13819</v>
      </c>
      <c r="F23" s="193">
        <v>16348</v>
      </c>
      <c r="G23" s="193">
        <v>13819</v>
      </c>
    </row>
    <row r="24">
      <c r="A24" s="75" t="s">
        <v>536</v>
      </c>
      <c r="B24" s="75" t="s">
        <v>820</v>
      </c>
      <c r="C24" s="270" t="s">
        <v>779</v>
      </c>
      <c r="D24" s="178">
        <v>0</v>
      </c>
      <c r="E24" s="193">
        <v>0</v>
      </c>
      <c r="F24" s="178">
        <v>0</v>
      </c>
      <c r="G24" s="193">
        <v>0</v>
      </c>
    </row>
    <row r="25">
      <c r="A25" s="75" t="s">
        <v>800</v>
      </c>
      <c r="B25" s="75" t="s">
        <v>486</v>
      </c>
      <c r="C25" s="270" t="s">
        <v>1307</v>
      </c>
      <c r="D25" s="178">
        <v>0</v>
      </c>
      <c r="E25" s="193">
        <v>0</v>
      </c>
      <c r="F25" s="178">
        <v>0</v>
      </c>
      <c r="G25" s="193">
        <v>0</v>
      </c>
    </row>
    <row r="26">
      <c r="A26" s="75" t="s">
        <v>706</v>
      </c>
      <c r="B26" s="75" t="s">
        <v>723</v>
      </c>
      <c r="C26" s="270" t="s">
        <v>534</v>
      </c>
      <c r="D26" s="193">
        <v>-20326</v>
      </c>
      <c r="E26" s="193">
        <v>0</v>
      </c>
      <c r="F26" s="193">
        <v>-20326</v>
      </c>
      <c r="G26" s="193">
        <v>0</v>
      </c>
    </row>
    <row r="27">
      <c r="A27" s="75" t="s">
        <v>1260</v>
      </c>
      <c r="B27" s="75" t="s">
        <v>508</v>
      </c>
      <c r="C27" s="270" t="s">
        <v>828</v>
      </c>
      <c r="D27" s="193">
        <v>16628</v>
      </c>
      <c r="E27" s="193">
        <v>27742</v>
      </c>
      <c r="F27" s="193">
        <v>16628</v>
      </c>
      <c r="G27" s="193">
        <v>27742</v>
      </c>
    </row>
    <row r="28">
      <c r="A28" s="75" t="s">
        <v>1332</v>
      </c>
      <c r="B28" s="75" t="s">
        <v>941</v>
      </c>
      <c r="C28" s="270" t="s">
        <v>1181</v>
      </c>
      <c r="D28" s="193">
        <v>-32644</v>
      </c>
      <c r="E28" s="193">
        <v>56634</v>
      </c>
      <c r="F28" s="193">
        <v>-32644</v>
      </c>
      <c r="G28" s="193">
        <v>56634</v>
      </c>
    </row>
    <row r="29">
      <c r="A29" s="75" t="s">
        <v>1230</v>
      </c>
      <c r="B29" s="75" t="s">
        <v>296</v>
      </c>
      <c r="C29" s="270" t="s">
        <v>240</v>
      </c>
      <c r="D29" s="193">
        <v>57714</v>
      </c>
      <c r="E29" s="193">
        <v>201742</v>
      </c>
      <c r="F29" s="193">
        <v>57714</v>
      </c>
      <c r="G29" s="193">
        <v>201742</v>
      </c>
    </row>
    <row r="30">
      <c r="A30" s="75" t="s">
        <v>622</v>
      </c>
      <c r="B30" s="75" t="s">
        <v>1382</v>
      </c>
      <c r="C30" s="270" t="s">
        <v>760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525</v>
      </c>
      <c r="B31" s="75" t="s">
        <v>59</v>
      </c>
      <c r="C31" s="270" t="s">
        <v>1365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858</v>
      </c>
      <c r="B32" s="75" t="s">
        <v>545</v>
      </c>
      <c r="C32" s="270" t="s">
        <v>701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433</v>
      </c>
      <c r="B33" s="75" t="s">
        <v>31</v>
      </c>
      <c r="C33" s="270" t="s">
        <v>269</v>
      </c>
      <c r="D33" s="178">
        <v>0</v>
      </c>
      <c r="E33" s="193">
        <v>0</v>
      </c>
      <c r="F33" s="178">
        <v>0</v>
      </c>
      <c r="G33" s="193">
        <v>0</v>
      </c>
    </row>
    <row r="34">
      <c r="A34" s="75" t="s">
        <v>536</v>
      </c>
      <c r="B34" s="75" t="s">
        <v>148</v>
      </c>
      <c r="C34" s="270" t="s">
        <v>606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1042</v>
      </c>
      <c r="B35" s="75" t="s">
        <v>979</v>
      </c>
      <c r="C35" s="270" t="s">
        <v>920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1116</v>
      </c>
      <c r="B36" s="75" t="s">
        <v>273</v>
      </c>
      <c r="C36" s="270" t="s">
        <v>522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1124</v>
      </c>
      <c r="B37" s="75" t="s">
        <v>324</v>
      </c>
      <c r="C37" s="270" t="s">
        <v>1158</v>
      </c>
      <c r="D37" s="178">
        <v>0</v>
      </c>
      <c r="E37" s="193">
        <v>0</v>
      </c>
      <c r="F37" s="178">
        <v>0</v>
      </c>
      <c r="G37" s="193">
        <v>0</v>
      </c>
    </row>
    <row r="38">
      <c r="A38" s="75" t="s">
        <v>536</v>
      </c>
      <c r="B38" s="75" t="s">
        <v>56</v>
      </c>
      <c r="C38" s="270" t="s">
        <v>1169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1042</v>
      </c>
      <c r="B39" s="75" t="s">
        <v>1041</v>
      </c>
      <c r="C39" s="270" t="s">
        <v>1044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1014</v>
      </c>
      <c r="B40" s="75" t="s">
        <v>1070</v>
      </c>
      <c r="C40" s="270" t="s">
        <v>463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638</v>
      </c>
      <c r="B41" s="75" t="s">
        <v>461</v>
      </c>
      <c r="C41" s="270" t="s">
        <v>347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536</v>
      </c>
      <c r="B42" s="75" t="s">
        <v>216</v>
      </c>
      <c r="C42" s="270" t="s">
        <v>1160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910</v>
      </c>
      <c r="B43" s="75" t="s">
        <v>1025</v>
      </c>
      <c r="C43" s="270" t="s">
        <v>113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1368</v>
      </c>
      <c r="B44" s="75" t="s">
        <v>405</v>
      </c>
      <c r="C44" s="270" t="s">
        <v>753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538</v>
      </c>
      <c r="B45" s="75" t="s">
        <v>173</v>
      </c>
      <c r="C45" s="270" t="s">
        <v>839</v>
      </c>
      <c r="D45" s="178">
        <v>0</v>
      </c>
      <c r="E45" s="193">
        <v>0</v>
      </c>
      <c r="F45" s="178">
        <v>0</v>
      </c>
      <c r="G45" s="193">
        <v>0</v>
      </c>
    </row>
    <row r="46">
      <c r="A46" s="75" t="s">
        <v>622</v>
      </c>
      <c r="B46" s="75" t="s">
        <v>421</v>
      </c>
      <c r="C46" s="270" t="s">
        <v>1026</v>
      </c>
      <c r="D46" s="193">
        <v>5658</v>
      </c>
      <c r="E46" s="193">
        <v>6397</v>
      </c>
      <c r="F46" s="193">
        <v>5658</v>
      </c>
      <c r="G46" s="193">
        <v>6397</v>
      </c>
    </row>
    <row r="47">
      <c r="A47" s="75" t="s">
        <v>871</v>
      </c>
      <c r="B47" s="75" t="s">
        <v>1206</v>
      </c>
      <c r="C47" s="270" t="s">
        <v>1227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305</v>
      </c>
      <c r="B48" s="75" t="s">
        <v>544</v>
      </c>
      <c r="C48" s="270" t="s">
        <v>375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1151</v>
      </c>
      <c r="B49" s="75" t="s">
        <v>598</v>
      </c>
      <c r="C49" s="270" t="s">
        <v>1218</v>
      </c>
      <c r="D49" s="178">
        <v>0</v>
      </c>
      <c r="E49" s="193">
        <v>0</v>
      </c>
      <c r="F49" s="178">
        <v>0</v>
      </c>
      <c r="G49" s="193">
        <v>0</v>
      </c>
    </row>
    <row r="50">
      <c r="A50" s="75" t="s">
        <v>804</v>
      </c>
      <c r="B50" s="75" t="s">
        <v>432</v>
      </c>
      <c r="C50" s="270" t="s">
        <v>270</v>
      </c>
      <c r="D50" s="193">
        <v>1541</v>
      </c>
      <c r="E50" s="193">
        <v>913</v>
      </c>
      <c r="F50" s="193">
        <v>1541</v>
      </c>
      <c r="G50" s="193">
        <v>913</v>
      </c>
    </row>
    <row r="51">
      <c r="A51" s="75" t="s">
        <v>299</v>
      </c>
      <c r="B51" s="75" t="s">
        <v>159</v>
      </c>
      <c r="C51" s="270" t="s">
        <v>97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536</v>
      </c>
      <c r="B52" s="75" t="s">
        <v>851</v>
      </c>
      <c r="C52" s="270" t="s">
        <v>1007</v>
      </c>
      <c r="D52" s="193">
        <v>1541</v>
      </c>
      <c r="E52" s="193">
        <v>913</v>
      </c>
      <c r="F52" s="193">
        <v>1541</v>
      </c>
      <c r="G52" s="193">
        <v>913</v>
      </c>
    </row>
    <row r="53">
      <c r="A53" s="75" t="s">
        <v>1136</v>
      </c>
      <c r="B53" s="75" t="s">
        <v>17</v>
      </c>
      <c r="C53" s="270" t="s">
        <v>1123</v>
      </c>
      <c r="D53" s="178">
        <v>0</v>
      </c>
      <c r="E53" s="193">
        <v>0</v>
      </c>
      <c r="F53" s="178">
        <v>0</v>
      </c>
      <c r="G53" s="193">
        <v>0</v>
      </c>
    </row>
    <row r="54">
      <c r="A54" s="75" t="s">
        <v>367</v>
      </c>
      <c r="B54" s="75" t="s">
        <v>917</v>
      </c>
      <c r="C54" s="270" t="s">
        <v>889</v>
      </c>
      <c r="D54" s="178">
        <v>0</v>
      </c>
      <c r="E54" s="193">
        <v>0</v>
      </c>
      <c r="F54" s="178">
        <v>0</v>
      </c>
      <c r="G54" s="193">
        <v>0</v>
      </c>
    </row>
    <row r="55">
      <c r="A55" s="75" t="s">
        <v>725</v>
      </c>
      <c r="B55" s="75" t="s">
        <v>242</v>
      </c>
      <c r="C55" s="270" t="s">
        <v>691</v>
      </c>
      <c r="D55" s="193">
        <v>4117</v>
      </c>
      <c r="E55" s="193">
        <v>5484</v>
      </c>
      <c r="F55" s="193">
        <v>4117</v>
      </c>
      <c r="G55" s="193">
        <v>5484</v>
      </c>
    </row>
    <row r="56">
      <c r="A56" s="75" t="s">
        <v>1332</v>
      </c>
      <c r="B56" s="75" t="s">
        <v>326</v>
      </c>
      <c r="C56" s="270" t="s">
        <v>647</v>
      </c>
      <c r="D56" s="193">
        <v>-5658</v>
      </c>
      <c r="E56" s="193">
        <v>-6397</v>
      </c>
      <c r="F56" s="193">
        <v>-5658</v>
      </c>
      <c r="G56" s="193">
        <v>-6397</v>
      </c>
    </row>
    <row r="57">
      <c r="A57" s="75" t="s">
        <v>7</v>
      </c>
      <c r="B57" s="75" t="s">
        <v>604</v>
      </c>
      <c r="C57" s="270" t="s">
        <v>566</v>
      </c>
      <c r="D57" s="193">
        <v>-38302</v>
      </c>
      <c r="E57" s="193">
        <v>50237</v>
      </c>
      <c r="F57" s="193">
        <v>-38302</v>
      </c>
      <c r="G57" s="193">
        <v>50237</v>
      </c>
    </row>
    <row r="58">
      <c r="A58" s="75" t="s">
        <v>426</v>
      </c>
      <c r="B58" s="75" t="s">
        <v>116</v>
      </c>
      <c r="C58" s="270" t="s">
        <v>1073</v>
      </c>
      <c r="D58" s="178">
        <v>0</v>
      </c>
      <c r="E58" s="193">
        <v>10550</v>
      </c>
      <c r="F58" s="178">
        <v>0</v>
      </c>
      <c r="G58" s="193">
        <v>10550</v>
      </c>
    </row>
    <row r="59">
      <c r="A59" s="75" t="s">
        <v>969</v>
      </c>
      <c r="B59" s="75" t="s">
        <v>1006</v>
      </c>
      <c r="C59" s="270" t="s">
        <v>827</v>
      </c>
      <c r="D59" s="178">
        <v>0</v>
      </c>
      <c r="E59" s="193">
        <v>10550</v>
      </c>
      <c r="F59" s="178">
        <v>0</v>
      </c>
      <c r="G59" s="193">
        <v>10550</v>
      </c>
    </row>
    <row r="60">
      <c r="A60" s="75" t="s">
        <v>536</v>
      </c>
      <c r="B60" s="75" t="s">
        <v>591</v>
      </c>
      <c r="C60" s="270" t="s">
        <v>1039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1185</v>
      </c>
      <c r="B61" s="75" t="s">
        <v>1386</v>
      </c>
      <c r="C61" s="270" t="s">
        <v>517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7</v>
      </c>
      <c r="B62" s="75" t="s">
        <v>790</v>
      </c>
      <c r="C62" s="270" t="s">
        <v>1390</v>
      </c>
      <c r="D62" s="193">
        <v>-38302</v>
      </c>
      <c r="E62" s="193">
        <v>39687</v>
      </c>
      <c r="F62" s="193">
        <v>-38302</v>
      </c>
      <c r="G62" s="193">
        <v>39687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49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199" customWidth="1"/>
    <col min="2" max="2" width="63.5546875" style="199" customWidth="1"/>
    <col min="3" max="3" width="4.44140625" style="162" customWidth="1"/>
    <col min="4" max="11" width="15.33203125" style="6" customWidth="1"/>
    <col min="12" max="16384" width="9.109375" style="124"/>
  </cols>
  <sheetData>
    <row r="1">
      <c r="A1" s="11" t="s">
        <v>1388</v>
      </c>
      <c r="B1" s="11" t="s">
        <v>1203</v>
      </c>
      <c r="C1" s="55" t="s">
        <v>62</v>
      </c>
      <c r="D1" s="173" t="s">
        <v>626</v>
      </c>
      <c r="E1" s="173" t="s">
        <v>310</v>
      </c>
      <c r="F1" s="173" t="s">
        <v>1231</v>
      </c>
      <c r="G1" s="173" t="s">
        <v>605</v>
      </c>
      <c r="H1" s="173" t="s">
        <v>794</v>
      </c>
      <c r="I1" s="173" t="s">
        <v>275</v>
      </c>
      <c r="J1" s="173" t="s">
        <v>1063</v>
      </c>
      <c r="K1" s="173" t="s">
        <v>556</v>
      </c>
    </row>
    <row r="2">
      <c r="A2" s="113" t="s">
        <v>855</v>
      </c>
      <c r="B2" s="113" t="s">
        <v>206</v>
      </c>
      <c r="C2" s="240" t="s">
        <v>292</v>
      </c>
      <c r="D2" s="158">
        <v>568042</v>
      </c>
      <c r="E2" s="158">
        <v>259022</v>
      </c>
      <c r="F2" s="158">
        <v>309020</v>
      </c>
      <c r="G2" s="158">
        <v>285205</v>
      </c>
      <c r="H2" s="158">
        <v>568042</v>
      </c>
      <c r="I2" s="158">
        <v>259022</v>
      </c>
      <c r="J2" s="158">
        <v>309020</v>
      </c>
      <c r="K2" s="158">
        <v>285205</v>
      </c>
    </row>
    <row r="3">
      <c r="A3" s="113" t="s">
        <v>121</v>
      </c>
      <c r="B3" s="113" t="s">
        <v>731</v>
      </c>
      <c r="C3" s="240" t="s">
        <v>987</v>
      </c>
      <c r="D3" s="158">
        <v>512334</v>
      </c>
      <c r="E3" s="158">
        <v>259022</v>
      </c>
      <c r="F3" s="158">
        <v>253312</v>
      </c>
      <c r="G3" s="158">
        <v>254503</v>
      </c>
      <c r="H3" s="158">
        <v>512334</v>
      </c>
      <c r="I3" s="158">
        <v>259022</v>
      </c>
      <c r="J3" s="158">
        <v>253312</v>
      </c>
      <c r="K3" s="158">
        <v>254503</v>
      </c>
    </row>
    <row r="4">
      <c r="A4" s="113" t="s">
        <v>38</v>
      </c>
      <c r="B4" s="113" t="s">
        <v>358</v>
      </c>
      <c r="C4" s="240" t="s">
        <v>373</v>
      </c>
      <c r="D4" s="158">
        <v>7958</v>
      </c>
      <c r="E4" s="158">
        <v>7958</v>
      </c>
      <c r="F4" s="158">
        <v>0</v>
      </c>
      <c r="G4" s="158">
        <v>0</v>
      </c>
      <c r="H4" s="158">
        <v>7958</v>
      </c>
      <c r="I4" s="158">
        <v>7958</v>
      </c>
      <c r="J4" s="158">
        <v>0</v>
      </c>
      <c r="K4" s="158">
        <v>0</v>
      </c>
    </row>
    <row r="5">
      <c r="A5" s="113" t="s">
        <v>157</v>
      </c>
      <c r="B5" s="113" t="s">
        <v>838</v>
      </c>
      <c r="C5" s="240" t="s">
        <v>696</v>
      </c>
      <c r="D5" s="149">
        <v>0</v>
      </c>
      <c r="E5" s="149">
        <v>0</v>
      </c>
      <c r="F5" s="149">
        <v>0</v>
      </c>
      <c r="G5" s="158">
        <v>0</v>
      </c>
      <c r="H5" s="149">
        <v>0</v>
      </c>
      <c r="I5" s="149">
        <v>0</v>
      </c>
      <c r="J5" s="149">
        <v>0</v>
      </c>
      <c r="K5" s="158">
        <v>0</v>
      </c>
    </row>
    <row r="6">
      <c r="A6" s="113" t="s">
        <v>536</v>
      </c>
      <c r="B6" s="113" t="s">
        <v>578</v>
      </c>
      <c r="C6" s="240" t="s">
        <v>1146</v>
      </c>
      <c r="D6" s="158">
        <v>7958</v>
      </c>
      <c r="E6" s="158">
        <v>7958</v>
      </c>
      <c r="F6" s="158">
        <v>0</v>
      </c>
      <c r="G6" s="158">
        <v>0</v>
      </c>
      <c r="H6" s="158">
        <v>7958</v>
      </c>
      <c r="I6" s="158">
        <v>7958</v>
      </c>
      <c r="J6" s="158">
        <v>0</v>
      </c>
      <c r="K6" s="158">
        <v>0</v>
      </c>
    </row>
    <row r="7">
      <c r="A7" s="113" t="s">
        <v>1042</v>
      </c>
      <c r="B7" s="113" t="s">
        <v>1020</v>
      </c>
      <c r="C7" s="240" t="s">
        <v>852</v>
      </c>
      <c r="D7" s="149">
        <v>0</v>
      </c>
      <c r="E7" s="149">
        <v>0</v>
      </c>
      <c r="F7" s="149">
        <v>0</v>
      </c>
      <c r="G7" s="158">
        <v>0</v>
      </c>
      <c r="H7" s="149">
        <v>0</v>
      </c>
      <c r="I7" s="149">
        <v>0</v>
      </c>
      <c r="J7" s="149">
        <v>0</v>
      </c>
      <c r="K7" s="158">
        <v>0</v>
      </c>
    </row>
    <row r="8">
      <c r="A8" s="113" t="s">
        <v>272</v>
      </c>
      <c r="B8" s="113" t="s">
        <v>732</v>
      </c>
      <c r="C8" s="240" t="s">
        <v>580</v>
      </c>
      <c r="D8" s="149">
        <v>0</v>
      </c>
      <c r="E8" s="149">
        <v>0</v>
      </c>
      <c r="F8" s="149">
        <v>0</v>
      </c>
      <c r="G8" s="158">
        <v>0</v>
      </c>
      <c r="H8" s="149">
        <v>0</v>
      </c>
      <c r="I8" s="149">
        <v>0</v>
      </c>
      <c r="J8" s="149">
        <v>0</v>
      </c>
      <c r="K8" s="158">
        <v>0</v>
      </c>
    </row>
    <row r="9">
      <c r="A9" s="113" t="s">
        <v>552</v>
      </c>
      <c r="B9" s="113" t="s">
        <v>714</v>
      </c>
      <c r="C9" s="240" t="s">
        <v>245</v>
      </c>
      <c r="D9" s="149">
        <v>0</v>
      </c>
      <c r="E9" s="149">
        <v>0</v>
      </c>
      <c r="F9" s="149">
        <v>0</v>
      </c>
      <c r="G9" s="158">
        <v>0</v>
      </c>
      <c r="H9" s="149">
        <v>0</v>
      </c>
      <c r="I9" s="149">
        <v>0</v>
      </c>
      <c r="J9" s="149">
        <v>0</v>
      </c>
      <c r="K9" s="158">
        <v>0</v>
      </c>
    </row>
    <row r="10">
      <c r="A10" s="113" t="s">
        <v>408</v>
      </c>
      <c r="B10" s="113" t="s">
        <v>823</v>
      </c>
      <c r="C10" s="240" t="s">
        <v>1269</v>
      </c>
      <c r="D10" s="149">
        <v>0</v>
      </c>
      <c r="E10" s="149">
        <v>0</v>
      </c>
      <c r="F10" s="149">
        <v>0</v>
      </c>
      <c r="G10" s="158">
        <v>0</v>
      </c>
      <c r="H10" s="149">
        <v>0</v>
      </c>
      <c r="I10" s="149">
        <v>0</v>
      </c>
      <c r="J10" s="149">
        <v>0</v>
      </c>
      <c r="K10" s="158">
        <v>0</v>
      </c>
    </row>
    <row r="11">
      <c r="A11" s="113" t="s">
        <v>151</v>
      </c>
      <c r="B11" s="113" t="s">
        <v>849</v>
      </c>
      <c r="C11" s="240" t="s">
        <v>830</v>
      </c>
      <c r="D11" s="149">
        <v>0</v>
      </c>
      <c r="E11" s="149">
        <v>0</v>
      </c>
      <c r="F11" s="149">
        <v>0</v>
      </c>
      <c r="G11" s="158">
        <v>0</v>
      </c>
      <c r="H11" s="149">
        <v>0</v>
      </c>
      <c r="I11" s="149">
        <v>0</v>
      </c>
      <c r="J11" s="149">
        <v>0</v>
      </c>
      <c r="K11" s="158">
        <v>0</v>
      </c>
    </row>
    <row r="12">
      <c r="A12" s="113" t="s">
        <v>226</v>
      </c>
      <c r="B12" s="113" t="s">
        <v>228</v>
      </c>
      <c r="C12" s="240" t="s">
        <v>237</v>
      </c>
      <c r="D12" s="158">
        <v>504376</v>
      </c>
      <c r="E12" s="158">
        <v>251064</v>
      </c>
      <c r="F12" s="158">
        <v>253312</v>
      </c>
      <c r="G12" s="158">
        <v>254503</v>
      </c>
      <c r="H12" s="158">
        <v>504376</v>
      </c>
      <c r="I12" s="158">
        <v>251064</v>
      </c>
      <c r="J12" s="158">
        <v>253312</v>
      </c>
      <c r="K12" s="158">
        <v>254503</v>
      </c>
    </row>
    <row r="13">
      <c r="A13" s="113" t="s">
        <v>490</v>
      </c>
      <c r="B13" s="113" t="s">
        <v>975</v>
      </c>
      <c r="C13" s="240" t="s">
        <v>655</v>
      </c>
      <c r="D13" s="158">
        <v>30163</v>
      </c>
      <c r="E13" s="149">
        <v>0</v>
      </c>
      <c r="F13" s="158">
        <v>30163</v>
      </c>
      <c r="G13" s="158">
        <v>30163</v>
      </c>
      <c r="H13" s="158">
        <v>30163</v>
      </c>
      <c r="I13" s="149">
        <v>0</v>
      </c>
      <c r="J13" s="158">
        <v>30163</v>
      </c>
      <c r="K13" s="158">
        <v>30163</v>
      </c>
    </row>
    <row r="14">
      <c r="A14" s="113" t="s">
        <v>536</v>
      </c>
      <c r="B14" s="113" t="s">
        <v>211</v>
      </c>
      <c r="C14" s="240" t="s">
        <v>374</v>
      </c>
      <c r="D14" s="158">
        <v>252901</v>
      </c>
      <c r="E14" s="158">
        <v>125679</v>
      </c>
      <c r="F14" s="158">
        <v>127222</v>
      </c>
      <c r="G14" s="158">
        <v>135856</v>
      </c>
      <c r="H14" s="158">
        <v>252901</v>
      </c>
      <c r="I14" s="158">
        <v>125679</v>
      </c>
      <c r="J14" s="158">
        <v>127222</v>
      </c>
      <c r="K14" s="158">
        <v>135856</v>
      </c>
    </row>
    <row r="15">
      <c r="A15" s="113" t="s">
        <v>1042</v>
      </c>
      <c r="B15" s="113" t="s">
        <v>896</v>
      </c>
      <c r="C15" s="240" t="s">
        <v>1021</v>
      </c>
      <c r="D15" s="158">
        <v>161386</v>
      </c>
      <c r="E15" s="158">
        <v>119190</v>
      </c>
      <c r="F15" s="158">
        <v>42196</v>
      </c>
      <c r="G15" s="158">
        <v>34672</v>
      </c>
      <c r="H15" s="158">
        <v>161386</v>
      </c>
      <c r="I15" s="158">
        <v>119190</v>
      </c>
      <c r="J15" s="158">
        <v>42196</v>
      </c>
      <c r="K15" s="158">
        <v>34672</v>
      </c>
    </row>
    <row r="16">
      <c r="A16" s="113" t="s">
        <v>272</v>
      </c>
      <c r="B16" s="113" t="s">
        <v>4</v>
      </c>
      <c r="C16" s="240" t="s">
        <v>754</v>
      </c>
      <c r="D16" s="149">
        <v>0</v>
      </c>
      <c r="E16" s="149">
        <v>0</v>
      </c>
      <c r="F16" s="149">
        <v>0</v>
      </c>
      <c r="G16" s="158">
        <v>0</v>
      </c>
      <c r="H16" s="149">
        <v>0</v>
      </c>
      <c r="I16" s="149">
        <v>0</v>
      </c>
      <c r="J16" s="149">
        <v>0</v>
      </c>
      <c r="K16" s="158">
        <v>0</v>
      </c>
    </row>
    <row r="17">
      <c r="A17" s="113" t="s">
        <v>552</v>
      </c>
      <c r="B17" s="113" t="s">
        <v>659</v>
      </c>
      <c r="C17" s="240" t="s">
        <v>39</v>
      </c>
      <c r="D17" s="149">
        <v>0</v>
      </c>
      <c r="E17" s="149">
        <v>0</v>
      </c>
      <c r="F17" s="149">
        <v>0</v>
      </c>
      <c r="G17" s="158">
        <v>0</v>
      </c>
      <c r="H17" s="149">
        <v>0</v>
      </c>
      <c r="I17" s="149">
        <v>0</v>
      </c>
      <c r="J17" s="149">
        <v>0</v>
      </c>
      <c r="K17" s="158">
        <v>0</v>
      </c>
    </row>
    <row r="18">
      <c r="A18" s="113" t="s">
        <v>408</v>
      </c>
      <c r="B18" s="113" t="s">
        <v>641</v>
      </c>
      <c r="C18" s="240" t="s">
        <v>627</v>
      </c>
      <c r="D18" s="158">
        <v>6399</v>
      </c>
      <c r="E18" s="158">
        <v>6195</v>
      </c>
      <c r="F18" s="158">
        <v>204</v>
      </c>
      <c r="G18" s="158">
        <v>285</v>
      </c>
      <c r="H18" s="158">
        <v>6399</v>
      </c>
      <c r="I18" s="158">
        <v>6195</v>
      </c>
      <c r="J18" s="158">
        <v>204</v>
      </c>
      <c r="K18" s="158">
        <v>285</v>
      </c>
    </row>
    <row r="19">
      <c r="A19" s="113" t="s">
        <v>151</v>
      </c>
      <c r="B19" s="113" t="s">
        <v>400</v>
      </c>
      <c r="C19" s="240" t="s">
        <v>330</v>
      </c>
      <c r="D19" s="158">
        <v>53527</v>
      </c>
      <c r="E19" s="149">
        <v>0</v>
      </c>
      <c r="F19" s="158">
        <v>53527</v>
      </c>
      <c r="G19" s="158">
        <v>53527</v>
      </c>
      <c r="H19" s="158">
        <v>53527</v>
      </c>
      <c r="I19" s="149">
        <v>0</v>
      </c>
      <c r="J19" s="158">
        <v>53527</v>
      </c>
      <c r="K19" s="158">
        <v>53527</v>
      </c>
    </row>
    <row r="20">
      <c r="A20" s="113" t="s">
        <v>527</v>
      </c>
      <c r="B20" s="113" t="s">
        <v>1103</v>
      </c>
      <c r="C20" s="240" t="s">
        <v>866</v>
      </c>
      <c r="D20" s="149">
        <v>0</v>
      </c>
      <c r="E20" s="149">
        <v>0</v>
      </c>
      <c r="F20" s="149">
        <v>0</v>
      </c>
      <c r="G20" s="158">
        <v>0</v>
      </c>
      <c r="H20" s="149">
        <v>0</v>
      </c>
      <c r="I20" s="149">
        <v>0</v>
      </c>
      <c r="J20" s="149">
        <v>0</v>
      </c>
      <c r="K20" s="158">
        <v>0</v>
      </c>
    </row>
    <row r="21">
      <c r="A21" s="113" t="s">
        <v>280</v>
      </c>
      <c r="B21" s="113" t="s">
        <v>1143</v>
      </c>
      <c r="C21" s="240" t="s">
        <v>43</v>
      </c>
      <c r="D21" s="149">
        <v>0</v>
      </c>
      <c r="E21" s="149">
        <v>0</v>
      </c>
      <c r="F21" s="149">
        <v>0</v>
      </c>
      <c r="G21" s="158">
        <v>0</v>
      </c>
      <c r="H21" s="149">
        <v>0</v>
      </c>
      <c r="I21" s="149">
        <v>0</v>
      </c>
      <c r="J21" s="149">
        <v>0</v>
      </c>
      <c r="K21" s="158">
        <v>0</v>
      </c>
    </row>
    <row r="22">
      <c r="A22" s="113" t="s">
        <v>1273</v>
      </c>
      <c r="B22" s="113" t="s">
        <v>971</v>
      </c>
      <c r="C22" s="240" t="s">
        <v>1369</v>
      </c>
      <c r="D22" s="149">
        <v>0</v>
      </c>
      <c r="E22" s="149">
        <v>0</v>
      </c>
      <c r="F22" s="149">
        <v>0</v>
      </c>
      <c r="G22" s="158">
        <v>0</v>
      </c>
      <c r="H22" s="149">
        <v>0</v>
      </c>
      <c r="I22" s="149">
        <v>0</v>
      </c>
      <c r="J22" s="149">
        <v>0</v>
      </c>
      <c r="K22" s="158">
        <v>0</v>
      </c>
    </row>
    <row r="23">
      <c r="A23" s="113" t="s">
        <v>608</v>
      </c>
      <c r="B23" s="113" t="s">
        <v>107</v>
      </c>
      <c r="C23" s="240" t="s">
        <v>974</v>
      </c>
      <c r="D23" s="149">
        <v>0</v>
      </c>
      <c r="E23" s="149">
        <v>0</v>
      </c>
      <c r="F23" s="149">
        <v>0</v>
      </c>
      <c r="G23" s="158">
        <v>0</v>
      </c>
      <c r="H23" s="149">
        <v>0</v>
      </c>
      <c r="I23" s="149">
        <v>0</v>
      </c>
      <c r="J23" s="149">
        <v>0</v>
      </c>
      <c r="K23" s="158">
        <v>0</v>
      </c>
    </row>
    <row r="24">
      <c r="A24" s="113" t="s">
        <v>536</v>
      </c>
      <c r="B24" s="113" t="s">
        <v>548</v>
      </c>
      <c r="C24" s="240" t="s">
        <v>1310</v>
      </c>
      <c r="D24" s="149">
        <v>0</v>
      </c>
      <c r="E24" s="149">
        <v>0</v>
      </c>
      <c r="F24" s="149">
        <v>0</v>
      </c>
      <c r="G24" s="158">
        <v>0</v>
      </c>
      <c r="H24" s="149">
        <v>0</v>
      </c>
      <c r="I24" s="149">
        <v>0</v>
      </c>
      <c r="J24" s="149">
        <v>0</v>
      </c>
      <c r="K24" s="158">
        <v>0</v>
      </c>
    </row>
    <row r="25">
      <c r="A25" s="113" t="s">
        <v>1042</v>
      </c>
      <c r="B25" s="113" t="s">
        <v>98</v>
      </c>
      <c r="C25" s="240" t="s">
        <v>1195</v>
      </c>
      <c r="D25" s="149">
        <v>0</v>
      </c>
      <c r="E25" s="149">
        <v>0</v>
      </c>
      <c r="F25" s="149">
        <v>0</v>
      </c>
      <c r="G25" s="158">
        <v>0</v>
      </c>
      <c r="H25" s="149">
        <v>0</v>
      </c>
      <c r="I25" s="149">
        <v>0</v>
      </c>
      <c r="J25" s="149">
        <v>0</v>
      </c>
      <c r="K25" s="158">
        <v>0</v>
      </c>
    </row>
    <row r="26">
      <c r="A26" s="113" t="s">
        <v>272</v>
      </c>
      <c r="B26" s="113" t="s">
        <v>603</v>
      </c>
      <c r="C26" s="240" t="s">
        <v>1133</v>
      </c>
      <c r="D26" s="149">
        <v>0</v>
      </c>
      <c r="E26" s="149">
        <v>0</v>
      </c>
      <c r="F26" s="149">
        <v>0</v>
      </c>
      <c r="G26" s="158">
        <v>0</v>
      </c>
      <c r="H26" s="149">
        <v>0</v>
      </c>
      <c r="I26" s="149">
        <v>0</v>
      </c>
      <c r="J26" s="149">
        <v>0</v>
      </c>
      <c r="K26" s="158">
        <v>0</v>
      </c>
    </row>
    <row r="27">
      <c r="A27" s="113" t="s">
        <v>552</v>
      </c>
      <c r="B27" s="113" t="s">
        <v>1298</v>
      </c>
      <c r="C27" s="240" t="s">
        <v>579</v>
      </c>
      <c r="D27" s="149">
        <v>0</v>
      </c>
      <c r="E27" s="149">
        <v>0</v>
      </c>
      <c r="F27" s="149">
        <v>0</v>
      </c>
      <c r="G27" s="158">
        <v>0</v>
      </c>
      <c r="H27" s="149">
        <v>0</v>
      </c>
      <c r="I27" s="149">
        <v>0</v>
      </c>
      <c r="J27" s="149">
        <v>0</v>
      </c>
      <c r="K27" s="158">
        <v>0</v>
      </c>
    </row>
    <row r="28">
      <c r="A28" s="113" t="s">
        <v>408</v>
      </c>
      <c r="B28" s="113" t="s">
        <v>195</v>
      </c>
      <c r="C28" s="240" t="s">
        <v>1142</v>
      </c>
      <c r="D28" s="149">
        <v>0</v>
      </c>
      <c r="E28" s="149">
        <v>0</v>
      </c>
      <c r="F28" s="149">
        <v>0</v>
      </c>
      <c r="G28" s="158">
        <v>0</v>
      </c>
      <c r="H28" s="149">
        <v>0</v>
      </c>
      <c r="I28" s="149">
        <v>0</v>
      </c>
      <c r="J28" s="149">
        <v>0</v>
      </c>
      <c r="K28" s="158">
        <v>0</v>
      </c>
    </row>
    <row r="29">
      <c r="A29" s="113" t="s">
        <v>151</v>
      </c>
      <c r="B29" s="113" t="s">
        <v>1335</v>
      </c>
      <c r="C29" s="240" t="s">
        <v>592</v>
      </c>
      <c r="D29" s="149">
        <v>0</v>
      </c>
      <c r="E29" s="149">
        <v>0</v>
      </c>
      <c r="F29" s="149">
        <v>0</v>
      </c>
      <c r="G29" s="158">
        <v>0</v>
      </c>
      <c r="H29" s="149">
        <v>0</v>
      </c>
      <c r="I29" s="149">
        <v>0</v>
      </c>
      <c r="J29" s="149">
        <v>0</v>
      </c>
      <c r="K29" s="158">
        <v>0</v>
      </c>
    </row>
    <row r="30">
      <c r="A30" s="113" t="s">
        <v>527</v>
      </c>
      <c r="B30" s="113" t="s">
        <v>180</v>
      </c>
      <c r="C30" s="240" t="s">
        <v>1093</v>
      </c>
      <c r="D30" s="149">
        <v>0</v>
      </c>
      <c r="E30" s="149">
        <v>0</v>
      </c>
      <c r="F30" s="149">
        <v>0</v>
      </c>
      <c r="G30" s="158">
        <v>0</v>
      </c>
      <c r="H30" s="149">
        <v>0</v>
      </c>
      <c r="I30" s="149">
        <v>0</v>
      </c>
      <c r="J30" s="149">
        <v>0</v>
      </c>
      <c r="K30" s="158">
        <v>0</v>
      </c>
    </row>
    <row r="31">
      <c r="A31" s="113" t="s">
        <v>280</v>
      </c>
      <c r="B31" s="113" t="s">
        <v>759</v>
      </c>
      <c r="C31" s="240" t="s">
        <v>719</v>
      </c>
      <c r="D31" s="149">
        <v>0</v>
      </c>
      <c r="E31" s="149">
        <v>0</v>
      </c>
      <c r="F31" s="149">
        <v>0</v>
      </c>
      <c r="G31" s="158">
        <v>0</v>
      </c>
      <c r="H31" s="149">
        <v>0</v>
      </c>
      <c r="I31" s="149">
        <v>0</v>
      </c>
      <c r="J31" s="149">
        <v>0</v>
      </c>
      <c r="K31" s="158">
        <v>0</v>
      </c>
    </row>
    <row r="32">
      <c r="A32" s="113" t="s">
        <v>359</v>
      </c>
      <c r="B32" s="113" t="s">
        <v>1099</v>
      </c>
      <c r="C32" s="240" t="s">
        <v>845</v>
      </c>
      <c r="D32" s="149">
        <v>0</v>
      </c>
      <c r="E32" s="149">
        <v>0</v>
      </c>
      <c r="F32" s="149">
        <v>0</v>
      </c>
      <c r="G32" s="158">
        <v>0</v>
      </c>
      <c r="H32" s="149">
        <v>0</v>
      </c>
      <c r="I32" s="149">
        <v>0</v>
      </c>
      <c r="J32" s="149">
        <v>0</v>
      </c>
      <c r="K32" s="158">
        <v>0</v>
      </c>
    </row>
    <row r="33">
      <c r="A33" s="113" t="s">
        <v>1201</v>
      </c>
      <c r="B33" s="113" t="s">
        <v>1115</v>
      </c>
      <c r="C33" s="240" t="s">
        <v>972</v>
      </c>
      <c r="D33" s="149">
        <v>0</v>
      </c>
      <c r="E33" s="149">
        <v>0</v>
      </c>
      <c r="F33" s="149">
        <v>0</v>
      </c>
      <c r="G33" s="158">
        <v>0</v>
      </c>
      <c r="H33" s="149">
        <v>0</v>
      </c>
      <c r="I33" s="149">
        <v>0</v>
      </c>
      <c r="J33" s="149">
        <v>0</v>
      </c>
      <c r="K33" s="158">
        <v>0</v>
      </c>
    </row>
    <row r="34">
      <c r="A34" s="113" t="s">
        <v>441</v>
      </c>
      <c r="B34" s="113" t="s">
        <v>1257</v>
      </c>
      <c r="C34" s="240" t="s">
        <v>741</v>
      </c>
      <c r="D34" s="158">
        <v>54922</v>
      </c>
      <c r="E34" s="149">
        <v>0</v>
      </c>
      <c r="F34" s="158">
        <v>54922</v>
      </c>
      <c r="G34" s="158">
        <v>30351</v>
      </c>
      <c r="H34" s="158">
        <v>54922</v>
      </c>
      <c r="I34" s="149">
        <v>0</v>
      </c>
      <c r="J34" s="158">
        <v>54922</v>
      </c>
      <c r="K34" s="158">
        <v>30351</v>
      </c>
    </row>
    <row r="35">
      <c r="A35" s="113" t="s">
        <v>1296</v>
      </c>
      <c r="B35" s="113" t="s">
        <v>1174</v>
      </c>
      <c r="C35" s="240" t="s">
        <v>480</v>
      </c>
      <c r="D35" s="158">
        <v>26720</v>
      </c>
      <c r="E35" s="149">
        <v>0</v>
      </c>
      <c r="F35" s="158">
        <v>26720</v>
      </c>
      <c r="G35" s="158">
        <v>25120</v>
      </c>
      <c r="H35" s="158">
        <v>26720</v>
      </c>
      <c r="I35" s="149">
        <v>0</v>
      </c>
      <c r="J35" s="158">
        <v>26720</v>
      </c>
      <c r="K35" s="158">
        <v>25120</v>
      </c>
    </row>
    <row r="36">
      <c r="A36" s="113" t="s">
        <v>45</v>
      </c>
      <c r="B36" s="113" t="s">
        <v>734</v>
      </c>
      <c r="C36" s="240" t="s">
        <v>465</v>
      </c>
      <c r="D36" s="158">
        <v>18340</v>
      </c>
      <c r="E36" s="149">
        <v>0</v>
      </c>
      <c r="F36" s="158">
        <v>18340</v>
      </c>
      <c r="G36" s="158">
        <v>16420</v>
      </c>
      <c r="H36" s="158">
        <v>18340</v>
      </c>
      <c r="I36" s="149">
        <v>0</v>
      </c>
      <c r="J36" s="158">
        <v>18340</v>
      </c>
      <c r="K36" s="158">
        <v>16420</v>
      </c>
    </row>
    <row r="37">
      <c r="A37" s="113" t="s">
        <v>536</v>
      </c>
      <c r="B37" s="113" t="s">
        <v>1027</v>
      </c>
      <c r="C37" s="240" t="s">
        <v>435</v>
      </c>
      <c r="D37" s="149">
        <v>0</v>
      </c>
      <c r="E37" s="149">
        <v>0</v>
      </c>
      <c r="F37" s="149">
        <v>0</v>
      </c>
      <c r="G37" s="158">
        <v>0</v>
      </c>
      <c r="H37" s="149">
        <v>0</v>
      </c>
      <c r="I37" s="149">
        <v>0</v>
      </c>
      <c r="J37" s="149">
        <v>0</v>
      </c>
      <c r="K37" s="158">
        <v>0</v>
      </c>
    </row>
    <row r="38">
      <c r="A38" s="113" t="s">
        <v>1042</v>
      </c>
      <c r="B38" s="113" t="s">
        <v>390</v>
      </c>
      <c r="C38" s="240" t="s">
        <v>520</v>
      </c>
      <c r="D38" s="149">
        <v>0</v>
      </c>
      <c r="E38" s="149">
        <v>0</v>
      </c>
      <c r="F38" s="149">
        <v>0</v>
      </c>
      <c r="G38" s="158">
        <v>0</v>
      </c>
      <c r="H38" s="149">
        <v>0</v>
      </c>
      <c r="I38" s="149">
        <v>0</v>
      </c>
      <c r="J38" s="149">
        <v>0</v>
      </c>
      <c r="K38" s="158">
        <v>0</v>
      </c>
    </row>
    <row r="39">
      <c r="A39" s="113" t="s">
        <v>272</v>
      </c>
      <c r="B39" s="113" t="s">
        <v>945</v>
      </c>
      <c r="C39" s="240" t="s">
        <v>93</v>
      </c>
      <c r="D39" s="158">
        <v>8380</v>
      </c>
      <c r="E39" s="149">
        <v>0</v>
      </c>
      <c r="F39" s="158">
        <v>8380</v>
      </c>
      <c r="G39" s="158">
        <v>8700</v>
      </c>
      <c r="H39" s="158">
        <v>8380</v>
      </c>
      <c r="I39" s="149">
        <v>0</v>
      </c>
      <c r="J39" s="158">
        <v>8380</v>
      </c>
      <c r="K39" s="158">
        <v>8700</v>
      </c>
    </row>
    <row r="40">
      <c r="A40" s="113" t="s">
        <v>552</v>
      </c>
      <c r="B40" s="113" t="s">
        <v>773</v>
      </c>
      <c r="C40" s="240" t="s">
        <v>543</v>
      </c>
      <c r="D40" s="149">
        <v>0</v>
      </c>
      <c r="E40" s="149">
        <v>0</v>
      </c>
      <c r="F40" s="149">
        <v>0</v>
      </c>
      <c r="G40" s="158">
        <v>0</v>
      </c>
      <c r="H40" s="149">
        <v>0</v>
      </c>
      <c r="I40" s="149">
        <v>0</v>
      </c>
      <c r="J40" s="149">
        <v>0</v>
      </c>
      <c r="K40" s="158">
        <v>0</v>
      </c>
    </row>
    <row r="41">
      <c r="A41" s="113" t="s">
        <v>408</v>
      </c>
      <c r="B41" s="113" t="s">
        <v>350</v>
      </c>
      <c r="C41" s="240" t="s">
        <v>798</v>
      </c>
      <c r="D41" s="149">
        <v>0</v>
      </c>
      <c r="E41" s="149">
        <v>0</v>
      </c>
      <c r="F41" s="149">
        <v>0</v>
      </c>
      <c r="G41" s="158">
        <v>0</v>
      </c>
      <c r="H41" s="149">
        <v>0</v>
      </c>
      <c r="I41" s="149">
        <v>0</v>
      </c>
      <c r="J41" s="149">
        <v>0</v>
      </c>
      <c r="K41" s="158">
        <v>0</v>
      </c>
    </row>
    <row r="42">
      <c r="A42" s="113" t="s">
        <v>762</v>
      </c>
      <c r="B42" s="113" t="s">
        <v>103</v>
      </c>
      <c r="C42" s="240" t="s">
        <v>345</v>
      </c>
      <c r="D42" s="149">
        <v>0</v>
      </c>
      <c r="E42" s="149">
        <v>0</v>
      </c>
      <c r="F42" s="149">
        <v>0</v>
      </c>
      <c r="G42" s="158">
        <v>0</v>
      </c>
      <c r="H42" s="149">
        <v>0</v>
      </c>
      <c r="I42" s="149">
        <v>0</v>
      </c>
      <c r="J42" s="149">
        <v>0</v>
      </c>
      <c r="K42" s="158">
        <v>0</v>
      </c>
    </row>
    <row r="43">
      <c r="A43" s="113" t="s">
        <v>1000</v>
      </c>
      <c r="B43" s="113" t="s">
        <v>267</v>
      </c>
      <c r="C43" s="240" t="s">
        <v>743</v>
      </c>
      <c r="D43" s="149">
        <v>0</v>
      </c>
      <c r="E43" s="149">
        <v>0</v>
      </c>
      <c r="F43" s="149">
        <v>0</v>
      </c>
      <c r="G43" s="158">
        <v>0</v>
      </c>
      <c r="H43" s="149">
        <v>0</v>
      </c>
      <c r="I43" s="149">
        <v>0</v>
      </c>
      <c r="J43" s="149">
        <v>0</v>
      </c>
      <c r="K43" s="158">
        <v>0</v>
      </c>
    </row>
    <row r="44">
      <c r="A44" s="113" t="s">
        <v>897</v>
      </c>
      <c r="B44" s="113" t="s">
        <v>512</v>
      </c>
      <c r="C44" s="240" t="s">
        <v>1238</v>
      </c>
      <c r="D44" s="149">
        <v>0</v>
      </c>
      <c r="E44" s="149">
        <v>0</v>
      </c>
      <c r="F44" s="149">
        <v>0</v>
      </c>
      <c r="G44" s="158">
        <v>0</v>
      </c>
      <c r="H44" s="149">
        <v>0</v>
      </c>
      <c r="I44" s="149">
        <v>0</v>
      </c>
      <c r="J44" s="149">
        <v>0</v>
      </c>
      <c r="K44" s="158">
        <v>0</v>
      </c>
    </row>
    <row r="45">
      <c r="A45" s="113" t="s">
        <v>863</v>
      </c>
      <c r="B45" s="113" t="s">
        <v>788</v>
      </c>
      <c r="C45" s="240" t="s">
        <v>919</v>
      </c>
      <c r="D45" s="149">
        <v>0</v>
      </c>
      <c r="E45" s="149">
        <v>0</v>
      </c>
      <c r="F45" s="149">
        <v>0</v>
      </c>
      <c r="G45" s="158">
        <v>0</v>
      </c>
      <c r="H45" s="149">
        <v>0</v>
      </c>
      <c r="I45" s="149">
        <v>0</v>
      </c>
      <c r="J45" s="149">
        <v>0</v>
      </c>
      <c r="K45" s="158">
        <v>0</v>
      </c>
    </row>
    <row r="46">
      <c r="A46" s="113" t="s">
        <v>815</v>
      </c>
      <c r="B46" s="113" t="s">
        <v>250</v>
      </c>
      <c r="C46" s="240" t="s">
        <v>86</v>
      </c>
      <c r="D46" s="149">
        <v>0</v>
      </c>
      <c r="E46" s="149">
        <v>0</v>
      </c>
      <c r="F46" s="149">
        <v>0</v>
      </c>
      <c r="G46" s="158">
        <v>0</v>
      </c>
      <c r="H46" s="149">
        <v>0</v>
      </c>
      <c r="I46" s="149">
        <v>0</v>
      </c>
      <c r="J46" s="149">
        <v>0</v>
      </c>
      <c r="K46" s="158">
        <v>0</v>
      </c>
    </row>
    <row r="47">
      <c r="A47" s="113" t="s">
        <v>536</v>
      </c>
      <c r="B47" s="113" t="s">
        <v>922</v>
      </c>
      <c r="C47" s="240" t="s">
        <v>213</v>
      </c>
      <c r="D47" s="149">
        <v>0</v>
      </c>
      <c r="E47" s="149">
        <v>0</v>
      </c>
      <c r="F47" s="149">
        <v>0</v>
      </c>
      <c r="G47" s="158">
        <v>0</v>
      </c>
      <c r="H47" s="149">
        <v>0</v>
      </c>
      <c r="I47" s="149">
        <v>0</v>
      </c>
      <c r="J47" s="149">
        <v>0</v>
      </c>
      <c r="K47" s="158">
        <v>0</v>
      </c>
    </row>
    <row r="48">
      <c r="A48" s="113" t="s">
        <v>1042</v>
      </c>
      <c r="B48" s="113" t="s">
        <v>1119</v>
      </c>
      <c r="C48" s="240" t="s">
        <v>704</v>
      </c>
      <c r="D48" s="149">
        <v>0</v>
      </c>
      <c r="E48" s="149">
        <v>0</v>
      </c>
      <c r="F48" s="149">
        <v>0</v>
      </c>
      <c r="G48" s="158">
        <v>0</v>
      </c>
      <c r="H48" s="149">
        <v>0</v>
      </c>
      <c r="I48" s="149">
        <v>0</v>
      </c>
      <c r="J48" s="149">
        <v>0</v>
      </c>
      <c r="K48" s="158">
        <v>0</v>
      </c>
    </row>
    <row r="49">
      <c r="A49" s="113" t="s">
        <v>272</v>
      </c>
      <c r="B49" s="113" t="s">
        <v>182</v>
      </c>
      <c r="C49" s="240" t="s">
        <v>843</v>
      </c>
      <c r="D49" s="149">
        <v>0</v>
      </c>
      <c r="E49" s="149">
        <v>0</v>
      </c>
      <c r="F49" s="149">
        <v>0</v>
      </c>
      <c r="G49" s="158">
        <v>0</v>
      </c>
      <c r="H49" s="149">
        <v>0</v>
      </c>
      <c r="I49" s="149">
        <v>0</v>
      </c>
      <c r="J49" s="149">
        <v>0</v>
      </c>
      <c r="K49" s="158">
        <v>0</v>
      </c>
    </row>
    <row r="50">
      <c r="A50" s="113" t="s">
        <v>552</v>
      </c>
      <c r="B50" s="113" t="s">
        <v>185</v>
      </c>
      <c r="C50" s="240" t="s">
        <v>111</v>
      </c>
      <c r="D50" s="149">
        <v>0</v>
      </c>
      <c r="E50" s="149">
        <v>0</v>
      </c>
      <c r="F50" s="149">
        <v>0</v>
      </c>
      <c r="G50" s="158">
        <v>0</v>
      </c>
      <c r="H50" s="149">
        <v>0</v>
      </c>
      <c r="I50" s="149">
        <v>0</v>
      </c>
      <c r="J50" s="149">
        <v>0</v>
      </c>
      <c r="K50" s="158">
        <v>0</v>
      </c>
    </row>
    <row r="51">
      <c r="A51" s="113" t="s">
        <v>408</v>
      </c>
      <c r="B51" s="113" t="s">
        <v>255</v>
      </c>
      <c r="C51" s="240" t="s">
        <v>620</v>
      </c>
      <c r="D51" s="149">
        <v>0</v>
      </c>
      <c r="E51" s="149">
        <v>0</v>
      </c>
      <c r="F51" s="149">
        <v>0</v>
      </c>
      <c r="G51" s="158">
        <v>0</v>
      </c>
      <c r="H51" s="149">
        <v>0</v>
      </c>
      <c r="I51" s="149">
        <v>0</v>
      </c>
      <c r="J51" s="149">
        <v>0</v>
      </c>
      <c r="K51" s="158">
        <v>0</v>
      </c>
    </row>
    <row r="52">
      <c r="A52" s="113" t="s">
        <v>151</v>
      </c>
      <c r="B52" s="113" t="s">
        <v>1240</v>
      </c>
      <c r="C52" s="240" t="s">
        <v>117</v>
      </c>
      <c r="D52" s="149">
        <v>0</v>
      </c>
      <c r="E52" s="149">
        <v>0</v>
      </c>
      <c r="F52" s="149">
        <v>0</v>
      </c>
      <c r="G52" s="158">
        <v>0</v>
      </c>
      <c r="H52" s="149">
        <v>0</v>
      </c>
      <c r="I52" s="149">
        <v>0</v>
      </c>
      <c r="J52" s="149">
        <v>0</v>
      </c>
      <c r="K52" s="158">
        <v>0</v>
      </c>
    </row>
    <row r="53">
      <c r="A53" s="113" t="s">
        <v>527</v>
      </c>
      <c r="B53" s="113" t="s">
        <v>322</v>
      </c>
      <c r="C53" s="240" t="s">
        <v>32</v>
      </c>
      <c r="D53" s="149">
        <v>0</v>
      </c>
      <c r="E53" s="149">
        <v>0</v>
      </c>
      <c r="F53" s="149">
        <v>0</v>
      </c>
      <c r="G53" s="158">
        <v>0</v>
      </c>
      <c r="H53" s="149">
        <v>0</v>
      </c>
      <c r="I53" s="149">
        <v>0</v>
      </c>
      <c r="J53" s="149">
        <v>0</v>
      </c>
      <c r="K53" s="158">
        <v>0</v>
      </c>
    </row>
    <row r="54">
      <c r="A54" s="113" t="s">
        <v>710</v>
      </c>
      <c r="B54" s="113" t="s">
        <v>957</v>
      </c>
      <c r="C54" s="240" t="s">
        <v>682</v>
      </c>
      <c r="D54" s="158">
        <v>23455</v>
      </c>
      <c r="E54" s="149">
        <v>0</v>
      </c>
      <c r="F54" s="158">
        <v>23455</v>
      </c>
      <c r="G54" s="158">
        <v>-2823</v>
      </c>
      <c r="H54" s="158">
        <v>23455</v>
      </c>
      <c r="I54" s="149">
        <v>0</v>
      </c>
      <c r="J54" s="158">
        <v>23455</v>
      </c>
      <c r="K54" s="158">
        <v>-2823</v>
      </c>
    </row>
    <row r="55">
      <c r="A55" s="113" t="s">
        <v>942</v>
      </c>
      <c r="B55" s="113" t="s">
        <v>832</v>
      </c>
      <c r="C55" s="240" t="s">
        <v>666</v>
      </c>
      <c r="D55" s="158">
        <v>3583</v>
      </c>
      <c r="E55" s="149">
        <v>0</v>
      </c>
      <c r="F55" s="158">
        <v>3583</v>
      </c>
      <c r="G55" s="158">
        <v>-4867</v>
      </c>
      <c r="H55" s="158">
        <v>3583</v>
      </c>
      <c r="I55" s="149">
        <v>0</v>
      </c>
      <c r="J55" s="158">
        <v>3583</v>
      </c>
      <c r="K55" s="158">
        <v>-4867</v>
      </c>
    </row>
    <row r="56">
      <c r="A56" s="113" t="s">
        <v>897</v>
      </c>
      <c r="B56" s="113" t="s">
        <v>512</v>
      </c>
      <c r="C56" s="240" t="s">
        <v>1353</v>
      </c>
      <c r="D56" s="149">
        <v>0</v>
      </c>
      <c r="E56" s="149">
        <v>0</v>
      </c>
      <c r="F56" s="149">
        <v>0</v>
      </c>
      <c r="G56" s="158">
        <v>0</v>
      </c>
      <c r="H56" s="149">
        <v>0</v>
      </c>
      <c r="I56" s="149">
        <v>0</v>
      </c>
      <c r="J56" s="149">
        <v>0</v>
      </c>
      <c r="K56" s="158">
        <v>0</v>
      </c>
    </row>
    <row r="57">
      <c r="A57" s="113" t="s">
        <v>863</v>
      </c>
      <c r="B57" s="113" t="s">
        <v>788</v>
      </c>
      <c r="C57" s="240" t="s">
        <v>24</v>
      </c>
      <c r="D57" s="149">
        <v>0</v>
      </c>
      <c r="E57" s="149">
        <v>0</v>
      </c>
      <c r="F57" s="149">
        <v>0</v>
      </c>
      <c r="G57" s="158">
        <v>0</v>
      </c>
      <c r="H57" s="149">
        <v>0</v>
      </c>
      <c r="I57" s="149">
        <v>0</v>
      </c>
      <c r="J57" s="149">
        <v>0</v>
      </c>
      <c r="K57" s="158">
        <v>0</v>
      </c>
    </row>
    <row r="58">
      <c r="A58" s="113" t="s">
        <v>815</v>
      </c>
      <c r="B58" s="113" t="s">
        <v>250</v>
      </c>
      <c r="C58" s="240" t="s">
        <v>1343</v>
      </c>
      <c r="D58" s="158">
        <v>3583</v>
      </c>
      <c r="E58" s="149">
        <v>0</v>
      </c>
      <c r="F58" s="158">
        <v>3583</v>
      </c>
      <c r="G58" s="158">
        <v>-4867</v>
      </c>
      <c r="H58" s="158">
        <v>3583</v>
      </c>
      <c r="I58" s="149">
        <v>0</v>
      </c>
      <c r="J58" s="158">
        <v>3583</v>
      </c>
      <c r="K58" s="158">
        <v>-4867</v>
      </c>
    </row>
    <row r="59">
      <c r="A59" s="113" t="s">
        <v>536</v>
      </c>
      <c r="B59" s="113" t="s">
        <v>922</v>
      </c>
      <c r="C59" s="240" t="s">
        <v>860</v>
      </c>
      <c r="D59" s="149">
        <v>0</v>
      </c>
      <c r="E59" s="149">
        <v>0</v>
      </c>
      <c r="F59" s="149">
        <v>0</v>
      </c>
      <c r="G59" s="158">
        <v>0</v>
      </c>
      <c r="H59" s="149">
        <v>0</v>
      </c>
      <c r="I59" s="149">
        <v>0</v>
      </c>
      <c r="J59" s="149">
        <v>0</v>
      </c>
      <c r="K59" s="158">
        <v>0</v>
      </c>
    </row>
    <row r="60">
      <c r="A60" s="113" t="s">
        <v>1042</v>
      </c>
      <c r="B60" s="113" t="s">
        <v>1119</v>
      </c>
      <c r="C60" s="240" t="s">
        <v>281</v>
      </c>
      <c r="D60" s="149">
        <v>0</v>
      </c>
      <c r="E60" s="149">
        <v>0</v>
      </c>
      <c r="F60" s="149">
        <v>0</v>
      </c>
      <c r="G60" s="158">
        <v>0</v>
      </c>
      <c r="H60" s="149">
        <v>0</v>
      </c>
      <c r="I60" s="149">
        <v>0</v>
      </c>
      <c r="J60" s="149">
        <v>0</v>
      </c>
      <c r="K60" s="158">
        <v>0</v>
      </c>
    </row>
    <row r="61">
      <c r="A61" s="113" t="s">
        <v>272</v>
      </c>
      <c r="B61" s="113" t="s">
        <v>182</v>
      </c>
      <c r="C61" s="240" t="s">
        <v>1001</v>
      </c>
      <c r="D61" s="149">
        <v>0</v>
      </c>
      <c r="E61" s="149">
        <v>0</v>
      </c>
      <c r="F61" s="149">
        <v>0</v>
      </c>
      <c r="G61" s="158">
        <v>0</v>
      </c>
      <c r="H61" s="149">
        <v>0</v>
      </c>
      <c r="I61" s="149">
        <v>0</v>
      </c>
      <c r="J61" s="149">
        <v>0</v>
      </c>
      <c r="K61" s="158">
        <v>0</v>
      </c>
    </row>
    <row r="62">
      <c r="A62" s="113" t="s">
        <v>552</v>
      </c>
      <c r="B62" s="113" t="s">
        <v>1035</v>
      </c>
      <c r="C62" s="240" t="s">
        <v>985</v>
      </c>
      <c r="D62" s="149">
        <v>0</v>
      </c>
      <c r="E62" s="149">
        <v>0</v>
      </c>
      <c r="F62" s="149">
        <v>0</v>
      </c>
      <c r="G62" s="158">
        <v>0</v>
      </c>
      <c r="H62" s="149">
        <v>0</v>
      </c>
      <c r="I62" s="149">
        <v>0</v>
      </c>
      <c r="J62" s="149">
        <v>0</v>
      </c>
      <c r="K62" s="158">
        <v>0</v>
      </c>
    </row>
    <row r="63">
      <c r="A63" s="113" t="s">
        <v>408</v>
      </c>
      <c r="B63" s="113" t="s">
        <v>293</v>
      </c>
      <c r="C63" s="240" t="s">
        <v>64</v>
      </c>
      <c r="D63" s="158">
        <v>0</v>
      </c>
      <c r="E63" s="149">
        <v>0</v>
      </c>
      <c r="F63" s="158">
        <v>0</v>
      </c>
      <c r="G63" s="158">
        <v>0</v>
      </c>
      <c r="H63" s="158">
        <v>0</v>
      </c>
      <c r="I63" s="149">
        <v>0</v>
      </c>
      <c r="J63" s="158">
        <v>0</v>
      </c>
      <c r="K63" s="158">
        <v>0</v>
      </c>
    </row>
    <row r="64">
      <c r="A64" s="113" t="s">
        <v>151</v>
      </c>
      <c r="B64" s="113" t="s">
        <v>988</v>
      </c>
      <c r="C64" s="240" t="s">
        <v>679</v>
      </c>
      <c r="D64" s="158">
        <v>19872</v>
      </c>
      <c r="E64" s="149">
        <v>0</v>
      </c>
      <c r="F64" s="158">
        <v>19872</v>
      </c>
      <c r="G64" s="158">
        <v>2044</v>
      </c>
      <c r="H64" s="158">
        <v>19872</v>
      </c>
      <c r="I64" s="149">
        <v>0</v>
      </c>
      <c r="J64" s="158">
        <v>19872</v>
      </c>
      <c r="K64" s="158">
        <v>2044</v>
      </c>
    </row>
    <row r="65">
      <c r="A65" s="113" t="s">
        <v>527</v>
      </c>
      <c r="B65" s="113" t="s">
        <v>255</v>
      </c>
      <c r="C65" s="240" t="s">
        <v>219</v>
      </c>
      <c r="D65" s="149">
        <v>0</v>
      </c>
      <c r="E65" s="149">
        <v>0</v>
      </c>
      <c r="F65" s="149">
        <v>0</v>
      </c>
      <c r="G65" s="158">
        <v>0</v>
      </c>
      <c r="H65" s="149">
        <v>0</v>
      </c>
      <c r="I65" s="149">
        <v>0</v>
      </c>
      <c r="J65" s="149">
        <v>0</v>
      </c>
      <c r="K65" s="158">
        <v>0</v>
      </c>
    </row>
    <row r="66">
      <c r="A66" s="113" t="s">
        <v>280</v>
      </c>
      <c r="B66" s="113" t="s">
        <v>274</v>
      </c>
      <c r="C66" s="240" t="s">
        <v>986</v>
      </c>
      <c r="D66" s="158">
        <v>0</v>
      </c>
      <c r="E66" s="149">
        <v>0</v>
      </c>
      <c r="F66" s="158">
        <v>0</v>
      </c>
      <c r="G66" s="158">
        <v>0</v>
      </c>
      <c r="H66" s="158">
        <v>0</v>
      </c>
      <c r="I66" s="149">
        <v>0</v>
      </c>
      <c r="J66" s="158">
        <v>0</v>
      </c>
      <c r="K66" s="158">
        <v>0</v>
      </c>
    </row>
    <row r="67">
      <c r="A67" s="113" t="s">
        <v>371</v>
      </c>
      <c r="B67" s="113" t="s">
        <v>1297</v>
      </c>
      <c r="C67" s="240" t="s">
        <v>810</v>
      </c>
      <c r="D67" s="149">
        <v>0</v>
      </c>
      <c r="E67" s="149">
        <v>0</v>
      </c>
      <c r="F67" s="149">
        <v>0</v>
      </c>
      <c r="G67" s="158">
        <v>0</v>
      </c>
      <c r="H67" s="149">
        <v>0</v>
      </c>
      <c r="I67" s="149">
        <v>0</v>
      </c>
      <c r="J67" s="149">
        <v>0</v>
      </c>
      <c r="K67" s="158">
        <v>0</v>
      </c>
    </row>
    <row r="68">
      <c r="A68" s="113" t="s">
        <v>181</v>
      </c>
      <c r="B68" s="113" t="s">
        <v>515</v>
      </c>
      <c r="C68" s="240" t="s">
        <v>1362</v>
      </c>
      <c r="D68" s="149">
        <v>0</v>
      </c>
      <c r="E68" s="149">
        <v>0</v>
      </c>
      <c r="F68" s="149">
        <v>0</v>
      </c>
      <c r="G68" s="158">
        <v>0</v>
      </c>
      <c r="H68" s="149">
        <v>0</v>
      </c>
      <c r="I68" s="149">
        <v>0</v>
      </c>
      <c r="J68" s="149">
        <v>0</v>
      </c>
      <c r="K68" s="158">
        <v>0</v>
      </c>
    </row>
    <row r="69">
      <c r="A69" s="272" t="s">
        <v>536</v>
      </c>
      <c r="B69" s="272" t="s">
        <v>898</v>
      </c>
      <c r="C69" s="91" t="s">
        <v>813</v>
      </c>
      <c r="D69" s="220">
        <v>0</v>
      </c>
      <c r="E69" s="220">
        <v>0</v>
      </c>
      <c r="F69" s="220">
        <v>0</v>
      </c>
      <c r="G69" s="228">
        <v>0</v>
      </c>
      <c r="H69" s="220">
        <v>0</v>
      </c>
      <c r="I69" s="220">
        <v>0</v>
      </c>
      <c r="J69" s="220">
        <v>0</v>
      </c>
      <c r="K69" s="228">
        <v>0</v>
      </c>
    </row>
    <row r="70">
      <c r="A70" s="272" t="s">
        <v>1042</v>
      </c>
      <c r="B70" s="272" t="s">
        <v>747</v>
      </c>
      <c r="C70" s="91" t="s">
        <v>71</v>
      </c>
      <c r="D70" s="220">
        <v>0</v>
      </c>
      <c r="E70" s="220">
        <v>0</v>
      </c>
      <c r="F70" s="220">
        <v>0</v>
      </c>
      <c r="G70" s="228">
        <v>0</v>
      </c>
      <c r="H70" s="220">
        <v>0</v>
      </c>
      <c r="I70" s="220">
        <v>0</v>
      </c>
      <c r="J70" s="220">
        <v>0</v>
      </c>
      <c r="K70" s="228">
        <v>0</v>
      </c>
    </row>
    <row r="71">
      <c r="A71" s="272" t="s">
        <v>272</v>
      </c>
      <c r="B71" s="272" t="s">
        <v>614</v>
      </c>
      <c r="C71" s="91" t="s">
        <v>354</v>
      </c>
      <c r="D71" s="220">
        <v>0</v>
      </c>
      <c r="E71" s="220">
        <v>0</v>
      </c>
      <c r="F71" s="220">
        <v>0</v>
      </c>
      <c r="G71" s="228">
        <v>0</v>
      </c>
      <c r="H71" s="220">
        <v>0</v>
      </c>
      <c r="I71" s="220">
        <v>0</v>
      </c>
      <c r="J71" s="220">
        <v>0</v>
      </c>
      <c r="K71" s="228">
        <v>0</v>
      </c>
    </row>
    <row r="72">
      <c r="A72" s="272" t="s">
        <v>499</v>
      </c>
      <c r="B72" s="272" t="s">
        <v>208</v>
      </c>
      <c r="C72" s="91" t="s">
        <v>526</v>
      </c>
      <c r="D72" s="228">
        <v>4747</v>
      </c>
      <c r="E72" s="220">
        <v>0</v>
      </c>
      <c r="F72" s="228">
        <v>4747</v>
      </c>
      <c r="G72" s="228">
        <v>8054</v>
      </c>
      <c r="H72" s="228">
        <v>4747</v>
      </c>
      <c r="I72" s="220">
        <v>0</v>
      </c>
      <c r="J72" s="228">
        <v>4747</v>
      </c>
      <c r="K72" s="228">
        <v>8054</v>
      </c>
    </row>
    <row r="73">
      <c r="A73" s="272" t="s">
        <v>944</v>
      </c>
      <c r="B73" s="272" t="s">
        <v>495</v>
      </c>
      <c r="C73" s="91" t="s">
        <v>785</v>
      </c>
      <c r="D73" s="228">
        <v>3592</v>
      </c>
      <c r="E73" s="220">
        <v>0</v>
      </c>
      <c r="F73" s="228">
        <v>3592</v>
      </c>
      <c r="G73" s="228">
        <v>5305</v>
      </c>
      <c r="H73" s="228">
        <v>3592</v>
      </c>
      <c r="I73" s="220">
        <v>0</v>
      </c>
      <c r="J73" s="228">
        <v>3592</v>
      </c>
      <c r="K73" s="228">
        <v>5305</v>
      </c>
    </row>
    <row r="74">
      <c r="A74" s="272" t="s">
        <v>536</v>
      </c>
      <c r="B74" s="272" t="s">
        <v>1045</v>
      </c>
      <c r="C74" s="91" t="s">
        <v>772</v>
      </c>
      <c r="D74" s="228">
        <v>1155</v>
      </c>
      <c r="E74" s="220">
        <v>0</v>
      </c>
      <c r="F74" s="228">
        <v>1155</v>
      </c>
      <c r="G74" s="228">
        <v>2749</v>
      </c>
      <c r="H74" s="228">
        <v>1155</v>
      </c>
      <c r="I74" s="220">
        <v>0</v>
      </c>
      <c r="J74" s="228">
        <v>1155</v>
      </c>
      <c r="K74" s="228">
        <v>2749</v>
      </c>
    </row>
    <row r="75">
      <c r="A75" s="272" t="s">
        <v>1338</v>
      </c>
      <c r="B75" s="272" t="s">
        <v>1132</v>
      </c>
      <c r="C75" s="91" t="s">
        <v>263</v>
      </c>
      <c r="D75" s="228">
        <v>786</v>
      </c>
      <c r="E75" s="220">
        <v>0</v>
      </c>
      <c r="F75" s="228">
        <v>786</v>
      </c>
      <c r="G75" s="228">
        <v>351</v>
      </c>
      <c r="H75" s="228">
        <v>786</v>
      </c>
      <c r="I75" s="220">
        <v>0</v>
      </c>
      <c r="J75" s="228">
        <v>786</v>
      </c>
      <c r="K75" s="228">
        <v>351</v>
      </c>
    </row>
    <row r="76">
      <c r="A76" s="272" t="s">
        <v>1029</v>
      </c>
      <c r="B76" s="272" t="s">
        <v>436</v>
      </c>
      <c r="C76" s="91" t="s">
        <v>229</v>
      </c>
      <c r="D76" s="220">
        <v>0</v>
      </c>
      <c r="E76" s="220">
        <v>0</v>
      </c>
      <c r="F76" s="220">
        <v>0</v>
      </c>
      <c r="G76" s="228">
        <v>0</v>
      </c>
      <c r="H76" s="220">
        <v>0</v>
      </c>
      <c r="I76" s="220">
        <v>0</v>
      </c>
      <c r="J76" s="220">
        <v>0</v>
      </c>
      <c r="K76" s="228">
        <v>0</v>
      </c>
    </row>
    <row r="77">
      <c r="A77" s="272" t="s">
        <v>536</v>
      </c>
      <c r="B77" s="272" t="s">
        <v>1084</v>
      </c>
      <c r="C77" s="91" t="s">
        <v>439</v>
      </c>
      <c r="D77" s="228">
        <v>786</v>
      </c>
      <c r="E77" s="220">
        <v>0</v>
      </c>
      <c r="F77" s="228">
        <v>786</v>
      </c>
      <c r="G77" s="228">
        <v>351</v>
      </c>
      <c r="H77" s="228">
        <v>786</v>
      </c>
      <c r="I77" s="220">
        <v>0</v>
      </c>
      <c r="J77" s="228">
        <v>786</v>
      </c>
      <c r="K77" s="228">
        <v>351</v>
      </c>
    </row>
    <row r="78">
      <c r="A78" s="272" t="s">
        <v>1042</v>
      </c>
      <c r="B78" s="272" t="s">
        <v>1245</v>
      </c>
      <c r="C78" s="91" t="s">
        <v>332</v>
      </c>
      <c r="D78" s="220">
        <v>0</v>
      </c>
      <c r="E78" s="220">
        <v>0</v>
      </c>
      <c r="F78" s="220">
        <v>0</v>
      </c>
      <c r="G78" s="228">
        <v>0</v>
      </c>
      <c r="H78" s="220">
        <v>0</v>
      </c>
      <c r="I78" s="220">
        <v>0</v>
      </c>
      <c r="J78" s="220">
        <v>0</v>
      </c>
      <c r="K78" s="228">
        <v>0</v>
      </c>
    </row>
    <row r="79">
      <c r="A79" s="272" t="s">
        <v>272</v>
      </c>
      <c r="B79" s="272" t="s">
        <v>1188</v>
      </c>
      <c r="C79" s="91" t="s">
        <v>418</v>
      </c>
      <c r="D79" s="220">
        <v>0</v>
      </c>
      <c r="E79" s="220">
        <v>0</v>
      </c>
      <c r="F79" s="220">
        <v>0</v>
      </c>
      <c r="G79" s="228">
        <v>0</v>
      </c>
      <c r="H79" s="220">
        <v>0</v>
      </c>
      <c r="I79" s="220">
        <v>0</v>
      </c>
      <c r="J79" s="220">
        <v>0</v>
      </c>
      <c r="K79" s="228">
        <v>0</v>
      </c>
    </row>
  </sheetData>
  <sheetCalcPr fullCalcOnLoad="1"/>
  <printOptions/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XFD53"/>
  <sheetViews>
    <sheetView showGridLines="0" zoomScaleNormal="100" zoomScaleSheetLayoutView="100" zoomScalePageLayoutView="100" workbookViewId="0"/>
  </sheetViews>
  <sheetFormatPr defaultColWidth="9.109375" defaultRowHeight="12"/>
  <cols>
    <col min="1" max="1" width="29.33203125" style="84" customWidth="1"/>
    <col min="2" max="4" width="11.33203125" style="84" customWidth="1"/>
    <col min="5" max="5" width="12.5546875" style="84" customWidth="1"/>
    <col min="6" max="10" width="11.33203125" style="84" customWidth="1"/>
    <col min="11" max="16384" width="9.109375" style="84"/>
  </cols>
  <sheetData>
    <row r="1">
      <c r="A1" s="111" t="s">
        <v>1264</v>
      </c>
    </row>
    <row r="2" thickBot="1">
      <c r="A2" s="150" t="s">
        <v>1249</v>
      </c>
    </row>
    <row r="3" ht="16.5" customHeight="1" thickTop="1" thickBot="1">
      <c r="A3" s="271" t="s">
        <v>958</v>
      </c>
      <c r="B3" s="19" t="s">
        <v>998</v>
      </c>
      <c r="C3" s="121"/>
      <c r="D3" s="121"/>
      <c r="E3" s="121"/>
      <c r="F3" s="121"/>
      <c r="G3" s="121"/>
      <c r="H3" s="121"/>
      <c r="I3" s="121"/>
      <c r="J3" s="11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</row>
    <row r="4" ht="62.25" customHeight="1" thickTop="1" thickBot="1">
      <c r="A4" s="248"/>
      <c r="B4" s="271" t="s">
        <v>1121</v>
      </c>
      <c r="C4" s="271" t="s">
        <v>177</v>
      </c>
      <c r="D4" s="271" t="s">
        <v>337</v>
      </c>
      <c r="E4" s="271" t="s">
        <v>1193</v>
      </c>
      <c r="F4" s="271" t="s">
        <v>1135</v>
      </c>
      <c r="G4" s="271" t="s">
        <v>1324</v>
      </c>
      <c r="H4" s="271" t="s">
        <v>1270</v>
      </c>
      <c r="I4" s="271" t="s">
        <v>834</v>
      </c>
      <c r="J4" s="271" t="s">
        <v>928</v>
      </c>
    </row>
    <row r="5" ht="15" customHeight="1" thickTop="1" thickBot="1">
      <c r="A5" s="232" t="s">
        <v>1137</v>
      </c>
      <c r="B5" s="123"/>
      <c r="C5" s="123"/>
      <c r="D5" s="123"/>
      <c r="E5" s="123"/>
      <c r="F5" s="123"/>
      <c r="G5" s="123"/>
      <c r="H5" s="123"/>
      <c r="I5" s="123"/>
      <c r="J5" s="131"/>
      <c r="K5" s="74"/>
      <c r="L5" s="74"/>
      <c r="M5" s="74"/>
      <c r="N5" s="74"/>
      <c r="O5" s="74"/>
      <c r="P5" s="74"/>
      <c r="Q5" s="74"/>
      <c r="R5" s="74"/>
      <c r="S5" s="74"/>
      <c r="T5" s="74"/>
      <c r="U5" s="74"/>
      <c r="V5" s="74"/>
      <c r="W5" s="74"/>
      <c r="X5" s="74"/>
      <c r="Y5" s="74"/>
    </row>
    <row r="6" thickTop="1" thickBot="1">
      <c r="A6" s="234" t="s">
        <v>429</v>
      </c>
      <c r="B6" s="153">
        <f>SUMIF(HK!A:A,"031*",HK!C:C)-SUMIF(HK!A:A,"031*",HK!D:D)</f>
        <v>0</v>
      </c>
      <c r="C6" s="153">
        <f>SUMIF(HK!A:A,"021*",HK!C:C)-SUMIF(HK!A:A,"021*",HK!D:D)</f>
        <v>0</v>
      </c>
      <c r="D6" s="153">
        <f>SUMIF(HK!A:A,"022*",HK!C:C)-SUMIF(HK!A:A,"022*",HK!D:D)</f>
        <v>0</v>
      </c>
      <c r="E6" s="153">
        <f>SUMIF(HK!A:A,"025*",HK!C:C)-SUMIF(HK!A:A,"025*",HK!D:D)</f>
        <v>0</v>
      </c>
      <c r="F6" s="153">
        <f>SUMIF(HK!A:A,"026*",HK!C:C)-SUMIF(HK!A:A,"026*",HK!D:D)</f>
        <v>0</v>
      </c>
      <c r="G6" s="153">
        <f>SUMIF(HK!A:A,"029*",HK!C:C)-SUMIF(HK!A:A,"029*",HK!D:D)</f>
        <v>0</v>
      </c>
      <c r="H6" s="153">
        <f>SUMIF(HK!A:A,"042*",HK!C:C)-SUMIF(HK!A:A,"042*",HK!D:D)</f>
        <v>0</v>
      </c>
      <c r="I6" s="153">
        <f>SUMIF(HK!A:A,"052*",HK!C:C)-SUMIF(HK!A:A,"052*",HK!D:D)</f>
        <v>0</v>
      </c>
      <c r="J6" s="79">
        <f>SUM(B6:I6)</f>
        <v>0</v>
      </c>
      <c r="L6" s="40"/>
    </row>
    <row r="7" ht="15" customHeight="1" thickBot="1">
      <c r="A7" s="128" t="s">
        <v>266</v>
      </c>
      <c r="B7" s="263"/>
      <c r="C7" s="263"/>
      <c r="D7" s="263"/>
      <c r="E7" s="263"/>
      <c r="F7" s="31"/>
      <c r="G7" s="263"/>
      <c r="H7" s="263"/>
      <c r="I7" s="263"/>
      <c r="J7" s="79">
        <f>SUM(B7:I7)</f>
        <v>0</v>
      </c>
    </row>
    <row r="8" ht="15" customHeight="1" thickBot="1">
      <c r="A8" s="128" t="s">
        <v>413</v>
      </c>
      <c r="B8" s="263"/>
      <c r="C8" s="263"/>
      <c r="D8" s="263"/>
      <c r="E8" s="263"/>
      <c r="F8" s="31"/>
      <c r="G8" s="263"/>
      <c r="H8" s="263"/>
      <c r="I8" s="263"/>
      <c r="J8" s="79">
        <f>SUM(B8:I8)</f>
        <v>0</v>
      </c>
    </row>
    <row r="9" ht="15" customHeight="1" thickBot="1">
      <c r="A9" s="128" t="s">
        <v>50</v>
      </c>
      <c r="B9" s="263"/>
      <c r="C9" s="263"/>
      <c r="D9" s="263"/>
      <c r="E9" s="263"/>
      <c r="F9" s="31"/>
      <c r="G9" s="263"/>
      <c r="H9" s="263"/>
      <c r="I9" s="263"/>
      <c r="J9" s="79">
        <f>SUM(B9:I9)</f>
        <v>0</v>
      </c>
    </row>
    <row r="10" thickBot="1">
      <c r="A10" s="98" t="s">
        <v>459</v>
      </c>
      <c r="B10" s="153">
        <f>SUMIF(HK!A:A,"031*",HK!K:K)-SUMIF(HK!A:A,"031*",HK!L:L)</f>
        <v>0</v>
      </c>
      <c r="C10" s="153">
        <f>SUMIF(HK!A:A,"021*",HK!K:K)-SUMIF(HK!A:A,"021*",HK!L:L)</f>
        <v>0</v>
      </c>
      <c r="D10" s="153">
        <f>SUMIF(HK!A:A,"022*",HK!K:K)-SUMIF(HK!A:A,"022*",HK!L:L)</f>
        <v>0</v>
      </c>
      <c r="E10" s="153">
        <f>SUMIF(HK!A:A,"025*",HK!K:K)-SUMIF(HK!A:A,"025*",HK!L:L)</f>
        <v>0</v>
      </c>
      <c r="F10" s="153">
        <f>SUMIF(HK!A:A,"026*",HK!K:K)-SUMIF(HK!A:A,"026*",HK!L:L)</f>
        <v>0</v>
      </c>
      <c r="G10" s="153">
        <f>SUMIF(HK!A:A,"029*",HK!K:K)-SUMIF(HK!A:A,"029*",HK!L:L)</f>
        <v>0</v>
      </c>
      <c r="H10" s="153">
        <f>SUMIF(HK!A:A,"042*",HK!K:K)-SUMIF(HK!A:A,"042*",HK!L:L)</f>
        <v>0</v>
      </c>
      <c r="I10" s="153">
        <f>SUMIF(HK!A:A,"052*",HK!K:K)-SUMIF(HK!A:A,"052*",HK!L:L)</f>
        <v>0</v>
      </c>
      <c r="J10" s="167">
        <f>J6+J7-J8+J9</f>
        <v>0</v>
      </c>
      <c r="L10" s="40"/>
    </row>
    <row r="11" ht="15" customHeight="1" thickTop="1" thickBot="1">
      <c r="A11" s="5" t="s">
        <v>932</v>
      </c>
      <c r="B11" s="159"/>
      <c r="C11" s="159"/>
      <c r="D11" s="159"/>
      <c r="E11" s="159"/>
      <c r="F11" s="159"/>
      <c r="G11" s="159"/>
      <c r="H11" s="159"/>
      <c r="I11" s="159"/>
      <c r="J11" s="131"/>
    </row>
    <row r="12" thickBot="1">
      <c r="A12" s="234" t="s">
        <v>1216</v>
      </c>
      <c r="B12" s="263"/>
      <c r="C12" s="153">
        <f>SUMIF(HK!A:A,"081*",HK!D:D)-SUMIF(HK!A:A,"081*",HK!C:C)</f>
        <v>0</v>
      </c>
      <c r="D12" s="153">
        <f>SUMIF(HK!A:A,"082*",HK!D:D)-SUMIF(HK!A:A,"082*",HK!C:C)</f>
        <v>0</v>
      </c>
      <c r="E12" s="153">
        <f>SUMIF(HK!A:A,"085*",HK!D:D)-SUMIF(HK!A:A,"085*",HK!C:C)</f>
        <v>0</v>
      </c>
      <c r="F12" s="153">
        <f>SUMIF(HK!A:A,"086*",HK!D:D)-SUMIF(HK!A:A,"086*",HK!C:C)</f>
        <v>0</v>
      </c>
      <c r="G12" s="153">
        <f>SUMIF(HK!A:A,"089*",HK!D:D)-SUMIF(HK!A:A,"089*",HK!C:C)</f>
        <v>0</v>
      </c>
      <c r="H12" s="263"/>
      <c r="I12" s="263"/>
      <c r="J12" s="79">
        <f>SUM(B12:I12)</f>
        <v>0</v>
      </c>
      <c r="L12" s="40"/>
    </row>
    <row r="13" ht="15" customHeight="1" thickBot="1">
      <c r="A13" s="128" t="s">
        <v>266</v>
      </c>
      <c r="B13" s="263"/>
      <c r="C13" s="263"/>
      <c r="D13" s="263"/>
      <c r="E13" s="263"/>
      <c r="F13" s="263"/>
      <c r="G13" s="263"/>
      <c r="H13" s="263"/>
      <c r="I13" s="263"/>
      <c r="J13" s="79">
        <f>SUM(B13:I13)</f>
        <v>0</v>
      </c>
    </row>
    <row r="14" ht="15" customHeight="1" thickBot="1">
      <c r="A14" s="128" t="s">
        <v>413</v>
      </c>
      <c r="B14" s="263"/>
      <c r="C14" s="263"/>
      <c r="D14" s="263"/>
      <c r="E14" s="263"/>
      <c r="F14" s="263"/>
      <c r="G14" s="263"/>
      <c r="H14" s="263"/>
      <c r="I14" s="263"/>
      <c r="J14" s="79">
        <f>SUM(B14:I14)</f>
        <v>0</v>
      </c>
    </row>
    <row r="15" ht="15" customHeight="1" thickBot="1">
      <c r="A15" s="5" t="s">
        <v>50</v>
      </c>
      <c r="B15" s="189"/>
      <c r="C15" s="263"/>
      <c r="D15" s="263"/>
      <c r="E15" s="263"/>
      <c r="F15" s="263"/>
      <c r="G15" s="263"/>
      <c r="H15" s="189"/>
      <c r="I15" s="31"/>
      <c r="J15" s="31"/>
    </row>
    <row r="16" thickBot="1">
      <c r="A16" s="80" t="s">
        <v>459</v>
      </c>
      <c r="B16" s="53"/>
      <c r="C16" s="153">
        <f>SUMIF(HK!A:A,"081*",HK!L:L)-SUMIF(HK!A:A,"081*",HK!K:K)</f>
        <v>0</v>
      </c>
      <c r="D16" s="153">
        <f>SUMIF(HK!A:A,"082*",HK!L:L)-SUMIF(HK!A:A,"082*",HK!K:K)</f>
        <v>0</v>
      </c>
      <c r="E16" s="153">
        <f>SUMIF(HK!A:A,"085*",HK!L:L)-SUMIF(HK!A:A,"085*",HK!K:K)</f>
        <v>0</v>
      </c>
      <c r="F16" s="153">
        <f>SUMIF(HK!A:A,"086*",HK!L:L)-SUMIF(HK!A:A,"086*",HK!K:K)</f>
        <v>0</v>
      </c>
      <c r="G16" s="153">
        <f>SUMIF(HK!A:A,"089*",HK!L:L)-SUMIF(HK!A:A,"089*",HK!K:K)</f>
        <v>0</v>
      </c>
      <c r="H16" s="53"/>
      <c r="I16" s="53"/>
      <c r="J16" s="167">
        <f>J12+J13-J14</f>
        <v>0</v>
      </c>
      <c r="L16" s="40"/>
    </row>
    <row r="17" ht="15" customHeight="1" thickTop="1" thickBot="1">
      <c r="A17" s="232" t="s">
        <v>1013</v>
      </c>
      <c r="B17" s="159"/>
      <c r="C17" s="159"/>
      <c r="D17" s="159"/>
      <c r="E17" s="159"/>
      <c r="F17" s="159"/>
      <c r="G17" s="159"/>
      <c r="H17" s="159"/>
      <c r="I17" s="159"/>
      <c r="J17" s="131"/>
    </row>
    <row r="18" thickTop="1" thickBot="1">
      <c r="A18" s="234" t="s">
        <v>1216</v>
      </c>
      <c r="B18" s="263"/>
      <c r="C18" s="153"/>
      <c r="D18" s="153"/>
      <c r="E18" s="153"/>
      <c r="F18" s="153"/>
      <c r="G18" s="153"/>
      <c r="H18" s="153">
        <f>SUMIF(HK!A:A,"094*",HK!D:D)-SUMIF(HK!A:A,"094*",HK!C:C)</f>
        <v>0</v>
      </c>
      <c r="I18" s="153">
        <f>SUMIF(SUAM!C:C,"019",SUAM!E:E)</f>
        <v>0</v>
      </c>
      <c r="J18" s="79">
        <f>SUM(B18:I18)</f>
        <v>0</v>
      </c>
      <c r="L18" s="40"/>
      <c r="M18" s="40"/>
      <c r="N18" s="137"/>
    </row>
    <row r="19" ht="15" customHeight="1" thickBot="1">
      <c r="A19" s="128" t="s">
        <v>266</v>
      </c>
      <c r="B19" s="263"/>
      <c r="C19" s="263"/>
      <c r="D19" s="263"/>
      <c r="E19" s="263"/>
      <c r="F19" s="263"/>
      <c r="G19" s="263"/>
      <c r="H19" s="263"/>
      <c r="I19" s="263"/>
      <c r="J19" s="79">
        <f>SUM(B19:I19)</f>
        <v>0</v>
      </c>
      <c r="N19" s="137"/>
    </row>
    <row r="20" ht="15" customHeight="1" thickBot="1">
      <c r="A20" s="128" t="s">
        <v>413</v>
      </c>
      <c r="B20" s="263"/>
      <c r="C20" s="263"/>
      <c r="D20" s="263"/>
      <c r="E20" s="263"/>
      <c r="F20" s="263"/>
      <c r="G20" s="263"/>
      <c r="H20" s="263"/>
      <c r="I20" s="263"/>
      <c r="J20" s="79">
        <f>SUM(B20:I20)</f>
        <v>0</v>
      </c>
      <c r="N20" s="137"/>
    </row>
    <row r="21" ht="15" customHeight="1" thickBot="1">
      <c r="A21" s="49" t="s">
        <v>50</v>
      </c>
      <c r="B21" s="31"/>
      <c r="C21" s="263"/>
      <c r="D21" s="263"/>
      <c r="E21" s="263"/>
      <c r="F21" s="263"/>
      <c r="G21" s="263"/>
      <c r="H21" s="263"/>
      <c r="I21" s="263"/>
      <c r="J21" s="189"/>
      <c r="N21" s="137"/>
    </row>
    <row r="22" thickBot="1">
      <c r="A22" s="80" t="s">
        <v>459</v>
      </c>
      <c r="B22" s="53"/>
      <c r="C22" s="153"/>
      <c r="D22" s="153"/>
      <c r="E22" s="153"/>
      <c r="F22" s="153"/>
      <c r="G22" s="153"/>
      <c r="H22" s="153">
        <f>SUMIF(HK!A:A,"094*",HK!L:L)-SUMIF(HK!A:A,"094*",HK!K:K)</f>
        <v>0</v>
      </c>
      <c r="I22" s="153">
        <f>SUMIF(SUA!C:C,"019",SUA!E:E)</f>
        <v>0</v>
      </c>
      <c r="J22" s="167">
        <f>J18+J19-J20</f>
        <v>0</v>
      </c>
      <c r="L22" s="40"/>
      <c r="M22" s="40"/>
      <c r="N22" s="137"/>
    </row>
    <row r="23" ht="15" customHeight="1" thickTop="1" thickBot="1">
      <c r="A23" s="232" t="s">
        <v>1309</v>
      </c>
      <c r="B23" s="159"/>
      <c r="C23" s="159"/>
      <c r="D23" s="159"/>
      <c r="E23" s="159"/>
      <c r="F23" s="159"/>
      <c r="G23" s="159"/>
      <c r="H23" s="159"/>
      <c r="I23" s="159"/>
      <c r="J23" s="131"/>
    </row>
    <row r="24" ht="15" customHeight="1" thickTop="1" thickBot="1">
      <c r="A24" s="234" t="s">
        <v>1216</v>
      </c>
      <c r="B24" s="263"/>
      <c r="C24" s="263"/>
      <c r="D24" s="263"/>
      <c r="E24" s="263"/>
      <c r="F24" s="263"/>
      <c r="G24" s="263"/>
      <c r="H24" s="263"/>
      <c r="I24" s="263"/>
      <c r="J24" s="79">
        <f>J6-J12-J18</f>
        <v>0</v>
      </c>
    </row>
    <row r="25" ht="15" customHeight="1" thickBot="1">
      <c r="A25" s="80" t="s">
        <v>459</v>
      </c>
      <c r="B25" s="53"/>
      <c r="C25" s="53"/>
      <c r="D25" s="53"/>
      <c r="E25" s="53"/>
      <c r="F25" s="53"/>
      <c r="G25" s="53"/>
      <c r="H25" s="53"/>
      <c r="I25" s="53"/>
      <c r="J25" s="167">
        <f>J10-J16-J22</f>
        <v>0</v>
      </c>
    </row>
    <row r="26" thickTop="1">
      <c r="A26" s="7"/>
      <c r="B26" s="7"/>
      <c r="C26" s="7"/>
      <c r="D26" s="7"/>
      <c r="E26" s="7"/>
      <c r="F26" s="7"/>
      <c r="G26" s="7"/>
      <c r="H26" s="7"/>
      <c r="I26" s="7"/>
      <c r="J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</row>
    <row r="28" thickBot="1">
      <c r="A28" s="7" t="s">
        <v>1077</v>
      </c>
      <c r="B28" s="7"/>
      <c r="C28" s="7"/>
      <c r="D28" s="7"/>
      <c r="E28" s="7"/>
      <c r="F28" s="7"/>
      <c r="G28" s="7"/>
      <c r="H28" s="7"/>
      <c r="I28" s="7"/>
      <c r="J28" s="7"/>
    </row>
    <row r="29" ht="16.5" customHeight="1" thickTop="1" thickBot="1">
      <c r="A29" s="271" t="s">
        <v>958</v>
      </c>
      <c r="B29" s="188" t="s">
        <v>1293</v>
      </c>
      <c r="C29" s="22"/>
      <c r="D29" s="22"/>
      <c r="E29" s="22"/>
      <c r="F29" s="22"/>
      <c r="G29" s="22"/>
      <c r="H29" s="22"/>
      <c r="I29" s="22"/>
      <c r="J29" s="10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</row>
    <row r="30" ht="62.25" customHeight="1" thickTop="1" thickBot="1">
      <c r="A30" s="267"/>
      <c r="B30" s="271" t="s">
        <v>1121</v>
      </c>
      <c r="C30" s="271" t="s">
        <v>177</v>
      </c>
      <c r="D30" s="271" t="s">
        <v>337</v>
      </c>
      <c r="E30" s="271" t="s">
        <v>1193</v>
      </c>
      <c r="F30" s="271" t="s">
        <v>1135</v>
      </c>
      <c r="G30" s="271" t="s">
        <v>1324</v>
      </c>
      <c r="H30" s="271" t="s">
        <v>1270</v>
      </c>
      <c r="I30" s="271" t="s">
        <v>834</v>
      </c>
      <c r="J30" s="271" t="s">
        <v>928</v>
      </c>
    </row>
    <row r="31" ht="15" customHeight="1" thickTop="1" thickBot="1">
      <c r="A31" s="232" t="s">
        <v>1137</v>
      </c>
      <c r="B31" s="123"/>
      <c r="C31" s="123"/>
      <c r="D31" s="123"/>
      <c r="E31" s="123"/>
      <c r="F31" s="123"/>
      <c r="G31" s="123"/>
      <c r="H31" s="123"/>
      <c r="I31" s="123"/>
      <c r="J31" s="131"/>
      <c r="K31" s="74"/>
      <c r="L31" s="74"/>
      <c r="M31" s="74"/>
      <c r="N31" s="74"/>
      <c r="O31" s="74"/>
      <c r="P31" s="74"/>
      <c r="Q31" s="74"/>
      <c r="R31" s="74"/>
      <c r="S31" s="74"/>
      <c r="T31" s="74"/>
      <c r="U31" s="74"/>
      <c r="V31" s="74"/>
      <c r="W31" s="74"/>
      <c r="X31" s="74"/>
      <c r="Y31" s="74"/>
    </row>
    <row r="32" thickTop="1" thickBot="1">
      <c r="A32" s="234" t="s">
        <v>429</v>
      </c>
      <c r="B32" s="153">
        <f>SUMIF(HKM!A:A,"031*",HKM!C:C)-SUMIF(HKM!A:A,"031*",HKM!D:D)</f>
        <v>0</v>
      </c>
      <c r="C32" s="153">
        <f>SUMIF(HKM!A:A,"021*",HKM!C:C)-SUMIF(HKM!A:A,"021*",HKM!D:D)</f>
        <v>0</v>
      </c>
      <c r="D32" s="153">
        <f>SUMIF(HKM!A:A,"022*",HKM!C:C)-SUMIF(HKM!A:A,"022*",HKM!D:D)</f>
        <v>0</v>
      </c>
      <c r="E32" s="153">
        <f>SUMIF(HKM!A:A,"025*",HKM!C:C)-SUMIF(HKM!A:A,"025*",HKM!D:D)</f>
        <v>0</v>
      </c>
      <c r="F32" s="153">
        <f>SUMIF(HKM!A:A,"026*",HKM!C:C)-SUMIF(HKM!A:A,"026*",HKM!D:D)</f>
        <v>0</v>
      </c>
      <c r="G32" s="153">
        <f>SUMIF(HKM!A:A,"029*",HKM!C:C)-SUMIF(HKM!A:A,"029*",HKM!D:D)</f>
        <v>0</v>
      </c>
      <c r="H32" s="153">
        <f>SUMIF(HKM!A:A,"042*",HKM!C:C)-SUMIF(HKM!A:A,"042*",HKM!D:D)</f>
        <v>0</v>
      </c>
      <c r="I32" s="153">
        <f>SUMIF(HKM!A:A,"052*",HKM!C:C)-SUMIF(HKM!A:A,"052*",HKM!D:D)</f>
        <v>0</v>
      </c>
      <c r="J32" s="79">
        <f>SUM(B32:I32)</f>
        <v>0</v>
      </c>
      <c r="L32" s="40"/>
    </row>
    <row r="33" ht="15" customHeight="1" thickBot="1">
      <c r="A33" s="128" t="s">
        <v>266</v>
      </c>
      <c r="B33" s="263"/>
      <c r="C33" s="263"/>
      <c r="D33" s="263"/>
      <c r="E33" s="263"/>
      <c r="F33" s="31"/>
      <c r="G33" s="263"/>
      <c r="H33" s="263"/>
      <c r="I33" s="263"/>
      <c r="J33" s="79">
        <f>SUM(B33:I33)</f>
        <v>0</v>
      </c>
    </row>
    <row r="34" ht="15" customHeight="1" thickBot="1">
      <c r="A34" s="128" t="s">
        <v>413</v>
      </c>
      <c r="B34" s="263"/>
      <c r="C34" s="263"/>
      <c r="D34" s="263"/>
      <c r="E34" s="263"/>
      <c r="F34" s="31"/>
      <c r="G34" s="263"/>
      <c r="H34" s="263"/>
      <c r="I34" s="263"/>
      <c r="J34" s="79">
        <f>SUM(B34:I34)</f>
        <v>0</v>
      </c>
    </row>
    <row r="35" ht="15" customHeight="1" thickBot="1">
      <c r="A35" s="128" t="s">
        <v>50</v>
      </c>
      <c r="B35" s="263"/>
      <c r="C35" s="263"/>
      <c r="D35" s="263"/>
      <c r="E35" s="263"/>
      <c r="F35" s="31"/>
      <c r="G35" s="263"/>
      <c r="H35" s="263"/>
      <c r="I35" s="263"/>
      <c r="J35" s="79">
        <f>SUM(B35:I35)</f>
        <v>0</v>
      </c>
    </row>
    <row r="36" thickBot="1">
      <c r="A36" s="80" t="s">
        <v>459</v>
      </c>
      <c r="B36" s="153">
        <f>SUMIF(HKM!A:A,"031*",HKM!K:K)-SUMIF(HKM!A:A,"031*",HKM!L:L)</f>
        <v>0</v>
      </c>
      <c r="C36" s="153">
        <f>SUMIF(HKM!A:A,"021*",HKM!K:K)-SUMIF(HKM!A:A,"021*",HKM!L:L)</f>
        <v>0</v>
      </c>
      <c r="D36" s="153">
        <f>SUMIF(HKM!A:A,"022*",HKM!K:K)-SUMIF(HKM!A:A,"022*",HKM!L:L)</f>
        <v>0</v>
      </c>
      <c r="E36" s="153">
        <f>SUMIF(HKM!A:A,"025*",HKM!K:K)-SUMIF(HKM!A:A,"025*",HKM!L:L)</f>
        <v>0</v>
      </c>
      <c r="F36" s="153">
        <f>SUMIF(HKM!A:A,"026*",HKM!K:K)-SUMIF(HKM!A:A,"026*",HKM!L:L)</f>
        <v>0</v>
      </c>
      <c r="G36" s="153">
        <f>SUMIF(HKM!A:A,"029*",HKM!K:K)-SUMIF(HKM!A:A,"029*",HKM!L:L)</f>
        <v>0</v>
      </c>
      <c r="H36" s="153">
        <f>SUMIF(HKM!A:A,"042*",HKM!K:K)-SUMIF(HKM!A:A,"042*",HKM!L:L)</f>
        <v>0</v>
      </c>
      <c r="I36" s="153">
        <f>SUMIF(HKM!A:A,"052*",HKM!K:K)-SUMIF(HKM!A:A,"052*",HKM!L:L)</f>
        <v>0</v>
      </c>
      <c r="J36" s="167">
        <f>J32+J33-J34+J35</f>
        <v>0</v>
      </c>
      <c r="L36" s="40"/>
    </row>
    <row r="37" ht="15" customHeight="1" thickTop="1" thickBot="1">
      <c r="A37" s="232" t="s">
        <v>932</v>
      </c>
      <c r="B37" s="159"/>
      <c r="C37" s="159"/>
      <c r="D37" s="159"/>
      <c r="E37" s="159"/>
      <c r="F37" s="159"/>
      <c r="G37" s="159"/>
      <c r="H37" s="159"/>
      <c r="I37" s="159"/>
      <c r="J37" s="131"/>
    </row>
    <row r="38" thickTop="1" thickBot="1">
      <c r="A38" s="234" t="s">
        <v>1216</v>
      </c>
      <c r="B38" s="263"/>
      <c r="C38" s="153">
        <f>SUMIF(HKM!A:A,"081*",HKM!D:D)-SUMIF(HKM!A:A,"081*",HKM!C:C)</f>
        <v>0</v>
      </c>
      <c r="D38" s="153">
        <f>SUMIF(HKM!A:A,"082*",HKM!D:D)-SUMIF(HKM!A:A,"082*",HKM!C:C)</f>
        <v>0</v>
      </c>
      <c r="E38" s="153">
        <f>SUMIF(HKM!A:A,"085*",HKM!D:D)-SUMIF(HKM!A:A,"085*",HKM!C:C)</f>
        <v>0</v>
      </c>
      <c r="F38" s="153">
        <f>SUMIF(HKM!A:A,"086*",HKM!D:D)-SUMIF(HKM!A:A,"086*",HKM!C:C)</f>
        <v>0</v>
      </c>
      <c r="G38" s="153">
        <f>SUMIF(HKM!A:A,"089*",HKM!D:D)-SUMIF(HKM!A:A,"089*",HKM!C:C)</f>
        <v>0</v>
      </c>
      <c r="H38" s="263"/>
      <c r="I38" s="263"/>
      <c r="J38" s="79">
        <f>SUM(B38:I38)</f>
        <v>0</v>
      </c>
      <c r="L38" s="40"/>
    </row>
    <row r="39" ht="15" customHeight="1" thickBot="1">
      <c r="A39" s="128" t="s">
        <v>266</v>
      </c>
      <c r="B39" s="263"/>
      <c r="C39" s="263"/>
      <c r="D39" s="263"/>
      <c r="E39" s="263"/>
      <c r="F39" s="263"/>
      <c r="G39" s="263"/>
      <c r="H39" s="263"/>
      <c r="I39" s="263"/>
      <c r="J39" s="79">
        <f>SUM(B39:I39)</f>
        <v>0</v>
      </c>
    </row>
    <row r="40" ht="15" customHeight="1" thickBot="1">
      <c r="A40" s="128" t="s">
        <v>413</v>
      </c>
      <c r="B40" s="263"/>
      <c r="C40" s="263"/>
      <c r="D40" s="263"/>
      <c r="E40" s="263"/>
      <c r="F40" s="263"/>
      <c r="G40" s="263"/>
      <c r="H40" s="263"/>
      <c r="I40" s="263"/>
      <c r="J40" s="79">
        <f>SUM(B40:I40)</f>
        <v>0</v>
      </c>
    </row>
    <row r="41" ht="15" customHeight="1" thickBot="1">
      <c r="A41" s="49" t="s">
        <v>50</v>
      </c>
      <c r="B41" s="31"/>
      <c r="C41" s="31"/>
      <c r="D41" s="31"/>
      <c r="E41" s="31"/>
      <c r="F41" s="31"/>
      <c r="G41" s="31"/>
      <c r="H41" s="31"/>
      <c r="I41" s="31"/>
      <c r="J41" s="31"/>
    </row>
    <row r="42" thickBot="1">
      <c r="A42" s="80" t="s">
        <v>459</v>
      </c>
      <c r="B42" s="53"/>
      <c r="C42" s="153">
        <f>SUMIF(HKM!A:A,"081*",HKM!L:L)-SUMIF(HKM!A:A,"081*",HKM!K:K)</f>
        <v>0</v>
      </c>
      <c r="D42" s="153">
        <f>SUMIF(HKM!A:A,"082*",HKM!L:L)-SUMIF(HKM!A:A,"082*",HKM!K:K)</f>
        <v>0</v>
      </c>
      <c r="E42" s="153">
        <f>SUMIF(HKM!A:A,"085*",HKM!L:L)-SUMIF(HKM!A:A,"085*",HKM!K:K)</f>
        <v>0</v>
      </c>
      <c r="F42" s="153">
        <f>SUMIF(HKM!A:A,"086*",HKM!L:L)-SUMIF(HKM!A:A,"086*",HKM!K:K)</f>
        <v>0</v>
      </c>
      <c r="G42" s="153">
        <f>SUMIF(HKM!A:A,"089*",HKM!L:L)-SUMIF(HKM!A:A,"089*",HKM!K:K)</f>
        <v>0</v>
      </c>
      <c r="H42" s="53"/>
      <c r="I42" s="53"/>
      <c r="J42" s="167">
        <f>J38+J39-J40</f>
        <v>0</v>
      </c>
      <c r="L42" s="40"/>
    </row>
    <row r="43" ht="15" customHeight="1" thickTop="1" thickBot="1">
      <c r="A43" s="232" t="s">
        <v>1013</v>
      </c>
      <c r="B43" s="159"/>
      <c r="C43" s="159"/>
      <c r="D43" s="159"/>
      <c r="E43" s="159"/>
      <c r="F43" s="159"/>
      <c r="G43" s="159"/>
      <c r="H43" s="159"/>
      <c r="I43" s="159"/>
      <c r="J43" s="131"/>
    </row>
    <row r="44" thickTop="1" thickBot="1">
      <c r="A44" s="234" t="s">
        <v>1216</v>
      </c>
      <c r="B44" s="263"/>
      <c r="C44" s="153"/>
      <c r="D44" s="153"/>
      <c r="E44" s="153"/>
      <c r="F44" s="153"/>
      <c r="G44" s="153"/>
      <c r="H44" s="153">
        <f>SUMIF(HKM!A:A,"094*",HKM!D:D)-SUMIF(HKM!A:A,"094*",HKM!C:C)</f>
        <v>0</v>
      </c>
      <c r="I44" s="153"/>
      <c r="J44" s="79">
        <f>SUM(B44:I44)</f>
        <v>0</v>
      </c>
      <c r="L44" s="40"/>
      <c r="M44" s="231"/>
      <c r="N44" s="137"/>
    </row>
    <row r="45" ht="15" customHeight="1" thickBot="1">
      <c r="A45" s="128" t="s">
        <v>266</v>
      </c>
      <c r="B45" s="263"/>
      <c r="C45" s="263"/>
      <c r="D45" s="263"/>
      <c r="E45" s="263"/>
      <c r="F45" s="263"/>
      <c r="G45" s="263"/>
      <c r="H45" s="263"/>
      <c r="I45" s="263"/>
      <c r="J45" s="79">
        <f>SUM(B45:I45)</f>
        <v>0</v>
      </c>
      <c r="N45" s="137"/>
    </row>
    <row r="46" ht="15" customHeight="1" thickBot="1">
      <c r="A46" s="128" t="s">
        <v>413</v>
      </c>
      <c r="B46" s="263"/>
      <c r="C46" s="263"/>
      <c r="D46" s="263"/>
      <c r="E46" s="263"/>
      <c r="F46" s="263"/>
      <c r="G46" s="263"/>
      <c r="H46" s="263"/>
      <c r="I46" s="263"/>
      <c r="J46" s="79">
        <f>SUM(B46:I46)</f>
        <v>0</v>
      </c>
      <c r="N46" s="137"/>
    </row>
    <row r="47" ht="15" customHeight="1" thickBot="1">
      <c r="A47" s="49" t="s">
        <v>50</v>
      </c>
      <c r="B47" s="31"/>
      <c r="C47" s="31"/>
      <c r="D47" s="31"/>
      <c r="E47" s="31"/>
      <c r="F47" s="31"/>
      <c r="G47" s="31"/>
      <c r="H47" s="31"/>
      <c r="I47" s="31"/>
      <c r="J47" s="31"/>
      <c r="N47" s="137"/>
    </row>
    <row r="48" thickBot="1">
      <c r="A48" s="80" t="s">
        <v>459</v>
      </c>
      <c r="B48" s="53"/>
      <c r="C48" s="153"/>
      <c r="D48" s="153"/>
      <c r="E48" s="153"/>
      <c r="F48" s="153"/>
      <c r="G48" s="153"/>
      <c r="H48" s="153">
        <f>SUMIF(HKM!A:A,"094*",HKM!L:L)-SUMIF(HKM!A:A,"094*",HKM!K:K)</f>
        <v>0</v>
      </c>
      <c r="I48" s="153">
        <f>SUMIF(SUAM!C:C,"019",SUAM!E:E)</f>
        <v>0</v>
      </c>
      <c r="J48" s="167">
        <f>J44+J45-J46</f>
        <v>0</v>
      </c>
      <c r="L48" s="40"/>
      <c r="N48" s="137"/>
    </row>
    <row r="49" ht="15" customHeight="1" thickTop="1" thickBot="1">
      <c r="A49" s="232" t="s">
        <v>1309</v>
      </c>
      <c r="B49" s="159"/>
      <c r="C49" s="159"/>
      <c r="D49" s="159"/>
      <c r="E49" s="159"/>
      <c r="F49" s="159"/>
      <c r="G49" s="159"/>
      <c r="H49" s="159"/>
      <c r="I49" s="159"/>
      <c r="J49" s="131"/>
    </row>
    <row r="50" ht="15" customHeight="1" thickTop="1" thickBot="1">
      <c r="A50" s="234" t="s">
        <v>1216</v>
      </c>
      <c r="B50" s="263">
        <f>B32-B38-B44</f>
        <v>0</v>
      </c>
      <c r="C50" s="263">
        <f>C32-C38-C44</f>
        <v>0</v>
      </c>
      <c r="D50" s="263">
        <f>D32-D38-D44</f>
        <v>0</v>
      </c>
      <c r="E50" s="263">
        <f>E32-E38-E44</f>
        <v>0</v>
      </c>
      <c r="F50" s="263">
        <f>F32-F38-F44</f>
        <v>0</v>
      </c>
      <c r="G50" s="263">
        <f>G32-G38-G44</f>
        <v>0</v>
      </c>
      <c r="H50" s="263">
        <f>H32-H38-H44</f>
        <v>0</v>
      </c>
      <c r="I50" s="263">
        <f>I32-I38-I44</f>
        <v>0</v>
      </c>
      <c r="J50" s="79">
        <f>J32-J38-J44</f>
        <v>0</v>
      </c>
    </row>
    <row r="51" ht="15" customHeight="1" thickBot="1">
      <c r="A51" s="80" t="s">
        <v>459</v>
      </c>
      <c r="B51" s="53">
        <f>B36-B42-B48</f>
        <v>0</v>
      </c>
      <c r="C51" s="53">
        <f>C36-C42-C48</f>
        <v>0</v>
      </c>
      <c r="D51" s="53">
        <f>D36-D42-D48</f>
        <v>0</v>
      </c>
      <c r="E51" s="53">
        <f>E36-E42-E48</f>
        <v>0</v>
      </c>
      <c r="F51" s="53">
        <f>F36-F42-F48</f>
        <v>0</v>
      </c>
      <c r="G51" s="53">
        <f>G36-G42-G48</f>
        <v>0</v>
      </c>
      <c r="H51" s="53">
        <f>H36-H42-H48</f>
        <v>0</v>
      </c>
      <c r="I51" s="53">
        <f>I36-I42-I48</f>
        <v>0</v>
      </c>
      <c r="J51" s="167">
        <f>J36-J42-J48</f>
        <v>0</v>
      </c>
    </row>
    <row r="52" thickTop="1">
      <c r="A52" s="7"/>
      <c r="B52" s="7"/>
      <c r="C52" s="7"/>
      <c r="D52" s="7"/>
      <c r="E52" s="7"/>
      <c r="F52" s="7"/>
      <c r="G52" s="7"/>
      <c r="H52" s="7"/>
      <c r="I52" s="7"/>
      <c r="J52" s="7"/>
    </row>
    <row r="53">
      <c r="A53" s="7"/>
      <c r="B53" s="7"/>
      <c r="C53" s="7"/>
      <c r="D53" s="7"/>
      <c r="E53" s="7"/>
      <c r="F53" s="7"/>
      <c r="G53" s="7"/>
      <c r="H53" s="7"/>
      <c r="I53" s="7"/>
      <c r="J53" s="7"/>
    </row>
  </sheetData>
  <sheetCalcPr fullCalcOnLoad="1"/>
  <mergeCells count="4">
    <mergeCell ref="A3:A4"/>
    <mergeCell ref="A29:A30"/>
    <mergeCell ref="B29:J29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50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topLeftCell="A2" zoomScaleNormal="100" zoomScaleSheetLayoutView="100" zoomScalePageLayoutView="100" workbookViewId="0"/>
  </sheetViews>
  <sheetFormatPr defaultColWidth="9.109375" defaultRowHeight="12"/>
  <cols>
    <col min="1" max="1" width="9.109375" style="2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1388</v>
      </c>
      <c r="B1" s="11" t="s">
        <v>247</v>
      </c>
      <c r="C1" s="55" t="s">
        <v>62</v>
      </c>
      <c r="D1" s="173" t="s">
        <v>650</v>
      </c>
      <c r="E1" s="173" t="s">
        <v>392</v>
      </c>
      <c r="F1" s="173" t="s">
        <v>1234</v>
      </c>
      <c r="G1" s="173" t="s">
        <v>556</v>
      </c>
    </row>
    <row r="2">
      <c r="A2" s="75" t="s">
        <v>855</v>
      </c>
      <c r="B2" s="75" t="s">
        <v>197</v>
      </c>
      <c r="C2" s="270" t="s">
        <v>594</v>
      </c>
      <c r="D2" s="193">
        <v>309020</v>
      </c>
      <c r="E2" s="193">
        <v>285205</v>
      </c>
      <c r="F2" s="193">
        <v>309020</v>
      </c>
      <c r="G2" s="193">
        <v>285205</v>
      </c>
    </row>
    <row r="3">
      <c r="A3" s="75" t="s">
        <v>121</v>
      </c>
      <c r="B3" s="75" t="s">
        <v>1346</v>
      </c>
      <c r="C3" s="270" t="s">
        <v>639</v>
      </c>
      <c r="D3" s="158">
        <v>-308639</v>
      </c>
      <c r="E3" s="158">
        <v>-437800</v>
      </c>
      <c r="F3" s="158">
        <v>-308639</v>
      </c>
      <c r="G3" s="158">
        <v>-437800</v>
      </c>
    </row>
    <row r="4">
      <c r="A4" s="75" t="s">
        <v>38</v>
      </c>
      <c r="B4" s="75" t="s">
        <v>243</v>
      </c>
      <c r="C4" s="270" t="s">
        <v>812</v>
      </c>
      <c r="D4" s="193">
        <v>234635</v>
      </c>
      <c r="E4" s="193">
        <v>234635</v>
      </c>
      <c r="F4" s="193">
        <v>234635</v>
      </c>
      <c r="G4" s="193">
        <v>234635</v>
      </c>
    </row>
    <row r="5">
      <c r="A5" s="75" t="s">
        <v>1316</v>
      </c>
      <c r="B5" s="75" t="s">
        <v>455</v>
      </c>
      <c r="C5" s="270" t="s">
        <v>886</v>
      </c>
      <c r="D5" s="193">
        <v>234635</v>
      </c>
      <c r="E5" s="193">
        <v>234635</v>
      </c>
      <c r="F5" s="193">
        <v>234635</v>
      </c>
      <c r="G5" s="193">
        <v>234635</v>
      </c>
    </row>
    <row r="6">
      <c r="A6" s="75" t="s">
        <v>536</v>
      </c>
      <c r="B6" s="75" t="s">
        <v>665</v>
      </c>
      <c r="C6" s="270" t="s">
        <v>251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1042</v>
      </c>
      <c r="B7" s="75" t="s">
        <v>1152</v>
      </c>
      <c r="C7" s="270" t="s">
        <v>289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226</v>
      </c>
      <c r="B8" s="75" t="s">
        <v>368</v>
      </c>
      <c r="C8" s="270" t="s">
        <v>570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78</v>
      </c>
      <c r="B9" s="75" t="s">
        <v>1314</v>
      </c>
      <c r="C9" s="270" t="s">
        <v>903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424</v>
      </c>
      <c r="B10" s="75" t="s">
        <v>1149</v>
      </c>
      <c r="C10" s="270" t="s">
        <v>473</v>
      </c>
      <c r="D10" s="193">
        <v>4138</v>
      </c>
      <c r="E10" s="193">
        <v>4138</v>
      </c>
      <c r="F10" s="193">
        <v>4138</v>
      </c>
      <c r="G10" s="193">
        <v>4138</v>
      </c>
    </row>
    <row r="11">
      <c r="A11" s="75" t="s">
        <v>516</v>
      </c>
      <c r="B11" s="75" t="s">
        <v>539</v>
      </c>
      <c r="C11" s="270" t="s">
        <v>811</v>
      </c>
      <c r="D11" s="193">
        <v>4138</v>
      </c>
      <c r="E11" s="193">
        <v>4138</v>
      </c>
      <c r="F11" s="193">
        <v>4138</v>
      </c>
      <c r="G11" s="193">
        <v>4138</v>
      </c>
    </row>
    <row r="12">
      <c r="A12" s="75" t="s">
        <v>536</v>
      </c>
      <c r="B12" s="75" t="s">
        <v>456</v>
      </c>
      <c r="C12" s="270" t="s">
        <v>905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649</v>
      </c>
      <c r="B13" s="75" t="s">
        <v>46</v>
      </c>
      <c r="C13" s="270" t="s">
        <v>268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563</v>
      </c>
      <c r="B14" s="75" t="s">
        <v>1329</v>
      </c>
      <c r="C14" s="270" t="s">
        <v>637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73</v>
      </c>
      <c r="B15" s="75" t="s">
        <v>906</v>
      </c>
      <c r="C15" s="270" t="s">
        <v>908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406</v>
      </c>
      <c r="B16" s="75" t="s">
        <v>1197</v>
      </c>
      <c r="C16" s="270" t="s">
        <v>562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188</v>
      </c>
      <c r="B17" s="75" t="s">
        <v>34</v>
      </c>
      <c r="C17" s="270" t="s">
        <v>899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536</v>
      </c>
      <c r="B18" s="75" t="s">
        <v>1170</v>
      </c>
      <c r="C18" s="270" t="s">
        <v>769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1042</v>
      </c>
      <c r="B19" s="75" t="s">
        <v>160</v>
      </c>
      <c r="C19" s="270" t="s">
        <v>1359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733</v>
      </c>
      <c r="B20" s="75" t="s">
        <v>331</v>
      </c>
      <c r="C20" s="270" t="s">
        <v>48</v>
      </c>
      <c r="D20" s="193">
        <v>-676574</v>
      </c>
      <c r="E20" s="193">
        <v>-638271</v>
      </c>
      <c r="F20" s="193">
        <v>-676574</v>
      </c>
      <c r="G20" s="193">
        <v>-638271</v>
      </c>
    </row>
    <row r="21">
      <c r="A21" s="75" t="s">
        <v>523</v>
      </c>
      <c r="B21" s="75" t="s">
        <v>33</v>
      </c>
      <c r="C21" s="270" t="s">
        <v>460</v>
      </c>
      <c r="D21" s="193">
        <v>116240</v>
      </c>
      <c r="E21" s="193">
        <v>116240</v>
      </c>
      <c r="F21" s="193">
        <v>116240</v>
      </c>
      <c r="G21" s="193">
        <v>116240</v>
      </c>
    </row>
    <row r="22">
      <c r="A22" s="75" t="s">
        <v>536</v>
      </c>
      <c r="B22" s="75" t="s">
        <v>397</v>
      </c>
      <c r="C22" s="270" t="s">
        <v>564</v>
      </c>
      <c r="D22" s="193">
        <v>-792814</v>
      </c>
      <c r="E22" s="193">
        <v>-754511</v>
      </c>
      <c r="F22" s="193">
        <v>-792814</v>
      </c>
      <c r="G22" s="193">
        <v>-754511</v>
      </c>
    </row>
    <row r="23">
      <c r="A23" s="75" t="s">
        <v>1304</v>
      </c>
      <c r="B23" s="75" t="s">
        <v>1028</v>
      </c>
      <c r="C23" s="270" t="s">
        <v>123</v>
      </c>
      <c r="D23" s="193">
        <v>129162</v>
      </c>
      <c r="E23" s="193">
        <v>-38302</v>
      </c>
      <c r="F23" s="193">
        <v>129162</v>
      </c>
      <c r="G23" s="193">
        <v>-38302</v>
      </c>
    </row>
    <row r="24">
      <c r="A24" s="75" t="s">
        <v>441</v>
      </c>
      <c r="B24" s="75" t="s">
        <v>1336</v>
      </c>
      <c r="C24" s="270" t="s">
        <v>131</v>
      </c>
      <c r="D24" s="193">
        <v>617659</v>
      </c>
      <c r="E24" s="193">
        <v>723005</v>
      </c>
      <c r="F24" s="193">
        <v>617659</v>
      </c>
      <c r="G24" s="193">
        <v>723005</v>
      </c>
    </row>
    <row r="25">
      <c r="A25" s="75" t="s">
        <v>329</v>
      </c>
      <c r="B25" s="75" t="s">
        <v>1120</v>
      </c>
      <c r="C25" s="270" t="s">
        <v>1131</v>
      </c>
      <c r="D25" s="193">
        <v>377421</v>
      </c>
      <c r="E25" s="193">
        <v>364563</v>
      </c>
      <c r="F25" s="193">
        <v>377421</v>
      </c>
      <c r="G25" s="193">
        <v>364563</v>
      </c>
    </row>
    <row r="26">
      <c r="A26" s="75" t="s">
        <v>45</v>
      </c>
      <c r="B26" s="75" t="s">
        <v>36</v>
      </c>
      <c r="C26" s="270" t="s">
        <v>1376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897</v>
      </c>
      <c r="B27" s="75" t="s">
        <v>1207</v>
      </c>
      <c r="C27" s="270" t="s">
        <v>1134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863</v>
      </c>
      <c r="B28" s="75" t="s">
        <v>119</v>
      </c>
      <c r="C28" s="270" t="s">
        <v>611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815</v>
      </c>
      <c r="B29" s="75" t="s">
        <v>271</v>
      </c>
      <c r="C29" s="270" t="s">
        <v>587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536</v>
      </c>
      <c r="B30" s="75" t="s">
        <v>922</v>
      </c>
      <c r="C30" s="270" t="s">
        <v>963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1042</v>
      </c>
      <c r="B31" s="75" t="s">
        <v>952</v>
      </c>
      <c r="C31" s="270" t="s">
        <v>909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272</v>
      </c>
      <c r="B32" s="75" t="s">
        <v>744</v>
      </c>
      <c r="C32" s="270" t="s">
        <v>1018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552</v>
      </c>
      <c r="B33" s="75" t="s">
        <v>1364</v>
      </c>
      <c r="C33" s="270" t="s">
        <v>757</v>
      </c>
      <c r="D33" s="193">
        <v>371395</v>
      </c>
      <c r="E33" s="193">
        <v>358926</v>
      </c>
      <c r="F33" s="193">
        <v>371395</v>
      </c>
      <c r="G33" s="193">
        <v>358926</v>
      </c>
    </row>
    <row r="34">
      <c r="A34" s="75" t="s">
        <v>408</v>
      </c>
      <c r="B34" s="75" t="s">
        <v>625</v>
      </c>
      <c r="C34" s="270" t="s">
        <v>1081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151</v>
      </c>
      <c r="B35" s="75" t="s">
        <v>199</v>
      </c>
      <c r="C35" s="270" t="s">
        <v>475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527</v>
      </c>
      <c r="B36" s="75" t="s">
        <v>257</v>
      </c>
      <c r="C36" s="270" t="s">
        <v>1387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280</v>
      </c>
      <c r="B37" s="75" t="s">
        <v>697</v>
      </c>
      <c r="C37" s="270" t="s">
        <v>1069</v>
      </c>
      <c r="D37" s="193">
        <v>6026</v>
      </c>
      <c r="E37" s="193">
        <v>5637</v>
      </c>
      <c r="F37" s="193">
        <v>6026</v>
      </c>
      <c r="G37" s="193">
        <v>5637</v>
      </c>
    </row>
    <row r="38">
      <c r="A38" s="75" t="s">
        <v>359</v>
      </c>
      <c r="B38" s="75" t="s">
        <v>960</v>
      </c>
      <c r="C38" s="270" t="s">
        <v>458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1201</v>
      </c>
      <c r="B39" s="75" t="s">
        <v>992</v>
      </c>
      <c r="C39" s="270" t="s">
        <v>291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152</v>
      </c>
      <c r="B40" s="75" t="s">
        <v>1102</v>
      </c>
      <c r="C40" s="270" t="s">
        <v>1156</v>
      </c>
      <c r="D40" s="178">
        <v>0</v>
      </c>
      <c r="E40" s="193">
        <v>0</v>
      </c>
      <c r="F40" s="178">
        <v>0</v>
      </c>
      <c r="G40" s="193">
        <v>0</v>
      </c>
    </row>
    <row r="41">
      <c r="A41" s="75" t="s">
        <v>762</v>
      </c>
      <c r="B41" s="75" t="s">
        <v>509</v>
      </c>
      <c r="C41" s="270" t="s">
        <v>339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1000</v>
      </c>
      <c r="B42" s="75" t="s">
        <v>528</v>
      </c>
      <c r="C42" s="270" t="s">
        <v>283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536</v>
      </c>
      <c r="B43" s="75" t="s">
        <v>724</v>
      </c>
      <c r="C43" s="270" t="s">
        <v>443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710</v>
      </c>
      <c r="B44" s="75" t="s">
        <v>730</v>
      </c>
      <c r="C44" s="270" t="s">
        <v>718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371</v>
      </c>
      <c r="B45" s="75" t="s">
        <v>353</v>
      </c>
      <c r="C45" s="270" t="s">
        <v>198</v>
      </c>
      <c r="D45" s="193">
        <v>198313</v>
      </c>
      <c r="E45" s="193">
        <v>299385</v>
      </c>
      <c r="F45" s="193">
        <v>198313</v>
      </c>
      <c r="G45" s="193">
        <v>299385</v>
      </c>
    </row>
    <row r="46">
      <c r="A46" s="75" t="s">
        <v>315</v>
      </c>
      <c r="B46" s="75" t="s">
        <v>176</v>
      </c>
      <c r="C46" s="270" t="s">
        <v>409</v>
      </c>
      <c r="D46" s="193">
        <v>59387</v>
      </c>
      <c r="E46" s="193">
        <v>187251</v>
      </c>
      <c r="F46" s="193">
        <v>59387</v>
      </c>
      <c r="G46" s="193">
        <v>187251</v>
      </c>
    </row>
    <row r="47">
      <c r="A47" s="75" t="s">
        <v>897</v>
      </c>
      <c r="B47" s="75" t="s">
        <v>912</v>
      </c>
      <c r="C47" s="270" t="s">
        <v>318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863</v>
      </c>
      <c r="B48" s="75" t="s">
        <v>183</v>
      </c>
      <c r="C48" s="270" t="s">
        <v>803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815</v>
      </c>
      <c r="B49" s="75" t="s">
        <v>307</v>
      </c>
      <c r="C49" s="270" t="s">
        <v>780</v>
      </c>
      <c r="D49" s="193">
        <v>59387</v>
      </c>
      <c r="E49" s="193">
        <v>187251</v>
      </c>
      <c r="F49" s="193">
        <v>59387</v>
      </c>
      <c r="G49" s="193">
        <v>187251</v>
      </c>
    </row>
    <row r="50">
      <c r="A50" s="75" t="s">
        <v>536</v>
      </c>
      <c r="B50" s="75" t="s">
        <v>922</v>
      </c>
      <c r="C50" s="270" t="s">
        <v>1150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1042</v>
      </c>
      <c r="B51" s="75" t="s">
        <v>795</v>
      </c>
      <c r="C51" s="270" t="s">
        <v>174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272</v>
      </c>
      <c r="B52" s="75" t="s">
        <v>1032</v>
      </c>
      <c r="C52" s="270" t="s">
        <v>69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552</v>
      </c>
      <c r="B53" s="75" t="s">
        <v>1333</v>
      </c>
      <c r="C53" s="270" t="s">
        <v>202</v>
      </c>
      <c r="D53" s="193">
        <v>90000</v>
      </c>
      <c r="E53" s="193">
        <v>90000</v>
      </c>
      <c r="F53" s="193">
        <v>90000</v>
      </c>
      <c r="G53" s="193">
        <v>90000</v>
      </c>
    </row>
    <row r="54">
      <c r="A54" s="75" t="s">
        <v>408</v>
      </c>
      <c r="B54" s="75" t="s">
        <v>936</v>
      </c>
      <c r="C54" s="270" t="s">
        <v>333</v>
      </c>
      <c r="D54" s="193">
        <v>10456</v>
      </c>
      <c r="E54" s="193">
        <v>6278</v>
      </c>
      <c r="F54" s="193">
        <v>10456</v>
      </c>
      <c r="G54" s="193">
        <v>6278</v>
      </c>
    </row>
    <row r="55">
      <c r="A55" s="75" t="s">
        <v>151</v>
      </c>
      <c r="B55" s="75" t="s">
        <v>551</v>
      </c>
      <c r="C55" s="270" t="s">
        <v>437</v>
      </c>
      <c r="D55" s="193">
        <v>15556</v>
      </c>
      <c r="E55" s="193">
        <v>4780</v>
      </c>
      <c r="F55" s="193">
        <v>15556</v>
      </c>
      <c r="G55" s="193">
        <v>4780</v>
      </c>
    </row>
    <row r="56">
      <c r="A56" s="75" t="s">
        <v>527</v>
      </c>
      <c r="B56" s="75" t="s">
        <v>1075</v>
      </c>
      <c r="C56" s="270" t="s">
        <v>1389</v>
      </c>
      <c r="D56" s="193">
        <v>12414</v>
      </c>
      <c r="E56" s="193">
        <v>576</v>
      </c>
      <c r="F56" s="193">
        <v>12414</v>
      </c>
      <c r="G56" s="193">
        <v>576</v>
      </c>
    </row>
    <row r="57">
      <c r="A57" s="75" t="s">
        <v>280</v>
      </c>
      <c r="B57" s="75" t="s">
        <v>1210</v>
      </c>
      <c r="C57" s="270" t="s">
        <v>1276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359</v>
      </c>
      <c r="B58" s="75" t="s">
        <v>983</v>
      </c>
      <c r="C58" s="270" t="s">
        <v>1056</v>
      </c>
      <c r="D58" s="193">
        <v>10500</v>
      </c>
      <c r="E58" s="193">
        <v>10500</v>
      </c>
      <c r="F58" s="193">
        <v>10500</v>
      </c>
      <c r="G58" s="193">
        <v>10500</v>
      </c>
    </row>
    <row r="59">
      <c r="A59" s="75" t="s">
        <v>499</v>
      </c>
      <c r="B59" s="75" t="s">
        <v>948</v>
      </c>
      <c r="C59" s="270" t="s">
        <v>859</v>
      </c>
      <c r="D59" s="193">
        <v>498</v>
      </c>
      <c r="E59" s="193">
        <v>0</v>
      </c>
      <c r="F59" s="193">
        <v>498</v>
      </c>
      <c r="G59" s="193">
        <v>0</v>
      </c>
    </row>
    <row r="60">
      <c r="A60" s="75" t="s">
        <v>944</v>
      </c>
      <c r="B60" s="75" t="s">
        <v>30</v>
      </c>
      <c r="C60" s="270" t="s">
        <v>1241</v>
      </c>
      <c r="D60" s="193">
        <v>498</v>
      </c>
      <c r="E60" s="193">
        <v>0</v>
      </c>
      <c r="F60" s="193">
        <v>498</v>
      </c>
      <c r="G60" s="193">
        <v>0</v>
      </c>
    </row>
    <row r="61">
      <c r="A61" s="75" t="s">
        <v>536</v>
      </c>
      <c r="B61" s="75" t="s">
        <v>1360</v>
      </c>
      <c r="C61" s="270" t="s">
        <v>976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87</v>
      </c>
      <c r="B62" s="75" t="s">
        <v>1299</v>
      </c>
      <c r="C62" s="270" t="s">
        <v>1266</v>
      </c>
      <c r="D62" s="193">
        <v>18268</v>
      </c>
      <c r="E62" s="193">
        <v>32039</v>
      </c>
      <c r="F62" s="193">
        <v>18268</v>
      </c>
      <c r="G62" s="193">
        <v>32039</v>
      </c>
    </row>
    <row r="63">
      <c r="A63" s="75" t="s">
        <v>184</v>
      </c>
      <c r="B63" s="75" t="s">
        <v>559</v>
      </c>
      <c r="C63" s="270" t="s">
        <v>19</v>
      </c>
      <c r="D63" s="193">
        <v>23159</v>
      </c>
      <c r="E63" s="193">
        <v>27018</v>
      </c>
      <c r="F63" s="193">
        <v>23159</v>
      </c>
      <c r="G63" s="193">
        <v>27018</v>
      </c>
    </row>
    <row r="64">
      <c r="A64" s="75" t="s">
        <v>1338</v>
      </c>
      <c r="B64" s="75" t="s">
        <v>961</v>
      </c>
      <c r="C64" s="270" t="s">
        <v>693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1363</v>
      </c>
      <c r="B65" s="75" t="s">
        <v>663</v>
      </c>
      <c r="C65" s="270" t="s">
        <v>716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536</v>
      </c>
      <c r="B66" s="75" t="s">
        <v>678</v>
      </c>
      <c r="C66" s="270" t="s">
        <v>1144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1042</v>
      </c>
      <c r="B67" s="75" t="s">
        <v>1312</v>
      </c>
      <c r="C67" s="270" t="s">
        <v>864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272</v>
      </c>
      <c r="B68" s="75" t="s">
        <v>261</v>
      </c>
      <c r="C68" s="270" t="s">
        <v>1047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1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79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63.5546875" style="2" customWidth="1"/>
    <col min="3" max="3" width="4.44140625" style="63" customWidth="1"/>
    <col min="4" max="11" width="15.33203125" style="257" customWidth="1"/>
    <col min="12" max="16384" width="9.109375" style="124"/>
  </cols>
  <sheetData>
    <row r="1">
      <c r="A1" s="11" t="s">
        <v>1388</v>
      </c>
      <c r="B1" s="11" t="s">
        <v>1203</v>
      </c>
      <c r="C1" s="55" t="s">
        <v>62</v>
      </c>
      <c r="D1" s="173" t="s">
        <v>626</v>
      </c>
      <c r="E1" s="173" t="s">
        <v>310</v>
      </c>
      <c r="F1" s="173" t="s">
        <v>1231</v>
      </c>
      <c r="G1" s="173" t="s">
        <v>605</v>
      </c>
      <c r="H1" s="173" t="s">
        <v>794</v>
      </c>
      <c r="I1" s="173" t="s">
        <v>275</v>
      </c>
      <c r="J1" s="173" t="s">
        <v>1063</v>
      </c>
      <c r="K1" s="173" t="s">
        <v>556</v>
      </c>
    </row>
    <row r="2">
      <c r="A2" s="75" t="s">
        <v>855</v>
      </c>
      <c r="B2" s="75" t="s">
        <v>206</v>
      </c>
      <c r="C2" s="270" t="s">
        <v>292</v>
      </c>
      <c r="D2" s="193">
        <v>527803</v>
      </c>
      <c r="E2" s="193">
        <v>242598</v>
      </c>
      <c r="F2" s="193">
        <v>285205</v>
      </c>
      <c r="G2" s="193">
        <v>366112</v>
      </c>
      <c r="H2" s="193">
        <v>527803</v>
      </c>
      <c r="I2" s="193">
        <v>242598</v>
      </c>
      <c r="J2" s="193">
        <v>285205</v>
      </c>
      <c r="K2" s="193">
        <v>366112</v>
      </c>
    </row>
    <row r="3">
      <c r="A3" s="75" t="s">
        <v>121</v>
      </c>
      <c r="B3" s="75" t="s">
        <v>731</v>
      </c>
      <c r="C3" s="270" t="s">
        <v>987</v>
      </c>
      <c r="D3" s="158">
        <v>497101</v>
      </c>
      <c r="E3" s="158">
        <v>242598</v>
      </c>
      <c r="F3" s="158">
        <v>254503</v>
      </c>
      <c r="G3" s="158">
        <v>265100</v>
      </c>
      <c r="H3" s="158">
        <v>497101</v>
      </c>
      <c r="I3" s="158">
        <v>242598</v>
      </c>
      <c r="J3" s="158">
        <v>254503</v>
      </c>
      <c r="K3" s="158">
        <v>265100</v>
      </c>
    </row>
    <row r="4">
      <c r="A4" s="75" t="s">
        <v>38</v>
      </c>
      <c r="B4" s="75" t="s">
        <v>358</v>
      </c>
      <c r="C4" s="270" t="s">
        <v>373</v>
      </c>
      <c r="D4" s="193">
        <v>7958</v>
      </c>
      <c r="E4" s="193">
        <v>7958</v>
      </c>
      <c r="F4" s="193">
        <v>0</v>
      </c>
      <c r="G4" s="193">
        <v>0</v>
      </c>
      <c r="H4" s="193">
        <v>7958</v>
      </c>
      <c r="I4" s="193">
        <v>7958</v>
      </c>
      <c r="J4" s="193">
        <v>0</v>
      </c>
      <c r="K4" s="193">
        <v>0</v>
      </c>
    </row>
    <row r="5">
      <c r="A5" s="75" t="s">
        <v>157</v>
      </c>
      <c r="B5" s="75" t="s">
        <v>838</v>
      </c>
      <c r="C5" s="270" t="s">
        <v>696</v>
      </c>
      <c r="D5" s="178">
        <v>0</v>
      </c>
      <c r="E5" s="178">
        <v>0</v>
      </c>
      <c r="F5" s="178">
        <v>0</v>
      </c>
      <c r="G5" s="193">
        <v>0</v>
      </c>
      <c r="H5" s="178">
        <v>0</v>
      </c>
      <c r="I5" s="178">
        <v>0</v>
      </c>
      <c r="J5" s="178">
        <v>0</v>
      </c>
      <c r="K5" s="193">
        <v>0</v>
      </c>
    </row>
    <row r="6">
      <c r="A6" s="75" t="s">
        <v>536</v>
      </c>
      <c r="B6" s="75" t="s">
        <v>578</v>
      </c>
      <c r="C6" s="270" t="s">
        <v>1146</v>
      </c>
      <c r="D6" s="193">
        <v>7958</v>
      </c>
      <c r="E6" s="193">
        <v>7958</v>
      </c>
      <c r="F6" s="193">
        <v>0</v>
      </c>
      <c r="G6" s="193">
        <v>0</v>
      </c>
      <c r="H6" s="193">
        <v>7958</v>
      </c>
      <c r="I6" s="193">
        <v>7958</v>
      </c>
      <c r="J6" s="193">
        <v>0</v>
      </c>
      <c r="K6" s="193">
        <v>0</v>
      </c>
    </row>
    <row r="7">
      <c r="A7" s="75" t="s">
        <v>1042</v>
      </c>
      <c r="B7" s="75" t="s">
        <v>1020</v>
      </c>
      <c r="C7" s="270" t="s">
        <v>852</v>
      </c>
      <c r="D7" s="178">
        <v>0</v>
      </c>
      <c r="E7" s="178">
        <v>0</v>
      </c>
      <c r="F7" s="178">
        <v>0</v>
      </c>
      <c r="G7" s="193">
        <v>0</v>
      </c>
      <c r="H7" s="178">
        <v>0</v>
      </c>
      <c r="I7" s="178">
        <v>0</v>
      </c>
      <c r="J7" s="178">
        <v>0</v>
      </c>
      <c r="K7" s="193">
        <v>0</v>
      </c>
    </row>
    <row r="8">
      <c r="A8" s="75" t="s">
        <v>272</v>
      </c>
      <c r="B8" s="75" t="s">
        <v>732</v>
      </c>
      <c r="C8" s="270" t="s">
        <v>580</v>
      </c>
      <c r="D8" s="178">
        <v>0</v>
      </c>
      <c r="E8" s="178">
        <v>0</v>
      </c>
      <c r="F8" s="178">
        <v>0</v>
      </c>
      <c r="G8" s="193">
        <v>0</v>
      </c>
      <c r="H8" s="178">
        <v>0</v>
      </c>
      <c r="I8" s="178">
        <v>0</v>
      </c>
      <c r="J8" s="178">
        <v>0</v>
      </c>
      <c r="K8" s="193">
        <v>0</v>
      </c>
    </row>
    <row r="9">
      <c r="A9" s="75" t="s">
        <v>552</v>
      </c>
      <c r="B9" s="75" t="s">
        <v>714</v>
      </c>
      <c r="C9" s="270" t="s">
        <v>245</v>
      </c>
      <c r="D9" s="178">
        <v>0</v>
      </c>
      <c r="E9" s="178">
        <v>0</v>
      </c>
      <c r="F9" s="178">
        <v>0</v>
      </c>
      <c r="G9" s="193">
        <v>0</v>
      </c>
      <c r="H9" s="178">
        <v>0</v>
      </c>
      <c r="I9" s="178">
        <v>0</v>
      </c>
      <c r="J9" s="178">
        <v>0</v>
      </c>
      <c r="K9" s="193">
        <v>0</v>
      </c>
    </row>
    <row r="10">
      <c r="A10" s="75" t="s">
        <v>408</v>
      </c>
      <c r="B10" s="75" t="s">
        <v>823</v>
      </c>
      <c r="C10" s="270" t="s">
        <v>1269</v>
      </c>
      <c r="D10" s="178">
        <v>0</v>
      </c>
      <c r="E10" s="178">
        <v>0</v>
      </c>
      <c r="F10" s="178">
        <v>0</v>
      </c>
      <c r="G10" s="193">
        <v>0</v>
      </c>
      <c r="H10" s="178">
        <v>0</v>
      </c>
      <c r="I10" s="178">
        <v>0</v>
      </c>
      <c r="J10" s="178">
        <v>0</v>
      </c>
      <c r="K10" s="193">
        <v>0</v>
      </c>
    </row>
    <row r="11">
      <c r="A11" s="75" t="s">
        <v>151</v>
      </c>
      <c r="B11" s="75" t="s">
        <v>849</v>
      </c>
      <c r="C11" s="270" t="s">
        <v>830</v>
      </c>
      <c r="D11" s="178">
        <v>0</v>
      </c>
      <c r="E11" s="178">
        <v>0</v>
      </c>
      <c r="F11" s="178">
        <v>0</v>
      </c>
      <c r="G11" s="193">
        <v>0</v>
      </c>
      <c r="H11" s="178">
        <v>0</v>
      </c>
      <c r="I11" s="178">
        <v>0</v>
      </c>
      <c r="J11" s="178">
        <v>0</v>
      </c>
      <c r="K11" s="193">
        <v>0</v>
      </c>
    </row>
    <row r="12">
      <c r="A12" s="75" t="s">
        <v>226</v>
      </c>
      <c r="B12" s="75" t="s">
        <v>228</v>
      </c>
      <c r="C12" s="270" t="s">
        <v>237</v>
      </c>
      <c r="D12" s="193">
        <v>489143</v>
      </c>
      <c r="E12" s="193">
        <v>234640</v>
      </c>
      <c r="F12" s="193">
        <v>254503</v>
      </c>
      <c r="G12" s="193">
        <v>265100</v>
      </c>
      <c r="H12" s="193">
        <v>489143</v>
      </c>
      <c r="I12" s="193">
        <v>234640</v>
      </c>
      <c r="J12" s="193">
        <v>254503</v>
      </c>
      <c r="K12" s="193">
        <v>265100</v>
      </c>
    </row>
    <row r="13">
      <c r="A13" s="75" t="s">
        <v>490</v>
      </c>
      <c r="B13" s="75" t="s">
        <v>975</v>
      </c>
      <c r="C13" s="270" t="s">
        <v>655</v>
      </c>
      <c r="D13" s="193">
        <v>30163</v>
      </c>
      <c r="E13" s="178">
        <v>0</v>
      </c>
      <c r="F13" s="193">
        <v>30163</v>
      </c>
      <c r="G13" s="193">
        <v>30163</v>
      </c>
      <c r="H13" s="193">
        <v>30163</v>
      </c>
      <c r="I13" s="178">
        <v>0</v>
      </c>
      <c r="J13" s="193">
        <v>30163</v>
      </c>
      <c r="K13" s="193">
        <v>30163</v>
      </c>
    </row>
    <row r="14">
      <c r="A14" s="75" t="s">
        <v>536</v>
      </c>
      <c r="B14" s="75" t="s">
        <v>211</v>
      </c>
      <c r="C14" s="270" t="s">
        <v>374</v>
      </c>
      <c r="D14" s="193">
        <v>252901</v>
      </c>
      <c r="E14" s="193">
        <v>117045</v>
      </c>
      <c r="F14" s="193">
        <v>135856</v>
      </c>
      <c r="G14" s="193">
        <v>145983</v>
      </c>
      <c r="H14" s="193">
        <v>252901</v>
      </c>
      <c r="I14" s="193">
        <v>117045</v>
      </c>
      <c r="J14" s="193">
        <v>135856</v>
      </c>
      <c r="K14" s="193">
        <v>145983</v>
      </c>
    </row>
    <row r="15">
      <c r="A15" s="75" t="s">
        <v>1042</v>
      </c>
      <c r="B15" s="75" t="s">
        <v>896</v>
      </c>
      <c r="C15" s="270" t="s">
        <v>1021</v>
      </c>
      <c r="D15" s="193">
        <v>146153</v>
      </c>
      <c r="E15" s="193">
        <v>111481</v>
      </c>
      <c r="F15" s="193">
        <v>34672</v>
      </c>
      <c r="G15" s="193">
        <v>32631</v>
      </c>
      <c r="H15" s="193">
        <v>146153</v>
      </c>
      <c r="I15" s="193">
        <v>111481</v>
      </c>
      <c r="J15" s="193">
        <v>34672</v>
      </c>
      <c r="K15" s="193">
        <v>32631</v>
      </c>
    </row>
    <row r="16">
      <c r="A16" s="75" t="s">
        <v>272</v>
      </c>
      <c r="B16" s="75" t="s">
        <v>4</v>
      </c>
      <c r="C16" s="270" t="s">
        <v>754</v>
      </c>
      <c r="D16" s="178">
        <v>0</v>
      </c>
      <c r="E16" s="178">
        <v>0</v>
      </c>
      <c r="F16" s="178">
        <v>0</v>
      </c>
      <c r="G16" s="193">
        <v>0</v>
      </c>
      <c r="H16" s="178">
        <v>0</v>
      </c>
      <c r="I16" s="178">
        <v>0</v>
      </c>
      <c r="J16" s="178">
        <v>0</v>
      </c>
      <c r="K16" s="193">
        <v>0</v>
      </c>
    </row>
    <row r="17">
      <c r="A17" s="75" t="s">
        <v>552</v>
      </c>
      <c r="B17" s="75" t="s">
        <v>659</v>
      </c>
      <c r="C17" s="270" t="s">
        <v>39</v>
      </c>
      <c r="D17" s="178">
        <v>0</v>
      </c>
      <c r="E17" s="178">
        <v>0</v>
      </c>
      <c r="F17" s="178">
        <v>0</v>
      </c>
      <c r="G17" s="193">
        <v>0</v>
      </c>
      <c r="H17" s="178">
        <v>0</v>
      </c>
      <c r="I17" s="178">
        <v>0</v>
      </c>
      <c r="J17" s="178">
        <v>0</v>
      </c>
      <c r="K17" s="193">
        <v>0</v>
      </c>
    </row>
    <row r="18">
      <c r="A18" s="75" t="s">
        <v>408</v>
      </c>
      <c r="B18" s="75" t="s">
        <v>641</v>
      </c>
      <c r="C18" s="270" t="s">
        <v>627</v>
      </c>
      <c r="D18" s="193">
        <v>6399</v>
      </c>
      <c r="E18" s="193">
        <v>6114</v>
      </c>
      <c r="F18" s="193">
        <v>285</v>
      </c>
      <c r="G18" s="193">
        <v>530</v>
      </c>
      <c r="H18" s="193">
        <v>6399</v>
      </c>
      <c r="I18" s="193">
        <v>6114</v>
      </c>
      <c r="J18" s="193">
        <v>285</v>
      </c>
      <c r="K18" s="193">
        <v>530</v>
      </c>
    </row>
    <row r="19">
      <c r="A19" s="75" t="s">
        <v>151</v>
      </c>
      <c r="B19" s="75" t="s">
        <v>400</v>
      </c>
      <c r="C19" s="270" t="s">
        <v>330</v>
      </c>
      <c r="D19" s="193">
        <v>53527</v>
      </c>
      <c r="E19" s="178">
        <v>0</v>
      </c>
      <c r="F19" s="193">
        <v>53527</v>
      </c>
      <c r="G19" s="193">
        <v>55793</v>
      </c>
      <c r="H19" s="193">
        <v>53527</v>
      </c>
      <c r="I19" s="178">
        <v>0</v>
      </c>
      <c r="J19" s="193">
        <v>53527</v>
      </c>
      <c r="K19" s="193">
        <v>55793</v>
      </c>
    </row>
    <row r="20">
      <c r="A20" s="75" t="s">
        <v>527</v>
      </c>
      <c r="B20" s="75" t="s">
        <v>1103</v>
      </c>
      <c r="C20" s="270" t="s">
        <v>866</v>
      </c>
      <c r="D20" s="178">
        <v>0</v>
      </c>
      <c r="E20" s="178">
        <v>0</v>
      </c>
      <c r="F20" s="178">
        <v>0</v>
      </c>
      <c r="G20" s="193">
        <v>0</v>
      </c>
      <c r="H20" s="178">
        <v>0</v>
      </c>
      <c r="I20" s="178">
        <v>0</v>
      </c>
      <c r="J20" s="178">
        <v>0</v>
      </c>
      <c r="K20" s="193">
        <v>0</v>
      </c>
    </row>
    <row r="21">
      <c r="A21" s="75" t="s">
        <v>280</v>
      </c>
      <c r="B21" s="75" t="s">
        <v>1143</v>
      </c>
      <c r="C21" s="270" t="s">
        <v>43</v>
      </c>
      <c r="D21" s="178">
        <v>0</v>
      </c>
      <c r="E21" s="178">
        <v>0</v>
      </c>
      <c r="F21" s="178">
        <v>0</v>
      </c>
      <c r="G21" s="193">
        <v>0</v>
      </c>
      <c r="H21" s="178">
        <v>0</v>
      </c>
      <c r="I21" s="178">
        <v>0</v>
      </c>
      <c r="J21" s="178">
        <v>0</v>
      </c>
      <c r="K21" s="193">
        <v>0</v>
      </c>
    </row>
    <row r="22">
      <c r="A22" s="75" t="s">
        <v>1273</v>
      </c>
      <c r="B22" s="75" t="s">
        <v>971</v>
      </c>
      <c r="C22" s="270" t="s">
        <v>1369</v>
      </c>
      <c r="D22" s="178">
        <v>0</v>
      </c>
      <c r="E22" s="178">
        <v>0</v>
      </c>
      <c r="F22" s="178">
        <v>0</v>
      </c>
      <c r="G22" s="193">
        <v>0</v>
      </c>
      <c r="H22" s="178">
        <v>0</v>
      </c>
      <c r="I22" s="178">
        <v>0</v>
      </c>
      <c r="J22" s="178">
        <v>0</v>
      </c>
      <c r="K22" s="193">
        <v>0</v>
      </c>
    </row>
    <row r="23">
      <c r="A23" s="75" t="s">
        <v>608</v>
      </c>
      <c r="B23" s="75" t="s">
        <v>107</v>
      </c>
      <c r="C23" s="270" t="s">
        <v>974</v>
      </c>
      <c r="D23" s="178">
        <v>0</v>
      </c>
      <c r="E23" s="178">
        <v>0</v>
      </c>
      <c r="F23" s="178">
        <v>0</v>
      </c>
      <c r="G23" s="193">
        <v>0</v>
      </c>
      <c r="H23" s="178">
        <v>0</v>
      </c>
      <c r="I23" s="178">
        <v>0</v>
      </c>
      <c r="J23" s="178">
        <v>0</v>
      </c>
      <c r="K23" s="193">
        <v>0</v>
      </c>
    </row>
    <row r="24">
      <c r="A24" s="75" t="s">
        <v>536</v>
      </c>
      <c r="B24" s="75" t="s">
        <v>548</v>
      </c>
      <c r="C24" s="270" t="s">
        <v>1310</v>
      </c>
      <c r="D24" s="178">
        <v>0</v>
      </c>
      <c r="E24" s="178">
        <v>0</v>
      </c>
      <c r="F24" s="178">
        <v>0</v>
      </c>
      <c r="G24" s="193">
        <v>0</v>
      </c>
      <c r="H24" s="178">
        <v>0</v>
      </c>
      <c r="I24" s="178">
        <v>0</v>
      </c>
      <c r="J24" s="178">
        <v>0</v>
      </c>
      <c r="K24" s="193">
        <v>0</v>
      </c>
    </row>
    <row r="25">
      <c r="A25" s="75" t="s">
        <v>1042</v>
      </c>
      <c r="B25" s="75" t="s">
        <v>98</v>
      </c>
      <c r="C25" s="270" t="s">
        <v>1195</v>
      </c>
      <c r="D25" s="178">
        <v>0</v>
      </c>
      <c r="E25" s="178">
        <v>0</v>
      </c>
      <c r="F25" s="178">
        <v>0</v>
      </c>
      <c r="G25" s="193">
        <v>0</v>
      </c>
      <c r="H25" s="178">
        <v>0</v>
      </c>
      <c r="I25" s="178">
        <v>0</v>
      </c>
      <c r="J25" s="178">
        <v>0</v>
      </c>
      <c r="K25" s="193">
        <v>0</v>
      </c>
    </row>
    <row r="26">
      <c r="A26" s="75" t="s">
        <v>272</v>
      </c>
      <c r="B26" s="75" t="s">
        <v>603</v>
      </c>
      <c r="C26" s="270" t="s">
        <v>1133</v>
      </c>
      <c r="D26" s="178">
        <v>0</v>
      </c>
      <c r="E26" s="178">
        <v>0</v>
      </c>
      <c r="F26" s="178">
        <v>0</v>
      </c>
      <c r="G26" s="193">
        <v>0</v>
      </c>
      <c r="H26" s="178">
        <v>0</v>
      </c>
      <c r="I26" s="178">
        <v>0</v>
      </c>
      <c r="J26" s="178">
        <v>0</v>
      </c>
      <c r="K26" s="193">
        <v>0</v>
      </c>
    </row>
    <row r="27">
      <c r="A27" s="75" t="s">
        <v>552</v>
      </c>
      <c r="B27" s="75" t="s">
        <v>1298</v>
      </c>
      <c r="C27" s="270" t="s">
        <v>579</v>
      </c>
      <c r="D27" s="178">
        <v>0</v>
      </c>
      <c r="E27" s="178">
        <v>0</v>
      </c>
      <c r="F27" s="178">
        <v>0</v>
      </c>
      <c r="G27" s="193">
        <v>0</v>
      </c>
      <c r="H27" s="178">
        <v>0</v>
      </c>
      <c r="I27" s="178">
        <v>0</v>
      </c>
      <c r="J27" s="178">
        <v>0</v>
      </c>
      <c r="K27" s="193">
        <v>0</v>
      </c>
    </row>
    <row r="28">
      <c r="A28" s="75" t="s">
        <v>408</v>
      </c>
      <c r="B28" s="75" t="s">
        <v>195</v>
      </c>
      <c r="C28" s="270" t="s">
        <v>1142</v>
      </c>
      <c r="D28" s="178">
        <v>0</v>
      </c>
      <c r="E28" s="178">
        <v>0</v>
      </c>
      <c r="F28" s="178">
        <v>0</v>
      </c>
      <c r="G28" s="193">
        <v>0</v>
      </c>
      <c r="H28" s="178">
        <v>0</v>
      </c>
      <c r="I28" s="178">
        <v>0</v>
      </c>
      <c r="J28" s="178">
        <v>0</v>
      </c>
      <c r="K28" s="193">
        <v>0</v>
      </c>
    </row>
    <row r="29">
      <c r="A29" s="75" t="s">
        <v>151</v>
      </c>
      <c r="B29" s="75" t="s">
        <v>1335</v>
      </c>
      <c r="C29" s="270" t="s">
        <v>592</v>
      </c>
      <c r="D29" s="178">
        <v>0</v>
      </c>
      <c r="E29" s="178">
        <v>0</v>
      </c>
      <c r="F29" s="178">
        <v>0</v>
      </c>
      <c r="G29" s="193">
        <v>0</v>
      </c>
      <c r="H29" s="178">
        <v>0</v>
      </c>
      <c r="I29" s="178">
        <v>0</v>
      </c>
      <c r="J29" s="178">
        <v>0</v>
      </c>
      <c r="K29" s="193">
        <v>0</v>
      </c>
    </row>
    <row r="30">
      <c r="A30" s="75" t="s">
        <v>527</v>
      </c>
      <c r="B30" s="75" t="s">
        <v>180</v>
      </c>
      <c r="C30" s="270" t="s">
        <v>1093</v>
      </c>
      <c r="D30" s="178">
        <v>0</v>
      </c>
      <c r="E30" s="178">
        <v>0</v>
      </c>
      <c r="F30" s="178">
        <v>0</v>
      </c>
      <c r="G30" s="193">
        <v>0</v>
      </c>
      <c r="H30" s="178">
        <v>0</v>
      </c>
      <c r="I30" s="178">
        <v>0</v>
      </c>
      <c r="J30" s="178">
        <v>0</v>
      </c>
      <c r="K30" s="193">
        <v>0</v>
      </c>
    </row>
    <row r="31">
      <c r="A31" s="75" t="s">
        <v>280</v>
      </c>
      <c r="B31" s="75" t="s">
        <v>759</v>
      </c>
      <c r="C31" s="270" t="s">
        <v>719</v>
      </c>
      <c r="D31" s="178">
        <v>0</v>
      </c>
      <c r="E31" s="178">
        <v>0</v>
      </c>
      <c r="F31" s="178">
        <v>0</v>
      </c>
      <c r="G31" s="193">
        <v>0</v>
      </c>
      <c r="H31" s="178">
        <v>0</v>
      </c>
      <c r="I31" s="178">
        <v>0</v>
      </c>
      <c r="J31" s="178">
        <v>0</v>
      </c>
      <c r="K31" s="193">
        <v>0</v>
      </c>
    </row>
    <row r="32">
      <c r="A32" s="75" t="s">
        <v>359</v>
      </c>
      <c r="B32" s="75" t="s">
        <v>1099</v>
      </c>
      <c r="C32" s="270" t="s">
        <v>845</v>
      </c>
      <c r="D32" s="178">
        <v>0</v>
      </c>
      <c r="E32" s="178">
        <v>0</v>
      </c>
      <c r="F32" s="178">
        <v>0</v>
      </c>
      <c r="G32" s="193">
        <v>0</v>
      </c>
      <c r="H32" s="178">
        <v>0</v>
      </c>
      <c r="I32" s="178">
        <v>0</v>
      </c>
      <c r="J32" s="178">
        <v>0</v>
      </c>
      <c r="K32" s="193">
        <v>0</v>
      </c>
    </row>
    <row r="33">
      <c r="A33" s="75" t="s">
        <v>1201</v>
      </c>
      <c r="B33" s="75" t="s">
        <v>1115</v>
      </c>
      <c r="C33" s="270" t="s">
        <v>972</v>
      </c>
      <c r="D33" s="178">
        <v>0</v>
      </c>
      <c r="E33" s="178">
        <v>0</v>
      </c>
      <c r="F33" s="178">
        <v>0</v>
      </c>
      <c r="G33" s="193">
        <v>0</v>
      </c>
      <c r="H33" s="178">
        <v>0</v>
      </c>
      <c r="I33" s="178">
        <v>0</v>
      </c>
      <c r="J33" s="178">
        <v>0</v>
      </c>
      <c r="K33" s="193">
        <v>0</v>
      </c>
    </row>
    <row r="34">
      <c r="A34" s="75" t="s">
        <v>441</v>
      </c>
      <c r="B34" s="75" t="s">
        <v>1257</v>
      </c>
      <c r="C34" s="270" t="s">
        <v>741</v>
      </c>
      <c r="D34" s="193">
        <v>30351</v>
      </c>
      <c r="E34" s="193">
        <v>0</v>
      </c>
      <c r="F34" s="193">
        <v>30351</v>
      </c>
      <c r="G34" s="193">
        <v>101012</v>
      </c>
      <c r="H34" s="193">
        <v>30351</v>
      </c>
      <c r="I34" s="193">
        <v>0</v>
      </c>
      <c r="J34" s="193">
        <v>30351</v>
      </c>
      <c r="K34" s="193">
        <v>101012</v>
      </c>
    </row>
    <row r="35">
      <c r="A35" s="75" t="s">
        <v>1296</v>
      </c>
      <c r="B35" s="75" t="s">
        <v>1174</v>
      </c>
      <c r="C35" s="270" t="s">
        <v>480</v>
      </c>
      <c r="D35" s="193">
        <v>25120</v>
      </c>
      <c r="E35" s="178">
        <v>0</v>
      </c>
      <c r="F35" s="193">
        <v>25120</v>
      </c>
      <c r="G35" s="193">
        <v>24306</v>
      </c>
      <c r="H35" s="193">
        <v>25120</v>
      </c>
      <c r="I35" s="178">
        <v>0</v>
      </c>
      <c r="J35" s="193">
        <v>25120</v>
      </c>
      <c r="K35" s="193">
        <v>24306</v>
      </c>
    </row>
    <row r="36">
      <c r="A36" s="75" t="s">
        <v>45</v>
      </c>
      <c r="B36" s="75" t="s">
        <v>734</v>
      </c>
      <c r="C36" s="270" t="s">
        <v>465</v>
      </c>
      <c r="D36" s="193">
        <v>16420</v>
      </c>
      <c r="E36" s="178">
        <v>0</v>
      </c>
      <c r="F36" s="193">
        <v>16420</v>
      </c>
      <c r="G36" s="193">
        <v>15606</v>
      </c>
      <c r="H36" s="193">
        <v>16420</v>
      </c>
      <c r="I36" s="178">
        <v>0</v>
      </c>
      <c r="J36" s="193">
        <v>16420</v>
      </c>
      <c r="K36" s="193">
        <v>15606</v>
      </c>
    </row>
    <row r="37">
      <c r="A37" s="75" t="s">
        <v>536</v>
      </c>
      <c r="B37" s="75" t="s">
        <v>1027</v>
      </c>
      <c r="C37" s="270" t="s">
        <v>435</v>
      </c>
      <c r="D37" s="178">
        <v>0</v>
      </c>
      <c r="E37" s="178">
        <v>0</v>
      </c>
      <c r="F37" s="178">
        <v>0</v>
      </c>
      <c r="G37" s="193">
        <v>0</v>
      </c>
      <c r="H37" s="178">
        <v>0</v>
      </c>
      <c r="I37" s="178">
        <v>0</v>
      </c>
      <c r="J37" s="178">
        <v>0</v>
      </c>
      <c r="K37" s="193">
        <v>0</v>
      </c>
    </row>
    <row r="38">
      <c r="A38" s="75" t="s">
        <v>1042</v>
      </c>
      <c r="B38" s="75" t="s">
        <v>390</v>
      </c>
      <c r="C38" s="270" t="s">
        <v>520</v>
      </c>
      <c r="D38" s="178">
        <v>0</v>
      </c>
      <c r="E38" s="178">
        <v>0</v>
      </c>
      <c r="F38" s="178">
        <v>0</v>
      </c>
      <c r="G38" s="193">
        <v>0</v>
      </c>
      <c r="H38" s="178">
        <v>0</v>
      </c>
      <c r="I38" s="178">
        <v>0</v>
      </c>
      <c r="J38" s="178">
        <v>0</v>
      </c>
      <c r="K38" s="193">
        <v>0</v>
      </c>
    </row>
    <row r="39">
      <c r="A39" s="75" t="s">
        <v>272</v>
      </c>
      <c r="B39" s="75" t="s">
        <v>945</v>
      </c>
      <c r="C39" s="270" t="s">
        <v>93</v>
      </c>
      <c r="D39" s="193">
        <v>8700</v>
      </c>
      <c r="E39" s="178">
        <v>0</v>
      </c>
      <c r="F39" s="193">
        <v>8700</v>
      </c>
      <c r="G39" s="193">
        <v>8700</v>
      </c>
      <c r="H39" s="193">
        <v>8700</v>
      </c>
      <c r="I39" s="178">
        <v>0</v>
      </c>
      <c r="J39" s="193">
        <v>8700</v>
      </c>
      <c r="K39" s="193">
        <v>8700</v>
      </c>
    </row>
    <row r="40">
      <c r="A40" s="75" t="s">
        <v>552</v>
      </c>
      <c r="B40" s="75" t="s">
        <v>773</v>
      </c>
      <c r="C40" s="270" t="s">
        <v>543</v>
      </c>
      <c r="D40" s="178">
        <v>0</v>
      </c>
      <c r="E40" s="178">
        <v>0</v>
      </c>
      <c r="F40" s="178">
        <v>0</v>
      </c>
      <c r="G40" s="193">
        <v>0</v>
      </c>
      <c r="H40" s="178">
        <v>0</v>
      </c>
      <c r="I40" s="178">
        <v>0</v>
      </c>
      <c r="J40" s="178">
        <v>0</v>
      </c>
      <c r="K40" s="193">
        <v>0</v>
      </c>
    </row>
    <row r="41">
      <c r="A41" s="75" t="s">
        <v>408</v>
      </c>
      <c r="B41" s="75" t="s">
        <v>350</v>
      </c>
      <c r="C41" s="270" t="s">
        <v>798</v>
      </c>
      <c r="D41" s="178">
        <v>0</v>
      </c>
      <c r="E41" s="178">
        <v>0</v>
      </c>
      <c r="F41" s="178">
        <v>0</v>
      </c>
      <c r="G41" s="193">
        <v>0</v>
      </c>
      <c r="H41" s="178">
        <v>0</v>
      </c>
      <c r="I41" s="178">
        <v>0</v>
      </c>
      <c r="J41" s="178">
        <v>0</v>
      </c>
      <c r="K41" s="193">
        <v>0</v>
      </c>
    </row>
    <row r="42">
      <c r="A42" s="75" t="s">
        <v>762</v>
      </c>
      <c r="B42" s="75" t="s">
        <v>103</v>
      </c>
      <c r="C42" s="270" t="s">
        <v>345</v>
      </c>
      <c r="D42" s="193">
        <v>0</v>
      </c>
      <c r="E42" s="178">
        <v>0</v>
      </c>
      <c r="F42" s="193">
        <v>0</v>
      </c>
      <c r="G42" s="193">
        <v>0</v>
      </c>
      <c r="H42" s="193">
        <v>0</v>
      </c>
      <c r="I42" s="178">
        <v>0</v>
      </c>
      <c r="J42" s="193">
        <v>0</v>
      </c>
      <c r="K42" s="193">
        <v>0</v>
      </c>
    </row>
    <row r="43">
      <c r="A43" s="75" t="s">
        <v>1000</v>
      </c>
      <c r="B43" s="75" t="s">
        <v>267</v>
      </c>
      <c r="C43" s="270" t="s">
        <v>743</v>
      </c>
      <c r="D43" s="178">
        <v>0</v>
      </c>
      <c r="E43" s="178">
        <v>0</v>
      </c>
      <c r="F43" s="178">
        <v>0</v>
      </c>
      <c r="G43" s="193">
        <v>0</v>
      </c>
      <c r="H43" s="178">
        <v>0</v>
      </c>
      <c r="I43" s="178">
        <v>0</v>
      </c>
      <c r="J43" s="178">
        <v>0</v>
      </c>
      <c r="K43" s="193">
        <v>0</v>
      </c>
    </row>
    <row r="44">
      <c r="A44" s="75" t="s">
        <v>897</v>
      </c>
      <c r="B44" s="75" t="s">
        <v>512</v>
      </c>
      <c r="C44" s="270" t="s">
        <v>1238</v>
      </c>
      <c r="D44" s="178">
        <v>0</v>
      </c>
      <c r="E44" s="178">
        <v>0</v>
      </c>
      <c r="F44" s="178">
        <v>0</v>
      </c>
      <c r="G44" s="193">
        <v>0</v>
      </c>
      <c r="H44" s="178">
        <v>0</v>
      </c>
      <c r="I44" s="178">
        <v>0</v>
      </c>
      <c r="J44" s="178">
        <v>0</v>
      </c>
      <c r="K44" s="193">
        <v>0</v>
      </c>
    </row>
    <row r="45">
      <c r="A45" s="75" t="s">
        <v>863</v>
      </c>
      <c r="B45" s="75" t="s">
        <v>788</v>
      </c>
      <c r="C45" s="270" t="s">
        <v>919</v>
      </c>
      <c r="D45" s="178">
        <v>0</v>
      </c>
      <c r="E45" s="178">
        <v>0</v>
      </c>
      <c r="F45" s="178">
        <v>0</v>
      </c>
      <c r="G45" s="193">
        <v>0</v>
      </c>
      <c r="H45" s="178">
        <v>0</v>
      </c>
      <c r="I45" s="178">
        <v>0</v>
      </c>
      <c r="J45" s="178">
        <v>0</v>
      </c>
      <c r="K45" s="193">
        <v>0</v>
      </c>
    </row>
    <row r="46">
      <c r="A46" s="75" t="s">
        <v>815</v>
      </c>
      <c r="B46" s="75" t="s">
        <v>250</v>
      </c>
      <c r="C46" s="270" t="s">
        <v>86</v>
      </c>
      <c r="D46" s="178">
        <v>0</v>
      </c>
      <c r="E46" s="178">
        <v>0</v>
      </c>
      <c r="F46" s="178">
        <v>0</v>
      </c>
      <c r="G46" s="193">
        <v>0</v>
      </c>
      <c r="H46" s="178">
        <v>0</v>
      </c>
      <c r="I46" s="178">
        <v>0</v>
      </c>
      <c r="J46" s="178">
        <v>0</v>
      </c>
      <c r="K46" s="193">
        <v>0</v>
      </c>
    </row>
    <row r="47">
      <c r="A47" s="75" t="s">
        <v>536</v>
      </c>
      <c r="B47" s="75" t="s">
        <v>922</v>
      </c>
      <c r="C47" s="270" t="s">
        <v>213</v>
      </c>
      <c r="D47" s="178">
        <v>0</v>
      </c>
      <c r="E47" s="178">
        <v>0</v>
      </c>
      <c r="F47" s="178">
        <v>0</v>
      </c>
      <c r="G47" s="193">
        <v>0</v>
      </c>
      <c r="H47" s="178">
        <v>0</v>
      </c>
      <c r="I47" s="178">
        <v>0</v>
      </c>
      <c r="J47" s="178">
        <v>0</v>
      </c>
      <c r="K47" s="193">
        <v>0</v>
      </c>
    </row>
    <row r="48">
      <c r="A48" s="75" t="s">
        <v>1042</v>
      </c>
      <c r="B48" s="75" t="s">
        <v>1119</v>
      </c>
      <c r="C48" s="270" t="s">
        <v>704</v>
      </c>
      <c r="D48" s="178">
        <v>0</v>
      </c>
      <c r="E48" s="178">
        <v>0</v>
      </c>
      <c r="F48" s="178">
        <v>0</v>
      </c>
      <c r="G48" s="193">
        <v>0</v>
      </c>
      <c r="H48" s="178">
        <v>0</v>
      </c>
      <c r="I48" s="178">
        <v>0</v>
      </c>
      <c r="J48" s="178">
        <v>0</v>
      </c>
      <c r="K48" s="193">
        <v>0</v>
      </c>
    </row>
    <row r="49">
      <c r="A49" s="75" t="s">
        <v>272</v>
      </c>
      <c r="B49" s="75" t="s">
        <v>182</v>
      </c>
      <c r="C49" s="270" t="s">
        <v>843</v>
      </c>
      <c r="D49" s="178">
        <v>0</v>
      </c>
      <c r="E49" s="178">
        <v>0</v>
      </c>
      <c r="F49" s="178">
        <v>0</v>
      </c>
      <c r="G49" s="193">
        <v>0</v>
      </c>
      <c r="H49" s="178">
        <v>0</v>
      </c>
      <c r="I49" s="178">
        <v>0</v>
      </c>
      <c r="J49" s="178">
        <v>0</v>
      </c>
      <c r="K49" s="193">
        <v>0</v>
      </c>
    </row>
    <row r="50">
      <c r="A50" s="75" t="s">
        <v>552</v>
      </c>
      <c r="B50" s="75" t="s">
        <v>185</v>
      </c>
      <c r="C50" s="270" t="s">
        <v>111</v>
      </c>
      <c r="D50" s="178">
        <v>0</v>
      </c>
      <c r="E50" s="178">
        <v>0</v>
      </c>
      <c r="F50" s="178">
        <v>0</v>
      </c>
      <c r="G50" s="193">
        <v>0</v>
      </c>
      <c r="H50" s="178">
        <v>0</v>
      </c>
      <c r="I50" s="178">
        <v>0</v>
      </c>
      <c r="J50" s="178">
        <v>0</v>
      </c>
      <c r="K50" s="193">
        <v>0</v>
      </c>
    </row>
    <row r="51">
      <c r="A51" s="75" t="s">
        <v>408</v>
      </c>
      <c r="B51" s="75" t="s">
        <v>255</v>
      </c>
      <c r="C51" s="270" t="s">
        <v>620</v>
      </c>
      <c r="D51" s="178">
        <v>0</v>
      </c>
      <c r="E51" s="178">
        <v>0</v>
      </c>
      <c r="F51" s="178">
        <v>0</v>
      </c>
      <c r="G51" s="193">
        <v>0</v>
      </c>
      <c r="H51" s="178">
        <v>0</v>
      </c>
      <c r="I51" s="178">
        <v>0</v>
      </c>
      <c r="J51" s="178">
        <v>0</v>
      </c>
      <c r="K51" s="193">
        <v>0</v>
      </c>
    </row>
    <row r="52">
      <c r="A52" s="75" t="s">
        <v>151</v>
      </c>
      <c r="B52" s="75" t="s">
        <v>1240</v>
      </c>
      <c r="C52" s="270" t="s">
        <v>117</v>
      </c>
      <c r="D52" s="178">
        <v>0</v>
      </c>
      <c r="E52" s="178">
        <v>0</v>
      </c>
      <c r="F52" s="178">
        <v>0</v>
      </c>
      <c r="G52" s="193">
        <v>0</v>
      </c>
      <c r="H52" s="178">
        <v>0</v>
      </c>
      <c r="I52" s="178">
        <v>0</v>
      </c>
      <c r="J52" s="178">
        <v>0</v>
      </c>
      <c r="K52" s="193">
        <v>0</v>
      </c>
    </row>
    <row r="53">
      <c r="A53" s="75" t="s">
        <v>527</v>
      </c>
      <c r="B53" s="75" t="s">
        <v>322</v>
      </c>
      <c r="C53" s="270" t="s">
        <v>32</v>
      </c>
      <c r="D53" s="193">
        <v>0</v>
      </c>
      <c r="E53" s="178">
        <v>0</v>
      </c>
      <c r="F53" s="193">
        <v>0</v>
      </c>
      <c r="G53" s="193">
        <v>0</v>
      </c>
      <c r="H53" s="193">
        <v>0</v>
      </c>
      <c r="I53" s="178">
        <v>0</v>
      </c>
      <c r="J53" s="193">
        <v>0</v>
      </c>
      <c r="K53" s="193">
        <v>0</v>
      </c>
    </row>
    <row r="54">
      <c r="A54" s="75" t="s">
        <v>710</v>
      </c>
      <c r="B54" s="75" t="s">
        <v>957</v>
      </c>
      <c r="C54" s="270" t="s">
        <v>682</v>
      </c>
      <c r="D54" s="193">
        <v>-2823</v>
      </c>
      <c r="E54" s="193">
        <v>0</v>
      </c>
      <c r="F54" s="193">
        <v>-2823</v>
      </c>
      <c r="G54" s="193">
        <v>9465</v>
      </c>
      <c r="H54" s="193">
        <v>-2823</v>
      </c>
      <c r="I54" s="193">
        <v>0</v>
      </c>
      <c r="J54" s="193">
        <v>-2823</v>
      </c>
      <c r="K54" s="193">
        <v>9465</v>
      </c>
    </row>
    <row r="55">
      <c r="A55" s="75" t="s">
        <v>942</v>
      </c>
      <c r="B55" s="75" t="s">
        <v>832</v>
      </c>
      <c r="C55" s="270" t="s">
        <v>666</v>
      </c>
      <c r="D55" s="193">
        <v>-4867</v>
      </c>
      <c r="E55" s="193">
        <v>0</v>
      </c>
      <c r="F55" s="193">
        <v>-4867</v>
      </c>
      <c r="G55" s="193">
        <v>8046</v>
      </c>
      <c r="H55" s="193">
        <v>-4867</v>
      </c>
      <c r="I55" s="193">
        <v>0</v>
      </c>
      <c r="J55" s="193">
        <v>-4867</v>
      </c>
      <c r="K55" s="193">
        <v>8046</v>
      </c>
    </row>
    <row r="56">
      <c r="A56" s="75" t="s">
        <v>897</v>
      </c>
      <c r="B56" s="75" t="s">
        <v>512</v>
      </c>
      <c r="C56" s="270" t="s">
        <v>1353</v>
      </c>
      <c r="D56" s="178">
        <v>0</v>
      </c>
      <c r="E56" s="178">
        <v>0</v>
      </c>
      <c r="F56" s="178">
        <v>0</v>
      </c>
      <c r="G56" s="193">
        <v>0</v>
      </c>
      <c r="H56" s="178">
        <v>0</v>
      </c>
      <c r="I56" s="178">
        <v>0</v>
      </c>
      <c r="J56" s="178">
        <v>0</v>
      </c>
      <c r="K56" s="193">
        <v>0</v>
      </c>
    </row>
    <row r="57">
      <c r="A57" s="75" t="s">
        <v>863</v>
      </c>
      <c r="B57" s="75" t="s">
        <v>788</v>
      </c>
      <c r="C57" s="270" t="s">
        <v>24</v>
      </c>
      <c r="D57" s="178">
        <v>0</v>
      </c>
      <c r="E57" s="178">
        <v>0</v>
      </c>
      <c r="F57" s="178">
        <v>0</v>
      </c>
      <c r="G57" s="193">
        <v>0</v>
      </c>
      <c r="H57" s="178">
        <v>0</v>
      </c>
      <c r="I57" s="178">
        <v>0</v>
      </c>
      <c r="J57" s="178">
        <v>0</v>
      </c>
      <c r="K57" s="193">
        <v>0</v>
      </c>
    </row>
    <row r="58">
      <c r="A58" s="75" t="s">
        <v>815</v>
      </c>
      <c r="B58" s="75" t="s">
        <v>250</v>
      </c>
      <c r="C58" s="270" t="s">
        <v>1343</v>
      </c>
      <c r="D58" s="193">
        <v>-4867</v>
      </c>
      <c r="E58" s="193">
        <v>0</v>
      </c>
      <c r="F58" s="193">
        <v>-4867</v>
      </c>
      <c r="G58" s="193">
        <v>8046</v>
      </c>
      <c r="H58" s="193">
        <v>-4867</v>
      </c>
      <c r="I58" s="193">
        <v>0</v>
      </c>
      <c r="J58" s="193">
        <v>-4867</v>
      </c>
      <c r="K58" s="193">
        <v>8046</v>
      </c>
    </row>
    <row r="59">
      <c r="A59" s="75" t="s">
        <v>536</v>
      </c>
      <c r="B59" s="75" t="s">
        <v>922</v>
      </c>
      <c r="C59" s="270" t="s">
        <v>860</v>
      </c>
      <c r="D59" s="178">
        <v>0</v>
      </c>
      <c r="E59" s="178">
        <v>0</v>
      </c>
      <c r="F59" s="178">
        <v>0</v>
      </c>
      <c r="G59" s="193">
        <v>0</v>
      </c>
      <c r="H59" s="178">
        <v>0</v>
      </c>
      <c r="I59" s="178">
        <v>0</v>
      </c>
      <c r="J59" s="178">
        <v>0</v>
      </c>
      <c r="K59" s="193">
        <v>0</v>
      </c>
    </row>
    <row r="60">
      <c r="A60" s="75" t="s">
        <v>1042</v>
      </c>
      <c r="B60" s="75" t="s">
        <v>1119</v>
      </c>
      <c r="C60" s="270" t="s">
        <v>281</v>
      </c>
      <c r="D60" s="178">
        <v>0</v>
      </c>
      <c r="E60" s="178">
        <v>0</v>
      </c>
      <c r="F60" s="178">
        <v>0</v>
      </c>
      <c r="G60" s="193">
        <v>0</v>
      </c>
      <c r="H60" s="178">
        <v>0</v>
      </c>
      <c r="I60" s="178">
        <v>0</v>
      </c>
      <c r="J60" s="178">
        <v>0</v>
      </c>
      <c r="K60" s="193">
        <v>0</v>
      </c>
    </row>
    <row r="61">
      <c r="A61" s="75" t="s">
        <v>272</v>
      </c>
      <c r="B61" s="75" t="s">
        <v>182</v>
      </c>
      <c r="C61" s="270" t="s">
        <v>1001</v>
      </c>
      <c r="D61" s="178">
        <v>0</v>
      </c>
      <c r="E61" s="178">
        <v>0</v>
      </c>
      <c r="F61" s="178">
        <v>0</v>
      </c>
      <c r="G61" s="193">
        <v>0</v>
      </c>
      <c r="H61" s="178">
        <v>0</v>
      </c>
      <c r="I61" s="178">
        <v>0</v>
      </c>
      <c r="J61" s="178">
        <v>0</v>
      </c>
      <c r="K61" s="193">
        <v>0</v>
      </c>
    </row>
    <row r="62">
      <c r="A62" s="75" t="s">
        <v>552</v>
      </c>
      <c r="B62" s="75" t="s">
        <v>1035</v>
      </c>
      <c r="C62" s="270" t="s">
        <v>985</v>
      </c>
      <c r="D62" s="178">
        <v>0</v>
      </c>
      <c r="E62" s="178">
        <v>0</v>
      </c>
      <c r="F62" s="178">
        <v>0</v>
      </c>
      <c r="G62" s="193">
        <v>0</v>
      </c>
      <c r="H62" s="178">
        <v>0</v>
      </c>
      <c r="I62" s="178">
        <v>0</v>
      </c>
      <c r="J62" s="178">
        <v>0</v>
      </c>
      <c r="K62" s="193">
        <v>0</v>
      </c>
    </row>
    <row r="63">
      <c r="A63" s="75" t="s">
        <v>408</v>
      </c>
      <c r="B63" s="75" t="s">
        <v>293</v>
      </c>
      <c r="C63" s="270" t="s">
        <v>64</v>
      </c>
      <c r="D63" s="193">
        <v>0</v>
      </c>
      <c r="E63" s="178">
        <v>0</v>
      </c>
      <c r="F63" s="193">
        <v>0</v>
      </c>
      <c r="G63" s="193">
        <v>0</v>
      </c>
      <c r="H63" s="193">
        <v>0</v>
      </c>
      <c r="I63" s="178">
        <v>0</v>
      </c>
      <c r="J63" s="193">
        <v>0</v>
      </c>
      <c r="K63" s="193">
        <v>0</v>
      </c>
    </row>
    <row r="64">
      <c r="A64" s="75" t="s">
        <v>151</v>
      </c>
      <c r="B64" s="75" t="s">
        <v>988</v>
      </c>
      <c r="C64" s="270" t="s">
        <v>679</v>
      </c>
      <c r="D64" s="193">
        <v>2044</v>
      </c>
      <c r="E64" s="178">
        <v>0</v>
      </c>
      <c r="F64" s="193">
        <v>2044</v>
      </c>
      <c r="G64" s="193">
        <v>351</v>
      </c>
      <c r="H64" s="193">
        <v>2044</v>
      </c>
      <c r="I64" s="178">
        <v>0</v>
      </c>
      <c r="J64" s="193">
        <v>2044</v>
      </c>
      <c r="K64" s="193">
        <v>351</v>
      </c>
    </row>
    <row r="65">
      <c r="A65" s="75" t="s">
        <v>527</v>
      </c>
      <c r="B65" s="75" t="s">
        <v>255</v>
      </c>
      <c r="C65" s="270" t="s">
        <v>219</v>
      </c>
      <c r="D65" s="178">
        <v>0</v>
      </c>
      <c r="E65" s="178">
        <v>0</v>
      </c>
      <c r="F65" s="178">
        <v>0</v>
      </c>
      <c r="G65" s="193">
        <v>0</v>
      </c>
      <c r="H65" s="178">
        <v>0</v>
      </c>
      <c r="I65" s="178">
        <v>0</v>
      </c>
      <c r="J65" s="178">
        <v>0</v>
      </c>
      <c r="K65" s="193">
        <v>0</v>
      </c>
    </row>
    <row r="66">
      <c r="A66" s="75" t="s">
        <v>280</v>
      </c>
      <c r="B66" s="75" t="s">
        <v>274</v>
      </c>
      <c r="C66" s="270" t="s">
        <v>986</v>
      </c>
      <c r="D66" s="193">
        <v>0</v>
      </c>
      <c r="E66" s="178">
        <v>0</v>
      </c>
      <c r="F66" s="193">
        <v>0</v>
      </c>
      <c r="G66" s="193">
        <v>1068</v>
      </c>
      <c r="H66" s="193">
        <v>0</v>
      </c>
      <c r="I66" s="178">
        <v>0</v>
      </c>
      <c r="J66" s="193">
        <v>0</v>
      </c>
      <c r="K66" s="193">
        <v>1068</v>
      </c>
    </row>
    <row r="67">
      <c r="A67" s="75" t="s">
        <v>371</v>
      </c>
      <c r="B67" s="75" t="s">
        <v>1297</v>
      </c>
      <c r="C67" s="270" t="s">
        <v>810</v>
      </c>
      <c r="D67" s="178">
        <v>0</v>
      </c>
      <c r="E67" s="178">
        <v>0</v>
      </c>
      <c r="F67" s="178">
        <v>0</v>
      </c>
      <c r="G67" s="193">
        <v>0</v>
      </c>
      <c r="H67" s="178">
        <v>0</v>
      </c>
      <c r="I67" s="178">
        <v>0</v>
      </c>
      <c r="J67" s="178">
        <v>0</v>
      </c>
      <c r="K67" s="193">
        <v>0</v>
      </c>
    </row>
    <row r="68">
      <c r="A68" s="75" t="s">
        <v>181</v>
      </c>
      <c r="B68" s="75" t="s">
        <v>515</v>
      </c>
      <c r="C68" s="270" t="s">
        <v>1362</v>
      </c>
      <c r="D68" s="178">
        <v>0</v>
      </c>
      <c r="E68" s="178">
        <v>0</v>
      </c>
      <c r="F68" s="178">
        <v>0</v>
      </c>
      <c r="G68" s="193">
        <v>0</v>
      </c>
      <c r="H68" s="178">
        <v>0</v>
      </c>
      <c r="I68" s="178">
        <v>0</v>
      </c>
      <c r="J68" s="178">
        <v>0</v>
      </c>
      <c r="K68" s="193">
        <v>0</v>
      </c>
    </row>
    <row r="69">
      <c r="A69" s="75" t="s">
        <v>536</v>
      </c>
      <c r="B69" s="75" t="s">
        <v>898</v>
      </c>
      <c r="C69" s="270" t="s">
        <v>813</v>
      </c>
      <c r="D69" s="178">
        <v>0</v>
      </c>
      <c r="E69" s="178">
        <v>0</v>
      </c>
      <c r="F69" s="178">
        <v>0</v>
      </c>
      <c r="G69" s="193">
        <v>0</v>
      </c>
      <c r="H69" s="178">
        <v>0</v>
      </c>
      <c r="I69" s="178">
        <v>0</v>
      </c>
      <c r="J69" s="178">
        <v>0</v>
      </c>
      <c r="K69" s="193">
        <v>0</v>
      </c>
    </row>
    <row r="70">
      <c r="A70" s="75" t="s">
        <v>1042</v>
      </c>
      <c r="B70" s="75" t="s">
        <v>747</v>
      </c>
      <c r="C70" s="270" t="s">
        <v>71</v>
      </c>
      <c r="D70" s="178">
        <v>0</v>
      </c>
      <c r="E70" s="178">
        <v>0</v>
      </c>
      <c r="F70" s="178">
        <v>0</v>
      </c>
      <c r="G70" s="193">
        <v>0</v>
      </c>
      <c r="H70" s="178">
        <v>0</v>
      </c>
      <c r="I70" s="178">
        <v>0</v>
      </c>
      <c r="J70" s="178">
        <v>0</v>
      </c>
      <c r="K70" s="193">
        <v>0</v>
      </c>
    </row>
    <row r="71">
      <c r="A71" s="75" t="s">
        <v>272</v>
      </c>
      <c r="B71" s="75" t="s">
        <v>614</v>
      </c>
      <c r="C71" s="270" t="s">
        <v>354</v>
      </c>
      <c r="D71" s="178">
        <v>0</v>
      </c>
      <c r="E71" s="178">
        <v>0</v>
      </c>
      <c r="F71" s="178">
        <v>0</v>
      </c>
      <c r="G71" s="193">
        <v>0</v>
      </c>
      <c r="H71" s="178">
        <v>0</v>
      </c>
      <c r="I71" s="178">
        <v>0</v>
      </c>
      <c r="J71" s="178">
        <v>0</v>
      </c>
      <c r="K71" s="193">
        <v>0</v>
      </c>
    </row>
    <row r="72">
      <c r="A72" s="75" t="s">
        <v>499</v>
      </c>
      <c r="B72" s="75" t="s">
        <v>208</v>
      </c>
      <c r="C72" s="270" t="s">
        <v>526</v>
      </c>
      <c r="D72" s="193">
        <v>8054</v>
      </c>
      <c r="E72" s="178">
        <v>0</v>
      </c>
      <c r="F72" s="193">
        <v>8054</v>
      </c>
      <c r="G72" s="193">
        <v>67241</v>
      </c>
      <c r="H72" s="193">
        <v>8054</v>
      </c>
      <c r="I72" s="178">
        <v>0</v>
      </c>
      <c r="J72" s="193">
        <v>8054</v>
      </c>
      <c r="K72" s="193">
        <v>67241</v>
      </c>
    </row>
    <row r="73">
      <c r="A73" s="75" t="s">
        <v>944</v>
      </c>
      <c r="B73" s="75" t="s">
        <v>495</v>
      </c>
      <c r="C73" s="270" t="s">
        <v>785</v>
      </c>
      <c r="D73" s="193">
        <v>5305</v>
      </c>
      <c r="E73" s="178">
        <v>0</v>
      </c>
      <c r="F73" s="193">
        <v>5305</v>
      </c>
      <c r="G73" s="193">
        <v>66974</v>
      </c>
      <c r="H73" s="193">
        <v>5305</v>
      </c>
      <c r="I73" s="178">
        <v>0</v>
      </c>
      <c r="J73" s="193">
        <v>5305</v>
      </c>
      <c r="K73" s="193">
        <v>66974</v>
      </c>
    </row>
    <row r="74">
      <c r="A74" s="75" t="s">
        <v>536</v>
      </c>
      <c r="B74" s="75" t="s">
        <v>1045</v>
      </c>
      <c r="C74" s="270" t="s">
        <v>772</v>
      </c>
      <c r="D74" s="193">
        <v>2749</v>
      </c>
      <c r="E74" s="178">
        <v>0</v>
      </c>
      <c r="F74" s="193">
        <v>2749</v>
      </c>
      <c r="G74" s="193">
        <v>267</v>
      </c>
      <c r="H74" s="193">
        <v>2749</v>
      </c>
      <c r="I74" s="178">
        <v>0</v>
      </c>
      <c r="J74" s="193">
        <v>2749</v>
      </c>
      <c r="K74" s="193">
        <v>267</v>
      </c>
    </row>
    <row r="75">
      <c r="A75" s="75" t="s">
        <v>1338</v>
      </c>
      <c r="B75" s="75" t="s">
        <v>1132</v>
      </c>
      <c r="C75" s="270" t="s">
        <v>263</v>
      </c>
      <c r="D75" s="193">
        <v>351</v>
      </c>
      <c r="E75" s="178">
        <v>0</v>
      </c>
      <c r="F75" s="193">
        <v>351</v>
      </c>
      <c r="G75" s="193">
        <v>0</v>
      </c>
      <c r="H75" s="193">
        <v>351</v>
      </c>
      <c r="I75" s="178">
        <v>0</v>
      </c>
      <c r="J75" s="193">
        <v>351</v>
      </c>
      <c r="K75" s="193">
        <v>0</v>
      </c>
    </row>
    <row r="76">
      <c r="A76" s="75" t="s">
        <v>1029</v>
      </c>
      <c r="B76" s="75" t="s">
        <v>436</v>
      </c>
      <c r="C76" s="270" t="s">
        <v>229</v>
      </c>
      <c r="D76" s="178">
        <v>0</v>
      </c>
      <c r="E76" s="178">
        <v>0</v>
      </c>
      <c r="F76" s="178">
        <v>0</v>
      </c>
      <c r="G76" s="193">
        <v>0</v>
      </c>
      <c r="H76" s="178">
        <v>0</v>
      </c>
      <c r="I76" s="178">
        <v>0</v>
      </c>
      <c r="J76" s="178">
        <v>0</v>
      </c>
      <c r="K76" s="193">
        <v>0</v>
      </c>
    </row>
    <row r="77">
      <c r="A77" s="75" t="s">
        <v>536</v>
      </c>
      <c r="B77" s="75" t="s">
        <v>1084</v>
      </c>
      <c r="C77" s="270" t="s">
        <v>439</v>
      </c>
      <c r="D77" s="193">
        <v>351</v>
      </c>
      <c r="E77" s="178">
        <v>0</v>
      </c>
      <c r="F77" s="193">
        <v>351</v>
      </c>
      <c r="G77" s="193">
        <v>0</v>
      </c>
      <c r="H77" s="193">
        <v>351</v>
      </c>
      <c r="I77" s="178">
        <v>0</v>
      </c>
      <c r="J77" s="193">
        <v>351</v>
      </c>
      <c r="K77" s="193">
        <v>0</v>
      </c>
    </row>
    <row r="78">
      <c r="A78" s="75" t="s">
        <v>1042</v>
      </c>
      <c r="B78" s="75" t="s">
        <v>1245</v>
      </c>
      <c r="C78" s="270" t="s">
        <v>332</v>
      </c>
      <c r="D78" s="178">
        <v>0</v>
      </c>
      <c r="E78" s="178">
        <v>0</v>
      </c>
      <c r="F78" s="178">
        <v>0</v>
      </c>
      <c r="G78" s="193">
        <v>0</v>
      </c>
      <c r="H78" s="178">
        <v>0</v>
      </c>
      <c r="I78" s="178">
        <v>0</v>
      </c>
      <c r="J78" s="178">
        <v>0</v>
      </c>
      <c r="K78" s="193">
        <v>0</v>
      </c>
    </row>
    <row r="79">
      <c r="A79" s="75" t="s">
        <v>272</v>
      </c>
      <c r="B79" s="75" t="s">
        <v>1188</v>
      </c>
      <c r="C79" s="270" t="s">
        <v>418</v>
      </c>
      <c r="D79" s="178">
        <v>0</v>
      </c>
      <c r="E79" s="178">
        <v>0</v>
      </c>
      <c r="F79" s="178">
        <v>0</v>
      </c>
      <c r="G79" s="193">
        <v>0</v>
      </c>
      <c r="H79" s="178">
        <v>0</v>
      </c>
      <c r="I79" s="178">
        <v>0</v>
      </c>
      <c r="J79" s="178">
        <v>0</v>
      </c>
      <c r="K79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2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XFD68"/>
  <sheetViews>
    <sheetView zoomScaleNormal="100" zoomScaleSheetLayoutView="100" zoomScalePageLayoutView="100" workbookViewId="0"/>
  </sheetViews>
  <sheetFormatPr defaultColWidth="9.109375" defaultRowHeight="12"/>
  <cols>
    <col min="1" max="1" width="8.33203125" style="2" customWidth="1"/>
    <col min="2" max="2" width="79.44140625" style="2" customWidth="1"/>
    <col min="3" max="3" width="4.44140625" style="63" customWidth="1"/>
    <col min="4" max="7" width="15.33203125" style="257" customWidth="1"/>
    <col min="8" max="16384" width="9.109375" style="124"/>
  </cols>
  <sheetData>
    <row r="1">
      <c r="A1" s="11" t="s">
        <v>1388</v>
      </c>
      <c r="B1" s="11" t="s">
        <v>247</v>
      </c>
      <c r="C1" s="55" t="s">
        <v>62</v>
      </c>
      <c r="D1" s="173" t="s">
        <v>650</v>
      </c>
      <c r="E1" s="173" t="s">
        <v>392</v>
      </c>
      <c r="F1" s="173" t="s">
        <v>1234</v>
      </c>
      <c r="G1" s="173" t="s">
        <v>556</v>
      </c>
    </row>
    <row r="2">
      <c r="A2" s="75" t="s">
        <v>855</v>
      </c>
      <c r="B2" s="75" t="s">
        <v>197</v>
      </c>
      <c r="C2" s="270" t="s">
        <v>594</v>
      </c>
      <c r="D2" s="193">
        <v>285205</v>
      </c>
      <c r="E2" s="193">
        <v>366112</v>
      </c>
      <c r="F2" s="193">
        <v>285205</v>
      </c>
      <c r="G2" s="193">
        <v>366112</v>
      </c>
    </row>
    <row r="3">
      <c r="A3" s="75" t="s">
        <v>121</v>
      </c>
      <c r="B3" s="75" t="s">
        <v>1346</v>
      </c>
      <c r="C3" s="270" t="s">
        <v>639</v>
      </c>
      <c r="D3" s="158">
        <v>-437800</v>
      </c>
      <c r="E3" s="158">
        <v>-407168</v>
      </c>
      <c r="F3" s="158">
        <v>-437800</v>
      </c>
      <c r="G3" s="158">
        <v>-407168</v>
      </c>
    </row>
    <row r="4">
      <c r="A4" s="75" t="s">
        <v>38</v>
      </c>
      <c r="B4" s="75" t="s">
        <v>243</v>
      </c>
      <c r="C4" s="270" t="s">
        <v>812</v>
      </c>
      <c r="D4" s="193">
        <v>234635</v>
      </c>
      <c r="E4" s="193">
        <v>234635</v>
      </c>
      <c r="F4" s="193">
        <v>234635</v>
      </c>
      <c r="G4" s="193">
        <v>234635</v>
      </c>
    </row>
    <row r="5">
      <c r="A5" s="75" t="s">
        <v>1316</v>
      </c>
      <c r="B5" s="75" t="s">
        <v>455</v>
      </c>
      <c r="C5" s="270" t="s">
        <v>886</v>
      </c>
      <c r="D5" s="193">
        <v>234635</v>
      </c>
      <c r="E5" s="193">
        <v>234635</v>
      </c>
      <c r="F5" s="193">
        <v>234635</v>
      </c>
      <c r="G5" s="193">
        <v>234635</v>
      </c>
    </row>
    <row r="6">
      <c r="A6" s="75" t="s">
        <v>536</v>
      </c>
      <c r="B6" s="75" t="s">
        <v>665</v>
      </c>
      <c r="C6" s="270" t="s">
        <v>251</v>
      </c>
      <c r="D6" s="178">
        <v>0</v>
      </c>
      <c r="E6" s="193">
        <v>0</v>
      </c>
      <c r="F6" s="178">
        <v>0</v>
      </c>
      <c r="G6" s="193">
        <v>0</v>
      </c>
    </row>
    <row r="7">
      <c r="A7" s="75" t="s">
        <v>1042</v>
      </c>
      <c r="B7" s="75" t="s">
        <v>1152</v>
      </c>
      <c r="C7" s="270" t="s">
        <v>289</v>
      </c>
      <c r="D7" s="178">
        <v>0</v>
      </c>
      <c r="E7" s="193">
        <v>0</v>
      </c>
      <c r="F7" s="178">
        <v>0</v>
      </c>
      <c r="G7" s="193">
        <v>0</v>
      </c>
    </row>
    <row r="8">
      <c r="A8" s="75" t="s">
        <v>226</v>
      </c>
      <c r="B8" s="75" t="s">
        <v>368</v>
      </c>
      <c r="C8" s="270" t="s">
        <v>570</v>
      </c>
      <c r="D8" s="178">
        <v>0</v>
      </c>
      <c r="E8" s="193">
        <v>0</v>
      </c>
      <c r="F8" s="178">
        <v>0</v>
      </c>
      <c r="G8" s="193">
        <v>0</v>
      </c>
    </row>
    <row r="9">
      <c r="A9" s="75" t="s">
        <v>78</v>
      </c>
      <c r="B9" s="75" t="s">
        <v>1314</v>
      </c>
      <c r="C9" s="270" t="s">
        <v>903</v>
      </c>
      <c r="D9" s="178">
        <v>0</v>
      </c>
      <c r="E9" s="193">
        <v>0</v>
      </c>
      <c r="F9" s="178">
        <v>0</v>
      </c>
      <c r="G9" s="193">
        <v>0</v>
      </c>
    </row>
    <row r="10">
      <c r="A10" s="75" t="s">
        <v>424</v>
      </c>
      <c r="B10" s="75" t="s">
        <v>1149</v>
      </c>
      <c r="C10" s="270" t="s">
        <v>473</v>
      </c>
      <c r="D10" s="193">
        <v>4138</v>
      </c>
      <c r="E10" s="193">
        <v>4138</v>
      </c>
      <c r="F10" s="193">
        <v>4138</v>
      </c>
      <c r="G10" s="193">
        <v>4138</v>
      </c>
    </row>
    <row r="11">
      <c r="A11" s="75" t="s">
        <v>516</v>
      </c>
      <c r="B11" s="75" t="s">
        <v>539</v>
      </c>
      <c r="C11" s="270" t="s">
        <v>811</v>
      </c>
      <c r="D11" s="193">
        <v>4138</v>
      </c>
      <c r="E11" s="193">
        <v>4138</v>
      </c>
      <c r="F11" s="193">
        <v>4138</v>
      </c>
      <c r="G11" s="193">
        <v>4138</v>
      </c>
    </row>
    <row r="12">
      <c r="A12" s="75" t="s">
        <v>536</v>
      </c>
      <c r="B12" s="75" t="s">
        <v>456</v>
      </c>
      <c r="C12" s="270" t="s">
        <v>905</v>
      </c>
      <c r="D12" s="178">
        <v>0</v>
      </c>
      <c r="E12" s="193">
        <v>0</v>
      </c>
      <c r="F12" s="178">
        <v>0</v>
      </c>
      <c r="G12" s="193">
        <v>0</v>
      </c>
    </row>
    <row r="13">
      <c r="A13" s="75" t="s">
        <v>649</v>
      </c>
      <c r="B13" s="75" t="s">
        <v>46</v>
      </c>
      <c r="C13" s="270" t="s">
        <v>268</v>
      </c>
      <c r="D13" s="178">
        <v>0</v>
      </c>
      <c r="E13" s="193">
        <v>0</v>
      </c>
      <c r="F13" s="178">
        <v>0</v>
      </c>
      <c r="G13" s="193">
        <v>0</v>
      </c>
    </row>
    <row r="14">
      <c r="A14" s="75" t="s">
        <v>563</v>
      </c>
      <c r="B14" s="75" t="s">
        <v>1329</v>
      </c>
      <c r="C14" s="270" t="s">
        <v>637</v>
      </c>
      <c r="D14" s="178">
        <v>0</v>
      </c>
      <c r="E14" s="193">
        <v>0</v>
      </c>
      <c r="F14" s="178">
        <v>0</v>
      </c>
      <c r="G14" s="193">
        <v>0</v>
      </c>
    </row>
    <row r="15">
      <c r="A15" s="75" t="s">
        <v>73</v>
      </c>
      <c r="B15" s="75" t="s">
        <v>906</v>
      </c>
      <c r="C15" s="270" t="s">
        <v>908</v>
      </c>
      <c r="D15" s="178">
        <v>0</v>
      </c>
      <c r="E15" s="193">
        <v>0</v>
      </c>
      <c r="F15" s="178">
        <v>0</v>
      </c>
      <c r="G15" s="193">
        <v>0</v>
      </c>
    </row>
    <row r="16">
      <c r="A16" s="75" t="s">
        <v>406</v>
      </c>
      <c r="B16" s="75" t="s">
        <v>1197</v>
      </c>
      <c r="C16" s="270" t="s">
        <v>562</v>
      </c>
      <c r="D16" s="178">
        <v>0</v>
      </c>
      <c r="E16" s="193">
        <v>0</v>
      </c>
      <c r="F16" s="178">
        <v>0</v>
      </c>
      <c r="G16" s="193">
        <v>0</v>
      </c>
    </row>
    <row r="17">
      <c r="A17" s="75" t="s">
        <v>188</v>
      </c>
      <c r="B17" s="75" t="s">
        <v>34</v>
      </c>
      <c r="C17" s="270" t="s">
        <v>899</v>
      </c>
      <c r="D17" s="178">
        <v>0</v>
      </c>
      <c r="E17" s="193">
        <v>0</v>
      </c>
      <c r="F17" s="178">
        <v>0</v>
      </c>
      <c r="G17" s="193">
        <v>0</v>
      </c>
    </row>
    <row r="18">
      <c r="A18" s="75" t="s">
        <v>536</v>
      </c>
      <c r="B18" s="75" t="s">
        <v>1170</v>
      </c>
      <c r="C18" s="270" t="s">
        <v>769</v>
      </c>
      <c r="D18" s="178">
        <v>0</v>
      </c>
      <c r="E18" s="193">
        <v>0</v>
      </c>
      <c r="F18" s="178">
        <v>0</v>
      </c>
      <c r="G18" s="193">
        <v>0</v>
      </c>
    </row>
    <row r="19">
      <c r="A19" s="75" t="s">
        <v>1042</v>
      </c>
      <c r="B19" s="75" t="s">
        <v>160</v>
      </c>
      <c r="C19" s="270" t="s">
        <v>1359</v>
      </c>
      <c r="D19" s="178">
        <v>0</v>
      </c>
      <c r="E19" s="193">
        <v>0</v>
      </c>
      <c r="F19" s="178">
        <v>0</v>
      </c>
      <c r="G19" s="193">
        <v>0</v>
      </c>
    </row>
    <row r="20">
      <c r="A20" s="75" t="s">
        <v>733</v>
      </c>
      <c r="B20" s="75" t="s">
        <v>331</v>
      </c>
      <c r="C20" s="270" t="s">
        <v>48</v>
      </c>
      <c r="D20" s="193">
        <v>-638271</v>
      </c>
      <c r="E20" s="193">
        <v>-685628</v>
      </c>
      <c r="F20" s="193">
        <v>-638271</v>
      </c>
      <c r="G20" s="193">
        <v>-685628</v>
      </c>
    </row>
    <row r="21">
      <c r="A21" s="75" t="s">
        <v>523</v>
      </c>
      <c r="B21" s="75" t="s">
        <v>33</v>
      </c>
      <c r="C21" s="270" t="s">
        <v>460</v>
      </c>
      <c r="D21" s="193">
        <v>116240</v>
      </c>
      <c r="E21" s="193">
        <v>66003</v>
      </c>
      <c r="F21" s="193">
        <v>116240</v>
      </c>
      <c r="G21" s="193">
        <v>66003</v>
      </c>
    </row>
    <row r="22">
      <c r="A22" s="75" t="s">
        <v>536</v>
      </c>
      <c r="B22" s="75" t="s">
        <v>397</v>
      </c>
      <c r="C22" s="270" t="s">
        <v>564</v>
      </c>
      <c r="D22" s="193">
        <v>-754511</v>
      </c>
      <c r="E22" s="193">
        <v>-751631</v>
      </c>
      <c r="F22" s="193">
        <v>-754511</v>
      </c>
      <c r="G22" s="193">
        <v>-751631</v>
      </c>
    </row>
    <row r="23">
      <c r="A23" s="75" t="s">
        <v>1304</v>
      </c>
      <c r="B23" s="75" t="s">
        <v>1028</v>
      </c>
      <c r="C23" s="270" t="s">
        <v>123</v>
      </c>
      <c r="D23" s="193">
        <v>-38302</v>
      </c>
      <c r="E23" s="193">
        <v>39687</v>
      </c>
      <c r="F23" s="193">
        <v>-38302</v>
      </c>
      <c r="G23" s="193">
        <v>39687</v>
      </c>
    </row>
    <row r="24">
      <c r="A24" s="75" t="s">
        <v>441</v>
      </c>
      <c r="B24" s="75" t="s">
        <v>1336</v>
      </c>
      <c r="C24" s="270" t="s">
        <v>131</v>
      </c>
      <c r="D24" s="193">
        <v>723005</v>
      </c>
      <c r="E24" s="193">
        <v>773280</v>
      </c>
      <c r="F24" s="193">
        <v>723005</v>
      </c>
      <c r="G24" s="193">
        <v>773280</v>
      </c>
    </row>
    <row r="25">
      <c r="A25" s="75" t="s">
        <v>329</v>
      </c>
      <c r="B25" s="75" t="s">
        <v>1120</v>
      </c>
      <c r="C25" s="270" t="s">
        <v>1131</v>
      </c>
      <c r="D25" s="193">
        <v>364563</v>
      </c>
      <c r="E25" s="193">
        <v>391725</v>
      </c>
      <c r="F25" s="193">
        <v>364563</v>
      </c>
      <c r="G25" s="193">
        <v>391725</v>
      </c>
    </row>
    <row r="26">
      <c r="A26" s="75" t="s">
        <v>45</v>
      </c>
      <c r="B26" s="75" t="s">
        <v>36</v>
      </c>
      <c r="C26" s="270" t="s">
        <v>1376</v>
      </c>
      <c r="D26" s="178">
        <v>0</v>
      </c>
      <c r="E26" s="193">
        <v>0</v>
      </c>
      <c r="F26" s="178">
        <v>0</v>
      </c>
      <c r="G26" s="193">
        <v>0</v>
      </c>
    </row>
    <row r="27">
      <c r="A27" s="75" t="s">
        <v>897</v>
      </c>
      <c r="B27" s="75" t="s">
        <v>1207</v>
      </c>
      <c r="C27" s="270" t="s">
        <v>1134</v>
      </c>
      <c r="D27" s="178">
        <v>0</v>
      </c>
      <c r="E27" s="193">
        <v>0</v>
      </c>
      <c r="F27" s="178">
        <v>0</v>
      </c>
      <c r="G27" s="193">
        <v>0</v>
      </c>
    </row>
    <row r="28">
      <c r="A28" s="75" t="s">
        <v>863</v>
      </c>
      <c r="B28" s="75" t="s">
        <v>119</v>
      </c>
      <c r="C28" s="270" t="s">
        <v>611</v>
      </c>
      <c r="D28" s="178">
        <v>0</v>
      </c>
      <c r="E28" s="193">
        <v>0</v>
      </c>
      <c r="F28" s="178">
        <v>0</v>
      </c>
      <c r="G28" s="193">
        <v>0</v>
      </c>
    </row>
    <row r="29">
      <c r="A29" s="75" t="s">
        <v>815</v>
      </c>
      <c r="B29" s="75" t="s">
        <v>271</v>
      </c>
      <c r="C29" s="270" t="s">
        <v>587</v>
      </c>
      <c r="D29" s="178">
        <v>0</v>
      </c>
      <c r="E29" s="193">
        <v>0</v>
      </c>
      <c r="F29" s="178">
        <v>0</v>
      </c>
      <c r="G29" s="193">
        <v>0</v>
      </c>
    </row>
    <row r="30">
      <c r="A30" s="75" t="s">
        <v>536</v>
      </c>
      <c r="B30" s="75" t="s">
        <v>922</v>
      </c>
      <c r="C30" s="270" t="s">
        <v>963</v>
      </c>
      <c r="D30" s="178">
        <v>0</v>
      </c>
      <c r="E30" s="193">
        <v>0</v>
      </c>
      <c r="F30" s="178">
        <v>0</v>
      </c>
      <c r="G30" s="193">
        <v>0</v>
      </c>
    </row>
    <row r="31">
      <c r="A31" s="75" t="s">
        <v>1042</v>
      </c>
      <c r="B31" s="75" t="s">
        <v>952</v>
      </c>
      <c r="C31" s="270" t="s">
        <v>909</v>
      </c>
      <c r="D31" s="178">
        <v>0</v>
      </c>
      <c r="E31" s="193">
        <v>0</v>
      </c>
      <c r="F31" s="178">
        <v>0</v>
      </c>
      <c r="G31" s="193">
        <v>0</v>
      </c>
    </row>
    <row r="32">
      <c r="A32" s="75" t="s">
        <v>272</v>
      </c>
      <c r="B32" s="75" t="s">
        <v>744</v>
      </c>
      <c r="C32" s="270" t="s">
        <v>1018</v>
      </c>
      <c r="D32" s="178">
        <v>0</v>
      </c>
      <c r="E32" s="193">
        <v>0</v>
      </c>
      <c r="F32" s="178">
        <v>0</v>
      </c>
      <c r="G32" s="193">
        <v>0</v>
      </c>
    </row>
    <row r="33">
      <c r="A33" s="75" t="s">
        <v>552</v>
      </c>
      <c r="B33" s="75" t="s">
        <v>1364</v>
      </c>
      <c r="C33" s="270" t="s">
        <v>757</v>
      </c>
      <c r="D33" s="193">
        <v>358926</v>
      </c>
      <c r="E33" s="193">
        <v>384926</v>
      </c>
      <c r="F33" s="193">
        <v>358926</v>
      </c>
      <c r="G33" s="193">
        <v>384926</v>
      </c>
    </row>
    <row r="34">
      <c r="A34" s="75" t="s">
        <v>408</v>
      </c>
      <c r="B34" s="75" t="s">
        <v>625</v>
      </c>
      <c r="C34" s="270" t="s">
        <v>1081</v>
      </c>
      <c r="D34" s="178">
        <v>0</v>
      </c>
      <c r="E34" s="193">
        <v>0</v>
      </c>
      <c r="F34" s="178">
        <v>0</v>
      </c>
      <c r="G34" s="193">
        <v>0</v>
      </c>
    </row>
    <row r="35">
      <c r="A35" s="75" t="s">
        <v>151</v>
      </c>
      <c r="B35" s="75" t="s">
        <v>199</v>
      </c>
      <c r="C35" s="270" t="s">
        <v>475</v>
      </c>
      <c r="D35" s="178">
        <v>0</v>
      </c>
      <c r="E35" s="193">
        <v>0</v>
      </c>
      <c r="F35" s="178">
        <v>0</v>
      </c>
      <c r="G35" s="193">
        <v>0</v>
      </c>
    </row>
    <row r="36">
      <c r="A36" s="75" t="s">
        <v>527</v>
      </c>
      <c r="B36" s="75" t="s">
        <v>257</v>
      </c>
      <c r="C36" s="270" t="s">
        <v>1387</v>
      </c>
      <c r="D36" s="178">
        <v>0</v>
      </c>
      <c r="E36" s="193">
        <v>0</v>
      </c>
      <c r="F36" s="178">
        <v>0</v>
      </c>
      <c r="G36" s="193">
        <v>0</v>
      </c>
    </row>
    <row r="37">
      <c r="A37" s="75" t="s">
        <v>280</v>
      </c>
      <c r="B37" s="75" t="s">
        <v>697</v>
      </c>
      <c r="C37" s="270" t="s">
        <v>1069</v>
      </c>
      <c r="D37" s="193">
        <v>5637</v>
      </c>
      <c r="E37" s="193">
        <v>5234</v>
      </c>
      <c r="F37" s="193">
        <v>5637</v>
      </c>
      <c r="G37" s="193">
        <v>5234</v>
      </c>
    </row>
    <row r="38">
      <c r="A38" s="75" t="s">
        <v>359</v>
      </c>
      <c r="B38" s="75" t="s">
        <v>960</v>
      </c>
      <c r="C38" s="270" t="s">
        <v>458</v>
      </c>
      <c r="D38" s="178">
        <v>0</v>
      </c>
      <c r="E38" s="193">
        <v>0</v>
      </c>
      <c r="F38" s="178">
        <v>0</v>
      </c>
      <c r="G38" s="193">
        <v>0</v>
      </c>
    </row>
    <row r="39">
      <c r="A39" s="75" t="s">
        <v>1201</v>
      </c>
      <c r="B39" s="75" t="s">
        <v>992</v>
      </c>
      <c r="C39" s="270" t="s">
        <v>291</v>
      </c>
      <c r="D39" s="178">
        <v>0</v>
      </c>
      <c r="E39" s="193">
        <v>0</v>
      </c>
      <c r="F39" s="178">
        <v>0</v>
      </c>
      <c r="G39" s="193">
        <v>0</v>
      </c>
    </row>
    <row r="40">
      <c r="A40" s="75" t="s">
        <v>152</v>
      </c>
      <c r="B40" s="75" t="s">
        <v>1102</v>
      </c>
      <c r="C40" s="270" t="s">
        <v>1156</v>
      </c>
      <c r="D40" s="193">
        <v>0</v>
      </c>
      <c r="E40" s="193">
        <v>1565</v>
      </c>
      <c r="F40" s="193">
        <v>0</v>
      </c>
      <c r="G40" s="193">
        <v>1565</v>
      </c>
    </row>
    <row r="41">
      <c r="A41" s="75" t="s">
        <v>762</v>
      </c>
      <c r="B41" s="75" t="s">
        <v>509</v>
      </c>
      <c r="C41" s="270" t="s">
        <v>339</v>
      </c>
      <c r="D41" s="178">
        <v>0</v>
      </c>
      <c r="E41" s="193">
        <v>0</v>
      </c>
      <c r="F41" s="178">
        <v>0</v>
      </c>
      <c r="G41" s="193">
        <v>0</v>
      </c>
    </row>
    <row r="42">
      <c r="A42" s="75" t="s">
        <v>1000</v>
      </c>
      <c r="B42" s="75" t="s">
        <v>528</v>
      </c>
      <c r="C42" s="270" t="s">
        <v>283</v>
      </c>
      <c r="D42" s="178">
        <v>0</v>
      </c>
      <c r="E42" s="193">
        <v>0</v>
      </c>
      <c r="F42" s="178">
        <v>0</v>
      </c>
      <c r="G42" s="193">
        <v>0</v>
      </c>
    </row>
    <row r="43">
      <c r="A43" s="75" t="s">
        <v>536</v>
      </c>
      <c r="B43" s="75" t="s">
        <v>724</v>
      </c>
      <c r="C43" s="270" t="s">
        <v>443</v>
      </c>
      <c r="D43" s="178">
        <v>0</v>
      </c>
      <c r="E43" s="193">
        <v>0</v>
      </c>
      <c r="F43" s="178">
        <v>0</v>
      </c>
      <c r="G43" s="193">
        <v>0</v>
      </c>
    </row>
    <row r="44">
      <c r="A44" s="75" t="s">
        <v>710</v>
      </c>
      <c r="B44" s="75" t="s">
        <v>730</v>
      </c>
      <c r="C44" s="270" t="s">
        <v>718</v>
      </c>
      <c r="D44" s="178">
        <v>0</v>
      </c>
      <c r="E44" s="193">
        <v>0</v>
      </c>
      <c r="F44" s="178">
        <v>0</v>
      </c>
      <c r="G44" s="193">
        <v>0</v>
      </c>
    </row>
    <row r="45">
      <c r="A45" s="75" t="s">
        <v>371</v>
      </c>
      <c r="B45" s="75" t="s">
        <v>353</v>
      </c>
      <c r="C45" s="270" t="s">
        <v>198</v>
      </c>
      <c r="D45" s="193">
        <v>299385</v>
      </c>
      <c r="E45" s="193">
        <v>374226</v>
      </c>
      <c r="F45" s="193">
        <v>299385</v>
      </c>
      <c r="G45" s="193">
        <v>374226</v>
      </c>
    </row>
    <row r="46">
      <c r="A46" s="75" t="s">
        <v>315</v>
      </c>
      <c r="B46" s="75" t="s">
        <v>176</v>
      </c>
      <c r="C46" s="270" t="s">
        <v>409</v>
      </c>
      <c r="D46" s="193">
        <v>187251</v>
      </c>
      <c r="E46" s="193">
        <v>315848</v>
      </c>
      <c r="F46" s="193">
        <v>187251</v>
      </c>
      <c r="G46" s="193">
        <v>315848</v>
      </c>
    </row>
    <row r="47">
      <c r="A47" s="75" t="s">
        <v>897</v>
      </c>
      <c r="B47" s="75" t="s">
        <v>912</v>
      </c>
      <c r="C47" s="270" t="s">
        <v>318</v>
      </c>
      <c r="D47" s="178">
        <v>0</v>
      </c>
      <c r="E47" s="193">
        <v>0</v>
      </c>
      <c r="F47" s="178">
        <v>0</v>
      </c>
      <c r="G47" s="193">
        <v>0</v>
      </c>
    </row>
    <row r="48">
      <c r="A48" s="75" t="s">
        <v>863</v>
      </c>
      <c r="B48" s="75" t="s">
        <v>183</v>
      </c>
      <c r="C48" s="270" t="s">
        <v>803</v>
      </c>
      <c r="D48" s="178">
        <v>0</v>
      </c>
      <c r="E48" s="193">
        <v>0</v>
      </c>
      <c r="F48" s="178">
        <v>0</v>
      </c>
      <c r="G48" s="193">
        <v>0</v>
      </c>
    </row>
    <row r="49">
      <c r="A49" s="75" t="s">
        <v>815</v>
      </c>
      <c r="B49" s="75" t="s">
        <v>307</v>
      </c>
      <c r="C49" s="270" t="s">
        <v>780</v>
      </c>
      <c r="D49" s="193">
        <v>187251</v>
      </c>
      <c r="E49" s="193">
        <v>315848</v>
      </c>
      <c r="F49" s="193">
        <v>187251</v>
      </c>
      <c r="G49" s="193">
        <v>315848</v>
      </c>
    </row>
    <row r="50">
      <c r="A50" s="75" t="s">
        <v>536</v>
      </c>
      <c r="B50" s="75" t="s">
        <v>922</v>
      </c>
      <c r="C50" s="270" t="s">
        <v>1150</v>
      </c>
      <c r="D50" s="178">
        <v>0</v>
      </c>
      <c r="E50" s="193">
        <v>0</v>
      </c>
      <c r="F50" s="178">
        <v>0</v>
      </c>
      <c r="G50" s="193">
        <v>0</v>
      </c>
    </row>
    <row r="51">
      <c r="A51" s="75" t="s">
        <v>1042</v>
      </c>
      <c r="B51" s="75" t="s">
        <v>795</v>
      </c>
      <c r="C51" s="270" t="s">
        <v>174</v>
      </c>
      <c r="D51" s="178">
        <v>0</v>
      </c>
      <c r="E51" s="193">
        <v>0</v>
      </c>
      <c r="F51" s="178">
        <v>0</v>
      </c>
      <c r="G51" s="193">
        <v>0</v>
      </c>
    </row>
    <row r="52">
      <c r="A52" s="75" t="s">
        <v>272</v>
      </c>
      <c r="B52" s="75" t="s">
        <v>1032</v>
      </c>
      <c r="C52" s="270" t="s">
        <v>69</v>
      </c>
      <c r="D52" s="178">
        <v>0</v>
      </c>
      <c r="E52" s="193">
        <v>0</v>
      </c>
      <c r="F52" s="178">
        <v>0</v>
      </c>
      <c r="G52" s="193">
        <v>0</v>
      </c>
    </row>
    <row r="53">
      <c r="A53" s="75" t="s">
        <v>552</v>
      </c>
      <c r="B53" s="75" t="s">
        <v>1333</v>
      </c>
      <c r="C53" s="270" t="s">
        <v>202</v>
      </c>
      <c r="D53" s="193">
        <v>90000</v>
      </c>
      <c r="E53" s="193">
        <v>0</v>
      </c>
      <c r="F53" s="193">
        <v>90000</v>
      </c>
      <c r="G53" s="193">
        <v>0</v>
      </c>
    </row>
    <row r="54">
      <c r="A54" s="75" t="s">
        <v>408</v>
      </c>
      <c r="B54" s="75" t="s">
        <v>936</v>
      </c>
      <c r="C54" s="270" t="s">
        <v>333</v>
      </c>
      <c r="D54" s="193">
        <v>6278</v>
      </c>
      <c r="E54" s="193">
        <v>16769</v>
      </c>
      <c r="F54" s="193">
        <v>6278</v>
      </c>
      <c r="G54" s="193">
        <v>16769</v>
      </c>
    </row>
    <row r="55">
      <c r="A55" s="75" t="s">
        <v>151</v>
      </c>
      <c r="B55" s="75" t="s">
        <v>551</v>
      </c>
      <c r="C55" s="270" t="s">
        <v>437</v>
      </c>
      <c r="D55" s="193">
        <v>4780</v>
      </c>
      <c r="E55" s="193">
        <v>20418</v>
      </c>
      <c r="F55" s="193">
        <v>4780</v>
      </c>
      <c r="G55" s="193">
        <v>20418</v>
      </c>
    </row>
    <row r="56">
      <c r="A56" s="75" t="s">
        <v>527</v>
      </c>
      <c r="B56" s="75" t="s">
        <v>1075</v>
      </c>
      <c r="C56" s="270" t="s">
        <v>1389</v>
      </c>
      <c r="D56" s="193">
        <v>576</v>
      </c>
      <c r="E56" s="193">
        <v>9358</v>
      </c>
      <c r="F56" s="193">
        <v>576</v>
      </c>
      <c r="G56" s="193">
        <v>9358</v>
      </c>
    </row>
    <row r="57">
      <c r="A57" s="75" t="s">
        <v>280</v>
      </c>
      <c r="B57" s="75" t="s">
        <v>1210</v>
      </c>
      <c r="C57" s="270" t="s">
        <v>1276</v>
      </c>
      <c r="D57" s="178">
        <v>0</v>
      </c>
      <c r="E57" s="193">
        <v>0</v>
      </c>
      <c r="F57" s="178">
        <v>0</v>
      </c>
      <c r="G57" s="193">
        <v>0</v>
      </c>
    </row>
    <row r="58">
      <c r="A58" s="75" t="s">
        <v>359</v>
      </c>
      <c r="B58" s="75" t="s">
        <v>983</v>
      </c>
      <c r="C58" s="270" t="s">
        <v>1056</v>
      </c>
      <c r="D58" s="193">
        <v>10500</v>
      </c>
      <c r="E58" s="193">
        <v>11833</v>
      </c>
      <c r="F58" s="193">
        <v>10500</v>
      </c>
      <c r="G58" s="193">
        <v>11833</v>
      </c>
    </row>
    <row r="59">
      <c r="A59" s="75" t="s">
        <v>499</v>
      </c>
      <c r="B59" s="75" t="s">
        <v>948</v>
      </c>
      <c r="C59" s="270" t="s">
        <v>859</v>
      </c>
      <c r="D59" s="178">
        <v>0</v>
      </c>
      <c r="E59" s="193">
        <v>0</v>
      </c>
      <c r="F59" s="178">
        <v>0</v>
      </c>
      <c r="G59" s="193">
        <v>0</v>
      </c>
    </row>
    <row r="60">
      <c r="A60" s="75" t="s">
        <v>944</v>
      </c>
      <c r="B60" s="75" t="s">
        <v>30</v>
      </c>
      <c r="C60" s="270" t="s">
        <v>1241</v>
      </c>
      <c r="D60" s="178">
        <v>0</v>
      </c>
      <c r="E60" s="193">
        <v>0</v>
      </c>
      <c r="F60" s="178">
        <v>0</v>
      </c>
      <c r="G60" s="193">
        <v>0</v>
      </c>
    </row>
    <row r="61">
      <c r="A61" s="75" t="s">
        <v>536</v>
      </c>
      <c r="B61" s="75" t="s">
        <v>1360</v>
      </c>
      <c r="C61" s="270" t="s">
        <v>976</v>
      </c>
      <c r="D61" s="178">
        <v>0</v>
      </c>
      <c r="E61" s="193">
        <v>0</v>
      </c>
      <c r="F61" s="178">
        <v>0</v>
      </c>
      <c r="G61" s="193">
        <v>0</v>
      </c>
    </row>
    <row r="62">
      <c r="A62" s="75" t="s">
        <v>87</v>
      </c>
      <c r="B62" s="75" t="s">
        <v>1299</v>
      </c>
      <c r="C62" s="270" t="s">
        <v>1266</v>
      </c>
      <c r="D62" s="193">
        <v>32039</v>
      </c>
      <c r="E62" s="193">
        <v>-19689</v>
      </c>
      <c r="F62" s="193">
        <v>32039</v>
      </c>
      <c r="G62" s="193">
        <v>-19689</v>
      </c>
    </row>
    <row r="63">
      <c r="A63" s="75" t="s">
        <v>184</v>
      </c>
      <c r="B63" s="75" t="s">
        <v>559</v>
      </c>
      <c r="C63" s="270" t="s">
        <v>19</v>
      </c>
      <c r="D63" s="193">
        <v>27018</v>
      </c>
      <c r="E63" s="193">
        <v>27018</v>
      </c>
      <c r="F63" s="193">
        <v>27018</v>
      </c>
      <c r="G63" s="193">
        <v>27018</v>
      </c>
    </row>
    <row r="64">
      <c r="A64" s="75" t="s">
        <v>1338</v>
      </c>
      <c r="B64" s="75" t="s">
        <v>961</v>
      </c>
      <c r="C64" s="270" t="s">
        <v>693</v>
      </c>
      <c r="D64" s="178">
        <v>0</v>
      </c>
      <c r="E64" s="193">
        <v>0</v>
      </c>
      <c r="F64" s="178">
        <v>0</v>
      </c>
      <c r="G64" s="193">
        <v>0</v>
      </c>
    </row>
    <row r="65">
      <c r="A65" s="75" t="s">
        <v>1363</v>
      </c>
      <c r="B65" s="75" t="s">
        <v>663</v>
      </c>
      <c r="C65" s="270" t="s">
        <v>716</v>
      </c>
      <c r="D65" s="178">
        <v>0</v>
      </c>
      <c r="E65" s="193">
        <v>0</v>
      </c>
      <c r="F65" s="178">
        <v>0</v>
      </c>
      <c r="G65" s="193">
        <v>0</v>
      </c>
    </row>
    <row r="66">
      <c r="A66" s="75" t="s">
        <v>536</v>
      </c>
      <c r="B66" s="75" t="s">
        <v>678</v>
      </c>
      <c r="C66" s="270" t="s">
        <v>1144</v>
      </c>
      <c r="D66" s="178">
        <v>0</v>
      </c>
      <c r="E66" s="193">
        <v>0</v>
      </c>
      <c r="F66" s="178">
        <v>0</v>
      </c>
      <c r="G66" s="193">
        <v>0</v>
      </c>
    </row>
    <row r="67">
      <c r="A67" s="75" t="s">
        <v>1042</v>
      </c>
      <c r="B67" s="75" t="s">
        <v>1312</v>
      </c>
      <c r="C67" s="270" t="s">
        <v>864</v>
      </c>
      <c r="D67" s="178">
        <v>0</v>
      </c>
      <c r="E67" s="193">
        <v>0</v>
      </c>
      <c r="F67" s="178">
        <v>0</v>
      </c>
      <c r="G67" s="193">
        <v>0</v>
      </c>
    </row>
    <row r="68">
      <c r="A68" s="75" t="s">
        <v>272</v>
      </c>
      <c r="B68" s="75" t="s">
        <v>261</v>
      </c>
      <c r="C68" s="270" t="s">
        <v>1047</v>
      </c>
      <c r="D68" s="178">
        <v>0</v>
      </c>
      <c r="E68" s="193">
        <v>0</v>
      </c>
      <c r="F68" s="178">
        <v>0</v>
      </c>
      <c r="G68" s="193">
        <v>0</v>
      </c>
    </row>
  </sheetData>
  <sheetCalcPr fullCalcOnLoad="1"/>
  <printOptions/>
  <pageMargins left="0.7" right="0.7" top="0.75" bottom="0.75" header="0.3" footer="0.3"/>
  <pageSetup paperSize="9" orientation="portrait"/>
</worksheet>
</file>

<file path=xl/worksheets/sheet53.xml><?xml version="1.0" encoding="utf-8"?>
<worksheet xmlns:r="http://schemas.openxmlformats.org/officeDocument/2006/relationships" xmlns="http://schemas.openxmlformats.org/spreadsheetml/2006/main">
  <sheetPr>
    <tabColor rgb="FF0070C0"/>
    <outlinePr/>
    <pageSetUpPr/>
  </sheetPr>
  <dimension ref="A1:B1"/>
  <sheetViews>
    <sheetView zoomScaleNormal="100" zoomScaleSheetLayoutView="100" zoomScalePageLayoutView="100" workbookViewId="0"/>
  </sheetViews>
  <sheetFormatPr defaultRowHeight="12"/>
  <cols>
    <col min="1" max="1" width="63.109375" style="215" customWidth="1"/>
    <col min="2" max="2" width="24.88671875" style="215" customWidth="1"/>
    <col min="3" max="16384" width="8.88671875"/>
  </cols>
  <sheetData>
    <row r="1">
      <c r="A1" s="210" t="s">
        <v>1</v>
      </c>
      <c r="B1" s="210" t="s">
        <v>192</v>
      </c>
    </row>
  </sheetData>
  <sheetCalcPr fullCalcOnLoad="1"/>
  <printOptions/>
  <pageMargins left="0.7" right="0.7" top="0.75" bottom="0.75" header="0.3" footer="0.3"/>
</worksheet>
</file>

<file path=xl/worksheets/sheet6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836</v>
      </c>
    </row>
    <row r="2" ht="21" customHeight="1" thickTop="1" thickBot="1">
      <c r="A2" s="214" t="s">
        <v>958</v>
      </c>
      <c r="B2" s="34" t="s">
        <v>163</v>
      </c>
    </row>
    <row r="3" ht="30" customHeight="1" thickTop="1" thickBot="1">
      <c r="A3" s="213" t="s">
        <v>808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AG42"/>
  <sheetViews>
    <sheetView showGridLines="0" topLeftCell="A19" zoomScaleNormal="100" zoomScaleSheetLayoutView="100" zoomScalePageLayoutView="100" workbookViewId="0"/>
  </sheetViews>
  <sheetFormatPr defaultRowHeight="12"/>
  <cols>
    <col min="1" max="1" width="29.109375" customWidth="1"/>
    <col min="2" max="10" width="11.33203125" customWidth="1"/>
    <col min="11" max="16384" width="8.88671875"/>
  </cols>
  <sheetData>
    <row r="1">
      <c r="A1" s="47" t="s">
        <v>295</v>
      </c>
    </row>
    <row r="2" thickBot="1">
      <c r="A2" s="276" t="s">
        <v>1249</v>
      </c>
    </row>
    <row r="3" ht="16.5" customHeight="1" thickTop="1" thickBot="1">
      <c r="A3" s="214" t="s">
        <v>1038</v>
      </c>
      <c r="B3" s="235" t="s">
        <v>998</v>
      </c>
      <c r="C3" s="56"/>
      <c r="D3" s="56"/>
      <c r="E3" s="56"/>
      <c r="F3" s="56"/>
      <c r="G3" s="56"/>
      <c r="H3" s="56"/>
      <c r="I3" s="56"/>
      <c r="J3" s="5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</row>
    <row r="4" ht="66.75" customHeight="1" thickTop="1" thickBot="1">
      <c r="A4" s="186"/>
      <c r="B4" s="214" t="s">
        <v>1248</v>
      </c>
      <c r="C4" s="34" t="s">
        <v>1024</v>
      </c>
      <c r="D4" s="214" t="s">
        <v>1100</v>
      </c>
      <c r="E4" s="34" t="s">
        <v>658</v>
      </c>
      <c r="F4" s="214" t="s">
        <v>1052</v>
      </c>
      <c r="G4" s="214" t="s">
        <v>809</v>
      </c>
      <c r="H4" s="34" t="s">
        <v>602</v>
      </c>
      <c r="I4" s="214" t="s">
        <v>376</v>
      </c>
      <c r="J4" s="214" t="s">
        <v>928</v>
      </c>
    </row>
    <row r="5" ht="15" customHeight="1" thickTop="1" thickBot="1">
      <c r="A5" s="15" t="s">
        <v>1137</v>
      </c>
      <c r="B5" s="179"/>
      <c r="C5" s="179"/>
      <c r="D5" s="179"/>
      <c r="E5" s="179"/>
      <c r="F5" s="179"/>
      <c r="G5" s="179"/>
      <c r="H5" s="179"/>
      <c r="I5" s="179"/>
      <c r="J5" s="197"/>
      <c r="K5" s="74"/>
      <c r="L5" s="74"/>
      <c r="M5" s="74"/>
      <c r="N5" s="74"/>
      <c r="O5" s="74"/>
      <c r="P5" s="74"/>
      <c r="Q5" s="74"/>
      <c r="R5" s="74"/>
      <c r="S5" s="190"/>
      <c r="T5" s="190"/>
      <c r="U5" s="190"/>
      <c r="V5" s="190"/>
      <c r="W5" s="190"/>
      <c r="X5" s="190"/>
      <c r="Y5" s="190"/>
    </row>
    <row r="6" thickTop="1" thickBot="1">
      <c r="A6" s="18" t="s">
        <v>429</v>
      </c>
      <c r="B6" s="153">
        <f>SUMIF(HK!A:A,"061*",HK!C:C)-SUMIF(HK!A:A,"061*",HK!D:D)</f>
        <v>0</v>
      </c>
      <c r="C6" s="153">
        <f>SUMIF(HK!A:A,"062*",HK!C:C)-SUMIF(HK!A:A,"062*",HK!D:D)</f>
        <v>0</v>
      </c>
      <c r="D6" s="153">
        <f>SUMIF(HK!A:A,"063*",HK!C:C)-SUMIF(HK!A:A,"063*",HK!D:D)</f>
        <v>0</v>
      </c>
      <c r="E6" s="153">
        <f>SUMIF(HK!A:A,"066*",HK!C:C)-SUMIF(HK!A:A,"066*",HK!D:D)</f>
        <v>0</v>
      </c>
      <c r="F6" s="153">
        <f>SUMIF(HK!A:A,"067*",HK!C:C)-SUMIF(HK!A:A,"067*",HK!D:D)</f>
        <v>0</v>
      </c>
      <c r="G6" s="263"/>
      <c r="H6" s="153">
        <f>SUMIF(HK!A:A,"043*",HK!C:C)-SUMIF(HK!A:A,"043*",HK!D:D)</f>
        <v>0</v>
      </c>
      <c r="I6" s="153">
        <f>SUMIF(HK!A:A,"053*",HK!C:C)-SUMIF(HK!A:A,"053*",HK!D:D)</f>
        <v>0</v>
      </c>
      <c r="J6" s="141">
        <f>SUM(B6:I6)</f>
        <v>0</v>
      </c>
      <c r="K6" s="84"/>
      <c r="L6" s="40"/>
      <c r="M6" s="84"/>
      <c r="N6" s="84"/>
      <c r="O6" s="84"/>
      <c r="P6" s="84"/>
      <c r="Q6" s="84"/>
      <c r="R6" s="84"/>
    </row>
    <row r="7" ht="15" customHeight="1" thickBot="1">
      <c r="A7" s="191" t="s">
        <v>266</v>
      </c>
      <c r="B7" s="263"/>
      <c r="C7" s="263"/>
      <c r="D7" s="263"/>
      <c r="E7" s="263"/>
      <c r="F7" s="31"/>
      <c r="G7" s="263"/>
      <c r="H7" s="263"/>
      <c r="I7" s="263"/>
      <c r="J7" s="141">
        <f>SUM(B7:I7)</f>
        <v>0</v>
      </c>
      <c r="K7" s="84"/>
      <c r="L7" s="84"/>
      <c r="M7" s="84"/>
      <c r="N7" s="84"/>
      <c r="O7" s="84"/>
      <c r="P7" s="84"/>
      <c r="Q7" s="84"/>
      <c r="R7" s="84"/>
    </row>
    <row r="8" ht="15" customHeight="1" thickBot="1">
      <c r="A8" s="191" t="s">
        <v>413</v>
      </c>
      <c r="B8" s="263"/>
      <c r="C8" s="263"/>
      <c r="D8" s="263"/>
      <c r="E8" s="263"/>
      <c r="F8" s="31"/>
      <c r="G8" s="263"/>
      <c r="H8" s="263"/>
      <c r="I8" s="263"/>
      <c r="J8" s="141">
        <f>SUM(B8:I8)</f>
        <v>0</v>
      </c>
      <c r="K8" s="84"/>
      <c r="L8" s="84"/>
      <c r="M8" s="84"/>
      <c r="N8" s="84"/>
      <c r="O8" s="84"/>
      <c r="P8" s="84"/>
      <c r="Q8" s="84"/>
      <c r="R8" s="84"/>
    </row>
    <row r="9" ht="15" customHeight="1" thickBot="1">
      <c r="A9" s="191" t="s">
        <v>50</v>
      </c>
      <c r="B9" s="263"/>
      <c r="C9" s="263"/>
      <c r="D9" s="263"/>
      <c r="E9" s="263"/>
      <c r="F9" s="31"/>
      <c r="G9" s="263"/>
      <c r="H9" s="263"/>
      <c r="I9" s="263"/>
      <c r="J9" s="141">
        <f>SUM(B9:I9)</f>
        <v>0</v>
      </c>
      <c r="K9" s="84"/>
      <c r="L9" s="84"/>
      <c r="M9" s="84"/>
      <c r="N9" s="84"/>
      <c r="O9" s="84"/>
      <c r="P9" s="84"/>
      <c r="Q9" s="84"/>
      <c r="R9" s="84"/>
    </row>
    <row r="10" thickBot="1">
      <c r="A10" s="142" t="s">
        <v>459</v>
      </c>
      <c r="B10" s="153">
        <f>SUMIF(HK!A:A,"061*",HK!K:K)-SUMIF(HK!A:A,"061*",HK!L:L)</f>
        <v>0</v>
      </c>
      <c r="C10" s="153">
        <f>SUMIF(HK!A:A,"062*",HK!K:K)-SUMIF(HK!A:A,"062*",HK!L:L)</f>
        <v>0</v>
      </c>
      <c r="D10" s="153">
        <f>SUMIF(HK!A:A,"063*",HK!K:K)-SUMIF(HK!A:A,"063*",HK!L:L)</f>
        <v>0</v>
      </c>
      <c r="E10" s="153">
        <f>SUMIF(HK!A:A,"066*",HK!K:K)-SUMIF(HK!A:A,"066*",HK!L:L)</f>
        <v>0</v>
      </c>
      <c r="F10" s="153">
        <f>SUMIF(HK!A:A,"067*",HK!K:K)-SUMIF(HK!A:A,"067*",HK!L:L)</f>
        <v>0</v>
      </c>
      <c r="G10" s="263"/>
      <c r="H10" s="153">
        <f>SUMIF(HK!A:A,"043*",HK!K:K)-SUMIF(HK!A:A,"043*",HK!L:L)</f>
        <v>0</v>
      </c>
      <c r="I10" s="153">
        <f>SUMIF(HK!A:A,"053*",HK!K:K)-SUMIF(HK!A:A,"053*",HK!L:L)</f>
        <v>0</v>
      </c>
      <c r="J10" s="236">
        <f>J6+J7-J8+J9</f>
        <v>0</v>
      </c>
      <c r="K10" s="84"/>
      <c r="L10" s="40"/>
      <c r="M10" s="84"/>
      <c r="N10" s="84"/>
      <c r="O10" s="84"/>
      <c r="P10" s="84"/>
      <c r="Q10" s="84"/>
      <c r="R10" s="84"/>
    </row>
    <row r="11" ht="15" customHeight="1" thickTop="1" thickBot="1">
      <c r="A11" s="15" t="s">
        <v>1013</v>
      </c>
      <c r="B11" s="159"/>
      <c r="C11" s="159"/>
      <c r="D11" s="159"/>
      <c r="E11" s="159"/>
      <c r="F11" s="159"/>
      <c r="G11" s="159"/>
      <c r="H11" s="159"/>
      <c r="I11" s="159"/>
      <c r="J11" s="197"/>
      <c r="K11" s="84"/>
      <c r="L11" s="84"/>
      <c r="M11" s="84"/>
      <c r="N11" s="84"/>
      <c r="O11" s="84"/>
      <c r="P11" s="84"/>
      <c r="Q11" s="84"/>
      <c r="R11" s="84"/>
    </row>
    <row r="12" thickTop="1" thickBot="1">
      <c r="A12" s="18" t="s">
        <v>1216</v>
      </c>
      <c r="B12" s="153"/>
      <c r="C12" s="153"/>
      <c r="D12" s="153"/>
      <c r="E12" s="153"/>
      <c r="F12" s="153"/>
      <c r="G12" s="153"/>
      <c r="H12" s="153"/>
      <c r="I12" s="153">
        <f>SUMIF(SUAM!C:C,"032",SUAM!E:E)</f>
        <v>0</v>
      </c>
      <c r="J12" s="141">
        <f>SUM(B12:I12)</f>
        <v>0</v>
      </c>
      <c r="K12" s="84"/>
      <c r="L12" s="40"/>
      <c r="M12" s="84"/>
      <c r="N12" s="137"/>
      <c r="O12" s="84"/>
      <c r="P12" s="84"/>
      <c r="Q12" s="84"/>
      <c r="R12" s="84"/>
    </row>
    <row r="13" ht="15" customHeight="1" thickBot="1">
      <c r="A13" s="191" t="s">
        <v>266</v>
      </c>
      <c r="B13" s="263"/>
      <c r="C13" s="263"/>
      <c r="D13" s="263"/>
      <c r="E13" s="263"/>
      <c r="F13" s="263"/>
      <c r="G13" s="263"/>
      <c r="H13" s="263"/>
      <c r="I13" s="263"/>
      <c r="J13" s="141">
        <f>SUM(B13:I13)</f>
        <v>0</v>
      </c>
      <c r="K13" s="84"/>
      <c r="L13" s="84"/>
      <c r="M13" s="84"/>
      <c r="N13" s="84"/>
      <c r="O13" s="84"/>
      <c r="P13" s="84"/>
      <c r="Q13" s="84"/>
      <c r="R13" s="84"/>
    </row>
    <row r="14" ht="15" customHeight="1" thickBot="1">
      <c r="A14" s="191" t="s">
        <v>413</v>
      </c>
      <c r="B14" s="263"/>
      <c r="C14" s="263"/>
      <c r="D14" s="263"/>
      <c r="E14" s="263"/>
      <c r="F14" s="263"/>
      <c r="G14" s="263"/>
      <c r="H14" s="263"/>
      <c r="I14" s="263"/>
      <c r="J14" s="141">
        <f>SUM(B14:I14)</f>
        <v>0</v>
      </c>
      <c r="K14" s="84"/>
      <c r="L14" s="84"/>
      <c r="M14" s="84"/>
      <c r="N14" s="84"/>
      <c r="O14" s="84"/>
      <c r="P14" s="84"/>
      <c r="Q14" s="84"/>
      <c r="R14" s="84"/>
    </row>
    <row r="15" ht="15" customHeight="1" thickBot="1">
      <c r="A15" s="112" t="s">
        <v>50</v>
      </c>
      <c r="B15" s="31"/>
      <c r="C15" s="31"/>
      <c r="D15" s="31"/>
      <c r="E15" s="31"/>
      <c r="F15" s="31"/>
      <c r="G15" s="31"/>
      <c r="H15" s="31"/>
      <c r="I15" s="31"/>
      <c r="J15" s="96"/>
      <c r="K15" s="84"/>
      <c r="L15" s="84"/>
      <c r="M15" s="84"/>
      <c r="N15" s="84"/>
      <c r="O15" s="84"/>
      <c r="P15" s="84"/>
      <c r="Q15" s="84"/>
      <c r="R15" s="84"/>
    </row>
    <row r="16" thickBot="1">
      <c r="A16" s="142" t="s">
        <v>459</v>
      </c>
      <c r="B16" s="153"/>
      <c r="C16" s="153"/>
      <c r="D16" s="153"/>
      <c r="E16" s="153"/>
      <c r="F16" s="153"/>
      <c r="G16" s="153"/>
      <c r="H16" s="153"/>
      <c r="I16" s="153">
        <f>SUMIF(SUA!C:C,"032",SUA!E:E)</f>
        <v>0</v>
      </c>
      <c r="J16" s="236">
        <f>J12+J13-J14</f>
        <v>0</v>
      </c>
      <c r="K16" s="84"/>
      <c r="L16" s="40"/>
      <c r="M16" s="84"/>
      <c r="N16" s="137"/>
      <c r="O16" s="84"/>
      <c r="P16" s="84"/>
      <c r="Q16" s="84"/>
      <c r="R16" s="84"/>
    </row>
    <row r="17" ht="15" customHeight="1" thickTop="1" thickBot="1">
      <c r="A17" s="15" t="s">
        <v>887</v>
      </c>
      <c r="B17" s="159"/>
      <c r="C17" s="159"/>
      <c r="D17" s="159"/>
      <c r="E17" s="159"/>
      <c r="F17" s="159"/>
      <c r="G17" s="159"/>
      <c r="H17" s="159"/>
      <c r="I17" s="159"/>
      <c r="J17" s="197"/>
      <c r="K17" s="84"/>
      <c r="L17" s="84"/>
      <c r="M17" s="84"/>
      <c r="N17" s="84"/>
      <c r="O17" s="84"/>
      <c r="P17" s="84"/>
      <c r="Q17" s="84"/>
      <c r="R17" s="84"/>
    </row>
    <row r="18" ht="15" customHeight="1" thickTop="1" thickBot="1">
      <c r="A18" s="18" t="s">
        <v>1216</v>
      </c>
      <c r="B18" s="263"/>
      <c r="C18" s="263"/>
      <c r="D18" s="263"/>
      <c r="E18" s="263"/>
      <c r="F18" s="263"/>
      <c r="G18" s="263"/>
      <c r="H18" s="263"/>
      <c r="I18" s="263"/>
      <c r="J18" s="141"/>
    </row>
    <row r="19" ht="15" customHeight="1" thickBot="1">
      <c r="A19" s="142" t="s">
        <v>459</v>
      </c>
      <c r="B19" s="53"/>
      <c r="C19" s="53"/>
      <c r="D19" s="53"/>
      <c r="E19" s="53"/>
      <c r="F19" s="53"/>
      <c r="G19" s="53"/>
      <c r="H19" s="53"/>
      <c r="I19" s="53"/>
      <c r="J19" s="236"/>
    </row>
    <row r="20" thickTop="1">
      <c r="A20" s="161"/>
      <c r="B20" s="161"/>
      <c r="C20" s="161"/>
      <c r="D20" s="161"/>
      <c r="E20" s="161"/>
      <c r="F20" s="161"/>
      <c r="G20" s="161"/>
      <c r="H20" s="161"/>
      <c r="I20" s="161"/>
      <c r="J20" s="161"/>
    </row>
    <row r="21">
      <c r="A21" s="161"/>
      <c r="B21" s="161"/>
      <c r="C21" s="161"/>
      <c r="D21" s="161"/>
      <c r="E21" s="161"/>
      <c r="F21" s="161"/>
      <c r="G21" s="161"/>
      <c r="H21" s="161"/>
      <c r="I21" s="161"/>
      <c r="J21" s="161"/>
    </row>
    <row r="22" thickBot="1">
      <c r="A22" s="7" t="s">
        <v>1077</v>
      </c>
      <c r="B22" s="7"/>
      <c r="C22" s="7"/>
      <c r="D22" s="7"/>
      <c r="E22" s="7"/>
      <c r="F22" s="7"/>
      <c r="G22" s="7"/>
      <c r="H22" s="7"/>
      <c r="I22" s="7"/>
      <c r="J22" s="7"/>
    </row>
    <row r="23" ht="16.5" customHeight="1" thickTop="1" thickBot="1">
      <c r="A23" s="271" t="s">
        <v>1038</v>
      </c>
      <c r="B23" s="19" t="s">
        <v>1293</v>
      </c>
      <c r="C23" s="121"/>
      <c r="D23" s="121"/>
      <c r="E23" s="121"/>
      <c r="F23" s="121"/>
      <c r="G23" s="121"/>
      <c r="H23" s="121"/>
      <c r="I23" s="121"/>
      <c r="J23" s="114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</row>
    <row r="24" ht="66.75" customHeight="1" thickTop="1" thickBot="1">
      <c r="A24" s="248"/>
      <c r="B24" s="271" t="s">
        <v>1248</v>
      </c>
      <c r="C24" s="97" t="s">
        <v>1024</v>
      </c>
      <c r="D24" s="271" t="s">
        <v>1100</v>
      </c>
      <c r="E24" s="97" t="s">
        <v>658</v>
      </c>
      <c r="F24" s="271" t="s">
        <v>1052</v>
      </c>
      <c r="G24" s="271" t="s">
        <v>809</v>
      </c>
      <c r="H24" s="97" t="s">
        <v>602</v>
      </c>
      <c r="I24" s="271" t="s">
        <v>376</v>
      </c>
      <c r="J24" s="271" t="s">
        <v>928</v>
      </c>
    </row>
    <row r="25" ht="15" customHeight="1" thickTop="1" thickBot="1">
      <c r="A25" s="232" t="s">
        <v>1137</v>
      </c>
      <c r="B25" s="123"/>
      <c r="C25" s="123"/>
      <c r="D25" s="123"/>
      <c r="E25" s="123"/>
      <c r="F25" s="123"/>
      <c r="G25" s="123"/>
      <c r="H25" s="123"/>
      <c r="I25" s="123"/>
      <c r="J25" s="131"/>
      <c r="K25" s="190"/>
      <c r="L25" s="190"/>
      <c r="M25" s="190"/>
      <c r="N25" s="190"/>
      <c r="O25" s="190"/>
      <c r="P25" s="190"/>
      <c r="Q25" s="190"/>
      <c r="R25" s="190"/>
      <c r="S25" s="190"/>
      <c r="T25" s="190"/>
      <c r="U25" s="190"/>
      <c r="V25" s="190"/>
      <c r="W25" s="190"/>
      <c r="X25" s="190"/>
      <c r="Y25" s="190"/>
    </row>
    <row r="26" thickTop="1" thickBot="1">
      <c r="A26" s="234" t="s">
        <v>429</v>
      </c>
      <c r="B26" s="153">
        <f>SUMIF(HKM!A:A,"061*",HKM!C:C)-SUMIF(HKM!A:A,"061*",HKM!D:D)</f>
        <v>0</v>
      </c>
      <c r="C26" s="153">
        <f>SUMIF(HKM!A:A,"062*",HKM!C:C)-SUMIF(HKM!A:A,"062*",HKM!D:D)</f>
        <v>0</v>
      </c>
      <c r="D26" s="153">
        <f>SUMIF(HKM!A:A,"063*",HKM!C:C)-SUMIF(HKM!A:A,"063*",HKM!D:D)</f>
        <v>0</v>
      </c>
      <c r="E26" s="153">
        <f>SUMIF(HKM!A:A,"066*",HKM!C:C)-SUMIF(HKM!A:A,"066*",HKM!D:D)</f>
        <v>0</v>
      </c>
      <c r="F26" s="153">
        <f>SUMIF(HKM!A:A,"067*",HKM!C:C)-SUMIF(HKM!A:A,"067*",HKM!D:D)</f>
        <v>0</v>
      </c>
      <c r="G26" s="263"/>
      <c r="H26" s="153">
        <f>SUMIF(HKM!A:A,"043*",HKM!C:C)-SUMIF(HKM!A:A,"043*",HKM!D:D)</f>
        <v>0</v>
      </c>
      <c r="I26" s="153">
        <f>SUMIF(HKM!A:A,"053*",HKM!C:C)-SUMIF(HKM!A:A,"053*",HKM!D:D)</f>
        <v>0</v>
      </c>
      <c r="J26" s="79">
        <f>SUM(B26:I26)</f>
        <v>0</v>
      </c>
      <c r="K26" s="84"/>
      <c r="L26" s="40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</row>
    <row r="27" ht="15" customHeight="1" thickBot="1">
      <c r="A27" s="128" t="s">
        <v>266</v>
      </c>
      <c r="B27" s="263"/>
      <c r="C27" s="263"/>
      <c r="D27" s="263"/>
      <c r="E27" s="263"/>
      <c r="F27" s="31"/>
      <c r="G27" s="263"/>
      <c r="H27" s="263"/>
      <c r="I27" s="263"/>
      <c r="J27" s="79">
        <f>SUM(B27:I27)</f>
        <v>0</v>
      </c>
      <c r="K27" s="84"/>
      <c r="L27" s="84"/>
      <c r="M27" s="84"/>
      <c r="N27" s="84"/>
      <c r="O27" s="84"/>
      <c r="P27" s="84"/>
      <c r="Q27" s="84"/>
      <c r="R27" s="84"/>
      <c r="S27" s="84"/>
      <c r="T27" s="84"/>
      <c r="U27" s="84"/>
      <c r="V27" s="84"/>
      <c r="W27" s="84"/>
    </row>
    <row r="28" ht="15" customHeight="1" thickBot="1">
      <c r="A28" s="275" t="s">
        <v>413</v>
      </c>
      <c r="B28" s="61"/>
      <c r="C28" s="263"/>
      <c r="D28" s="263"/>
      <c r="E28" s="263"/>
      <c r="F28" s="31"/>
      <c r="G28" s="263"/>
      <c r="H28" s="263"/>
      <c r="I28" s="263"/>
      <c r="J28" s="79">
        <f>SUM(B28:I28)</f>
        <v>0</v>
      </c>
      <c r="K28" s="84"/>
      <c r="L28" s="84"/>
      <c r="M28" s="84"/>
      <c r="N28" s="84"/>
      <c r="O28" s="84"/>
      <c r="P28" s="84"/>
      <c r="Q28" s="84"/>
      <c r="R28" s="84"/>
      <c r="S28" s="84"/>
      <c r="T28" s="84"/>
      <c r="U28" s="84"/>
      <c r="V28" s="84"/>
      <c r="W28" s="84"/>
    </row>
    <row r="29" ht="15" customHeight="1" thickBot="1">
      <c r="A29" s="49" t="s">
        <v>50</v>
      </c>
      <c r="B29" s="31"/>
      <c r="C29" s="263"/>
      <c r="D29" s="263"/>
      <c r="E29" s="263"/>
      <c r="F29" s="31"/>
      <c r="G29" s="263"/>
      <c r="H29" s="263"/>
      <c r="I29" s="263"/>
      <c r="J29" s="79">
        <f>SUM(B29:I29)</f>
        <v>0</v>
      </c>
      <c r="K29" s="84"/>
      <c r="L29" s="84"/>
      <c r="M29" s="84"/>
      <c r="N29" s="84"/>
      <c r="O29" s="84"/>
      <c r="P29" s="84"/>
      <c r="Q29" s="84"/>
      <c r="R29" s="84"/>
      <c r="S29" s="84"/>
      <c r="T29" s="84"/>
      <c r="U29" s="84"/>
      <c r="V29" s="84"/>
      <c r="W29" s="84"/>
    </row>
    <row r="30" thickBot="1">
      <c r="A30" s="80" t="s">
        <v>459</v>
      </c>
      <c r="B30" s="153">
        <f>SUMIF(HKM!A:A,"061*",HKM!K:K)-SUMIF(HKM!A:A,"061*",HKM!L:L)</f>
        <v>0</v>
      </c>
      <c r="C30" s="153">
        <f>SUMIF(HKM!A:A,"062*",HKM!K:K)-SUMIF(HKM!A:A,"062*",HKM!L:L)</f>
        <v>0</v>
      </c>
      <c r="D30" s="153">
        <f>SUMIF(HKM!A:A,"063*",HKM!K:K)-SUMIF(HKM!A:A,"063*",HKM!L:L)</f>
        <v>0</v>
      </c>
      <c r="E30" s="153">
        <f>SUMIF(HKM!A:A,"066*",HKM!K:K)-SUMIF(HKM!A:A,"066*",HKM!L:L)</f>
        <v>0</v>
      </c>
      <c r="F30" s="153">
        <f>SUMIF(HKM!A:A,"067*",HKM!K:K)-SUMIF(HKM!A:A,"067*",HKM!L:L)</f>
        <v>0</v>
      </c>
      <c r="G30" s="263"/>
      <c r="H30" s="153">
        <f>SUMIF(HKM!A:A,"043*",HKM!K:K)-SUMIF(HKM!A:A,"043*",HKM!L:L)</f>
        <v>0</v>
      </c>
      <c r="I30" s="153">
        <f>SUMIF(HKM!A:A,"053*",HKM!K:K)-SUMIF(HKM!A:A,"053*",HKM!L:L)</f>
        <v>0</v>
      </c>
      <c r="J30" s="167">
        <f>J26+J27-J28+J29</f>
        <v>0</v>
      </c>
      <c r="K30" s="84"/>
      <c r="L30" s="40"/>
      <c r="M30" s="84"/>
      <c r="N30" s="84"/>
      <c r="O30" s="84"/>
      <c r="P30" s="84"/>
      <c r="Q30" s="84"/>
      <c r="R30" s="84"/>
      <c r="S30" s="84"/>
      <c r="T30" s="84"/>
      <c r="U30" s="84"/>
      <c r="V30" s="84"/>
      <c r="W30" s="84"/>
    </row>
    <row r="31" ht="15" customHeight="1" thickTop="1" thickBot="1">
      <c r="A31" s="232" t="s">
        <v>1013</v>
      </c>
      <c r="B31" s="159"/>
      <c r="C31" s="159"/>
      <c r="D31" s="159"/>
      <c r="E31" s="159"/>
      <c r="F31" s="159"/>
      <c r="G31" s="159"/>
      <c r="H31" s="159"/>
      <c r="I31" s="159"/>
      <c r="J31" s="131"/>
      <c r="K31" s="84"/>
      <c r="L31" s="84"/>
      <c r="M31" s="84"/>
      <c r="N31" s="84"/>
      <c r="O31" s="84"/>
      <c r="P31" s="84"/>
      <c r="Q31" s="84"/>
      <c r="R31" s="84"/>
      <c r="S31" s="84"/>
      <c r="T31" s="84"/>
      <c r="U31" s="84"/>
      <c r="V31" s="84"/>
      <c r="W31" s="84"/>
    </row>
    <row r="32" thickTop="1" thickBot="1">
      <c r="A32" s="234" t="s">
        <v>1216</v>
      </c>
      <c r="B32" s="153"/>
      <c r="C32" s="153"/>
      <c r="D32" s="153"/>
      <c r="E32" s="153"/>
      <c r="F32" s="153"/>
      <c r="G32" s="153"/>
      <c r="H32" s="153"/>
      <c r="I32" s="170"/>
      <c r="J32" s="79">
        <f>SUM(B32:I32)</f>
        <v>0</v>
      </c>
      <c r="K32" s="84"/>
      <c r="L32" s="40"/>
      <c r="M32" s="231"/>
      <c r="N32" s="137"/>
      <c r="O32" s="84"/>
      <c r="P32" s="84"/>
      <c r="Q32" s="84"/>
      <c r="R32" s="84"/>
      <c r="S32" s="84"/>
      <c r="T32" s="84"/>
      <c r="U32" s="84"/>
      <c r="V32" s="84"/>
      <c r="W32" s="84"/>
    </row>
    <row r="33" ht="15" customHeight="1" thickBot="1">
      <c r="A33" s="128" t="s">
        <v>266</v>
      </c>
      <c r="B33" s="263"/>
      <c r="C33" s="263"/>
      <c r="D33" s="263"/>
      <c r="E33" s="263"/>
      <c r="F33" s="263"/>
      <c r="G33" s="263"/>
      <c r="H33" s="263"/>
      <c r="I33" s="263"/>
      <c r="J33" s="79">
        <f>SUM(B33:I33)</f>
        <v>0</v>
      </c>
      <c r="K33" s="84"/>
      <c r="L33" s="84"/>
      <c r="M33" s="84"/>
      <c r="N33" s="84"/>
      <c r="O33" s="84"/>
      <c r="P33" s="84"/>
      <c r="Q33" s="84"/>
      <c r="R33" s="84"/>
      <c r="S33" s="84"/>
      <c r="T33" s="84"/>
      <c r="U33" s="84"/>
      <c r="V33" s="84"/>
      <c r="W33" s="84"/>
    </row>
    <row r="34" ht="15" customHeight="1" thickBot="1">
      <c r="A34" s="128" t="s">
        <v>413</v>
      </c>
      <c r="B34" s="263"/>
      <c r="C34" s="263"/>
      <c r="D34" s="263"/>
      <c r="E34" s="263"/>
      <c r="F34" s="263"/>
      <c r="G34" s="263"/>
      <c r="H34" s="263"/>
      <c r="I34" s="263"/>
      <c r="J34" s="79">
        <f>SUM(B34:I34)</f>
        <v>0</v>
      </c>
      <c r="K34" s="84"/>
      <c r="L34" s="84"/>
      <c r="M34" s="84"/>
      <c r="N34" s="84"/>
      <c r="O34" s="84"/>
      <c r="P34" s="84"/>
      <c r="Q34" s="84"/>
      <c r="R34" s="84"/>
      <c r="S34" s="84"/>
      <c r="T34" s="84"/>
      <c r="U34" s="84"/>
      <c r="V34" s="84"/>
      <c r="W34" s="84"/>
    </row>
    <row r="35" ht="15" customHeight="1" thickBot="1">
      <c r="A35" s="49" t="s">
        <v>50</v>
      </c>
      <c r="B35" s="31"/>
      <c r="C35" s="31"/>
      <c r="D35" s="31"/>
      <c r="E35" s="31"/>
      <c r="F35" s="31"/>
      <c r="G35" s="31"/>
      <c r="H35" s="31"/>
      <c r="I35" s="31"/>
      <c r="J35" s="31"/>
      <c r="K35" s="84"/>
      <c r="L35" s="84"/>
      <c r="M35" s="84"/>
      <c r="N35" s="84"/>
      <c r="O35" s="84"/>
      <c r="P35" s="84"/>
      <c r="Q35" s="84"/>
      <c r="R35" s="84"/>
      <c r="S35" s="84"/>
      <c r="T35" s="84"/>
      <c r="U35" s="84"/>
      <c r="V35" s="84"/>
      <c r="W35" s="84"/>
    </row>
    <row r="36" thickBot="1">
      <c r="A36" s="80" t="s">
        <v>459</v>
      </c>
      <c r="B36" s="153"/>
      <c r="C36" s="153"/>
      <c r="D36" s="153"/>
      <c r="E36" s="153"/>
      <c r="F36" s="153"/>
      <c r="G36" s="153"/>
      <c r="H36" s="153"/>
      <c r="I36" s="153">
        <f>SUMIF(SUAM!C:C,"032",SUAM!E:E)</f>
        <v>0</v>
      </c>
      <c r="J36" s="167">
        <f>J32+J33-J34</f>
        <v>0</v>
      </c>
      <c r="K36" s="84"/>
      <c r="L36" s="40"/>
      <c r="M36" s="84"/>
      <c r="N36" s="137"/>
      <c r="O36" s="84"/>
      <c r="P36" s="84"/>
      <c r="Q36" s="84"/>
      <c r="R36" s="84"/>
      <c r="S36" s="84"/>
      <c r="T36" s="84"/>
      <c r="U36" s="84"/>
      <c r="V36" s="84"/>
      <c r="W36" s="84"/>
    </row>
    <row r="37" ht="15" customHeight="1" thickTop="1" thickBot="1">
      <c r="A37" s="232" t="s">
        <v>887</v>
      </c>
      <c r="B37" s="123"/>
      <c r="C37" s="123"/>
      <c r="D37" s="123"/>
      <c r="E37" s="123"/>
      <c r="F37" s="123"/>
      <c r="G37" s="123"/>
      <c r="H37" s="123"/>
      <c r="I37" s="123"/>
      <c r="J37" s="131"/>
      <c r="K37" s="84"/>
      <c r="L37" s="84"/>
      <c r="M37" s="84"/>
      <c r="N37" s="84"/>
      <c r="O37" s="84"/>
      <c r="P37" s="84"/>
      <c r="Q37" s="84"/>
      <c r="R37" s="84"/>
      <c r="S37" s="84"/>
      <c r="T37" s="84"/>
      <c r="U37" s="84"/>
      <c r="V37" s="84"/>
      <c r="W37" s="84"/>
    </row>
    <row r="38" ht="15" customHeight="1" thickTop="1" thickBot="1">
      <c r="A38" s="234" t="s">
        <v>1216</v>
      </c>
      <c r="B38" s="263"/>
      <c r="C38" s="263"/>
      <c r="D38" s="263"/>
      <c r="E38" s="263"/>
      <c r="F38" s="263"/>
      <c r="G38" s="263"/>
      <c r="H38" s="263"/>
      <c r="I38" s="263"/>
      <c r="J38" s="79"/>
      <c r="K38" s="84"/>
      <c r="L38" s="84"/>
      <c r="M38" s="84"/>
      <c r="N38" s="84"/>
      <c r="O38" s="84"/>
      <c r="P38" s="84"/>
      <c r="Q38" s="84"/>
      <c r="R38" s="84"/>
      <c r="S38" s="84"/>
      <c r="T38" s="84"/>
      <c r="U38" s="84"/>
      <c r="V38" s="84"/>
      <c r="W38" s="84"/>
    </row>
    <row r="39" ht="15" customHeight="1" thickBot="1">
      <c r="A39" s="80" t="s">
        <v>459</v>
      </c>
      <c r="B39" s="53"/>
      <c r="C39" s="53"/>
      <c r="D39" s="53"/>
      <c r="E39" s="53"/>
      <c r="F39" s="53"/>
      <c r="G39" s="53"/>
      <c r="H39" s="53"/>
      <c r="I39" s="53"/>
      <c r="J39" s="167"/>
    </row>
    <row r="40" thickTop="1">
      <c r="A40" s="215"/>
      <c r="B40" s="215"/>
      <c r="C40" s="215"/>
      <c r="D40" s="215"/>
      <c r="E40" s="215"/>
      <c r="F40" s="215"/>
      <c r="G40" s="215"/>
      <c r="H40" s="215"/>
      <c r="I40" s="215"/>
      <c r="J40" s="215"/>
    </row>
    <row r="41">
      <c r="A41" s="215"/>
      <c r="B41" s="215"/>
      <c r="C41" s="215"/>
      <c r="D41" s="215"/>
      <c r="E41" s="215"/>
      <c r="F41" s="215"/>
      <c r="G41" s="215"/>
      <c r="H41" s="215"/>
      <c r="I41" s="215"/>
      <c r="J41" s="215"/>
    </row>
    <row r="42">
      <c r="A42" s="215"/>
      <c r="B42" s="215"/>
      <c r="C42" s="215"/>
      <c r="D42" s="215"/>
      <c r="E42" s="215"/>
      <c r="F42" s="215"/>
      <c r="G42" s="215"/>
      <c r="H42" s="215"/>
      <c r="I42" s="215"/>
      <c r="J42" s="215"/>
    </row>
  </sheetData>
  <sheetCalcPr fullCalcOnLoad="1"/>
  <mergeCells count="4">
    <mergeCell ref="A23:A24"/>
    <mergeCell ref="B23:J23"/>
    <mergeCell ref="A3:A4"/>
    <mergeCell ref="B3:J3"/>
  </mergeCells>
  <printOptions/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:r="http://schemas.openxmlformats.org/officeDocument/2006/relationships" xmlns="http://schemas.openxmlformats.org/spreadsheetml/2006/main">
  <sheetPr>
    <tabColor rgb="FFFF0000"/>
    <outlinePr/>
    <pageSetUpPr/>
  </sheetPr>
  <dimension ref="A1:C3"/>
  <sheetViews>
    <sheetView showGridLines="0" zoomScaleNormal="100" zoomScaleSheetLayoutView="100" zoomScalePageLayoutView="100" workbookViewId="0"/>
  </sheetViews>
  <sheetFormatPr defaultRowHeight="12"/>
  <cols>
    <col min="1" max="2" width="43.33203125" customWidth="1"/>
    <col min="3" max="3" width="19.109375" customWidth="1"/>
    <col min="4" max="16384" width="8.88671875"/>
  </cols>
  <sheetData>
    <row r="1" thickBot="1">
      <c r="A1" s="47" t="s">
        <v>1178</v>
      </c>
    </row>
    <row r="2" ht="21" customHeight="1" thickTop="1" thickBot="1">
      <c r="A2" s="214" t="s">
        <v>1038</v>
      </c>
      <c r="B2" s="34" t="s">
        <v>163</v>
      </c>
    </row>
    <row r="3" ht="23.25" customHeight="1" thickTop="1" thickBot="1">
      <c r="A3" s="213" t="s">
        <v>466</v>
      </c>
      <c r="B3" s="251"/>
    </row>
  </sheetData>
  <sheetCalcPr fullCalcOnLoad="1"/>
  <printOptions/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:r="http://schemas.openxmlformats.org/officeDocument/2006/relationships" xmlns="http://schemas.openxmlformats.org/spreadsheetml/2006/main">
  <sheetPr>
    <tabColor rgb="FF00B050"/>
    <outlinePr/>
    <pageSetUpPr/>
  </sheetPr>
  <dimension ref="A1:F20"/>
  <sheetViews>
    <sheetView showGridLines="0" zoomScaleNormal="100" zoomScaleSheetLayoutView="100" zoomScalePageLayoutView="100" workbookViewId="0"/>
  </sheetViews>
  <sheetFormatPr defaultRowHeight="12"/>
  <cols>
    <col min="1" max="1" width="21.33203125" customWidth="1"/>
    <col min="2" max="4" width="12.6640625" customWidth="1"/>
    <col min="5" max="5" width="14.33203125" customWidth="1"/>
    <col min="6" max="6" width="12.6640625" customWidth="1"/>
    <col min="7" max="16384" width="8.88671875"/>
  </cols>
  <sheetData>
    <row r="1" thickBot="1">
      <c r="A1" s="99" t="s">
        <v>1016</v>
      </c>
    </row>
    <row r="2" ht="16.5" customHeight="1" thickTop="1" thickBot="1">
      <c r="A2" s="214" t="s">
        <v>841</v>
      </c>
      <c r="B2" s="106" t="s">
        <v>998</v>
      </c>
      <c r="C2" s="247"/>
      <c r="D2" s="247"/>
      <c r="E2" s="247"/>
      <c r="F2" s="171"/>
    </row>
    <row r="3" ht="70.5" customHeight="1" thickBot="1">
      <c r="A3" s="205"/>
      <c r="B3" s="119" t="s">
        <v>791</v>
      </c>
      <c r="C3" s="119" t="s">
        <v>1060</v>
      </c>
      <c r="D3" s="176" t="s">
        <v>484</v>
      </c>
      <c r="E3" s="119" t="s">
        <v>492</v>
      </c>
      <c r="F3" s="119" t="s">
        <v>846</v>
      </c>
    </row>
    <row r="4" thickTop="1" thickBot="1">
      <c r="A4" s="1" t="s">
        <v>494</v>
      </c>
      <c r="B4" s="8"/>
      <c r="C4" s="8"/>
      <c r="D4" s="8"/>
      <c r="E4" s="8"/>
      <c r="F4" s="21"/>
    </row>
    <row r="5" thickTop="1" thickBot="1">
      <c r="A5" s="101"/>
      <c r="B5" s="68"/>
      <c r="C5" s="68"/>
      <c r="D5" s="43"/>
      <c r="E5" s="43"/>
      <c r="F5" s="141"/>
    </row>
    <row r="6" thickBot="1">
      <c r="A6" s="101"/>
      <c r="B6" s="68"/>
      <c r="C6" s="68"/>
      <c r="D6" s="43"/>
      <c r="E6" s="43"/>
      <c r="F6" s="141"/>
    </row>
    <row r="7" thickBot="1">
      <c r="A7" s="249"/>
      <c r="B7" s="254"/>
      <c r="C7" s="254"/>
      <c r="D7" s="116"/>
      <c r="E7" s="116"/>
      <c r="F7" s="153">
        <f>SUMIF(HK!A:A,"061*",HK!K:K)-SUMIF(HK!A:A,"061*",HK!L:L)</f>
        <v>0</v>
      </c>
    </row>
    <row r="8" thickTop="1" thickBot="1">
      <c r="A8" s="1" t="s">
        <v>1033</v>
      </c>
      <c r="B8" s="8"/>
      <c r="C8" s="8"/>
      <c r="D8" s="8"/>
      <c r="E8" s="8"/>
      <c r="F8" s="256"/>
    </row>
    <row r="9" thickTop="1" thickBot="1">
      <c r="A9" s="101"/>
      <c r="B9" s="68"/>
      <c r="C9" s="68"/>
      <c r="D9" s="43"/>
      <c r="E9" s="43"/>
      <c r="F9" s="79"/>
    </row>
    <row r="10" thickBot="1">
      <c r="A10" s="101"/>
      <c r="B10" s="68"/>
      <c r="C10" s="68"/>
      <c r="D10" s="43"/>
      <c r="E10" s="43"/>
      <c r="F10" s="79"/>
    </row>
    <row r="11" thickBot="1">
      <c r="A11" s="249"/>
      <c r="B11" s="254"/>
      <c r="C11" s="254"/>
      <c r="D11" s="116"/>
      <c r="E11" s="116"/>
      <c r="F11" s="153">
        <f>SUMIF(HK!A:A,"062*",HK!K:K)-SUMIF(HK!A:A,"062*",HK!L:L)</f>
        <v>0</v>
      </c>
    </row>
    <row r="12" thickTop="1" thickBot="1">
      <c r="A12" s="1" t="s">
        <v>1090</v>
      </c>
      <c r="B12" s="8"/>
      <c r="C12" s="8"/>
      <c r="D12" s="8"/>
      <c r="E12" s="8"/>
      <c r="F12" s="256"/>
    </row>
    <row r="13" thickTop="1" thickBot="1">
      <c r="A13" s="101"/>
      <c r="B13" s="68"/>
      <c r="C13" s="68"/>
      <c r="D13" s="43"/>
      <c r="E13" s="43"/>
      <c r="F13" s="79"/>
    </row>
    <row r="14" thickBot="1">
      <c r="A14" s="101"/>
      <c r="B14" s="68"/>
      <c r="C14" s="68"/>
      <c r="D14" s="43"/>
      <c r="E14" s="43"/>
      <c r="F14" s="79"/>
    </row>
    <row r="15" thickBot="1">
      <c r="A15" s="249"/>
      <c r="B15" s="254"/>
      <c r="C15" s="254"/>
      <c r="D15" s="116"/>
      <c r="E15" s="116"/>
      <c r="F15" s="153">
        <f>SUMIF(HK!A:A,"063*",HK!K:K)-SUMIF(HK!A:A,"063*",HK!L:L)</f>
        <v>0</v>
      </c>
    </row>
    <row r="16" thickTop="1" thickBot="1">
      <c r="A16" s="1" t="s">
        <v>1291</v>
      </c>
      <c r="B16" s="8"/>
      <c r="C16" s="8"/>
      <c r="D16" s="8"/>
      <c r="E16" s="8"/>
      <c r="F16" s="256"/>
    </row>
    <row r="17" thickTop="1" thickBot="1">
      <c r="A17" s="204"/>
      <c r="B17" s="68"/>
      <c r="C17" s="68"/>
      <c r="D17" s="43"/>
      <c r="E17" s="43"/>
      <c r="F17" s="79"/>
    </row>
    <row r="18" thickBot="1">
      <c r="A18" s="73"/>
      <c r="B18" s="254"/>
      <c r="C18" s="254"/>
      <c r="D18" s="107"/>
      <c r="E18" s="184"/>
      <c r="F18" s="153">
        <f>SUMIF(HK!A:A,"043*",HK!K:K)-SUMIF(HK!A:A,"043*",HK!L:L)</f>
        <v>0</v>
      </c>
    </row>
    <row r="19" thickTop="1" thickBot="1">
      <c r="A19" s="142" t="s">
        <v>133</v>
      </c>
      <c r="B19" s="224" t="s">
        <v>962</v>
      </c>
      <c r="C19" s="224" t="s">
        <v>962</v>
      </c>
      <c r="D19" s="224" t="s">
        <v>962</v>
      </c>
      <c r="E19" s="224" t="s">
        <v>962</v>
      </c>
      <c r="F19" s="236">
        <f>SUM(F17:F18)+SUM(F13:F15)+SUM(F9:F11)+SUM(F5:F7)</f>
        <v>0</v>
      </c>
    </row>
    <row r="20" thickTop="1"/>
  </sheetData>
  <sheetCalcPr fullCalcOnLoad="1"/>
  <mergeCells count="2">
    <mergeCell ref="A2:A3"/>
    <mergeCell ref="B2:F2"/>
  </mergeCells>
  <printOptions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53</vt:i4>
      </vt:variant>
    </vt:vector>
  </HeadingPairs>
  <TitlesOfParts>
    <vt:vector baseType="lpstr" size="53">
      <vt:lpstr>VYSVETLIVKY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11_tabulka c.2</vt:lpstr>
      <vt:lpstr>12</vt:lpstr>
      <vt:lpstr>13_tabulka 1 a 3</vt:lpstr>
      <vt:lpstr>13_tabulka 2 a 4</vt:lpstr>
      <vt:lpstr>14</vt:lpstr>
      <vt:lpstr>15</vt:lpstr>
      <vt:lpstr>16</vt:lpstr>
      <vt:lpstr>17</vt:lpstr>
      <vt:lpstr>17_tabulka c.2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29_tabulka2</vt:lpstr>
      <vt:lpstr>30</vt:lpstr>
      <vt:lpstr>31</vt:lpstr>
      <vt:lpstr>32</vt:lpstr>
      <vt:lpstr>33</vt:lpstr>
      <vt:lpstr>34</vt:lpstr>
      <vt:lpstr>35</vt:lpstr>
      <vt:lpstr>36</vt:lpstr>
      <vt:lpstr>Hárok1</vt:lpstr>
      <vt:lpstr>HK</vt:lpstr>
      <vt:lpstr>HKSU</vt:lpstr>
      <vt:lpstr>HKM</vt:lpstr>
      <vt:lpstr>HKSUM</vt:lpstr>
      <vt:lpstr>VZaS</vt:lpstr>
      <vt:lpstr>VZaSM</vt:lpstr>
      <vt:lpstr>SUA</vt:lpstr>
      <vt:lpstr>SUP</vt:lpstr>
      <vt:lpstr>SUAM</vt:lpstr>
      <vt:lpstr>SUPM</vt:lpstr>
      <vt:lpstr>Info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2022-06-27T11:40:34Z</dcterms:created>
  <dcterms:modified xsi:type="dcterms:W3CDTF">2022-06-27T11:40:34Z</dcterms:modified>
</cp:coreProperties>
</file>