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codeName="ThisWorkbook" defaultThemeVersion="124226"/>
  <xr:revisionPtr revIDLastSave="0" documentId="13_ncr:1_{E1F3F4E8-BDED-4B78-A727-83C3056823FF}" xr6:coauthVersionLast="47" xr6:coauthVersionMax="47" xr10:uidLastSave="{00000000-0000-0000-0000-000000000000}"/>
  <bookViews>
    <workbookView xWindow="-108" yWindow="-108" windowWidth="23256" windowHeight="14016" tabRatio="962" xr2:uid="{00000000-000D-0000-FFFF-FFFF00000000}"/>
  </bookViews>
  <sheets>
    <sheet name="Mirakl" sheetId="76" r:id="rId1"/>
    <sheet name="1" sheetId="1" r:id="rId2"/>
    <sheet name="2" sheetId="5" r:id="rId3"/>
    <sheet name="3" sheetId="75" state="hidden" r:id="rId4"/>
    <sheet name="4" sheetId="7" r:id="rId5"/>
    <sheet name="5" sheetId="8" state="hidden" r:id="rId6"/>
    <sheet name="6" sheetId="9" state="hidden" r:id="rId7"/>
    <sheet name="7" sheetId="10" state="hidden" r:id="rId8"/>
    <sheet name="8" sheetId="11" state="hidden" r:id="rId9"/>
    <sheet name="9" sheetId="12" state="hidden" r:id="rId10"/>
    <sheet name="10" sheetId="13" state="hidden" r:id="rId11"/>
    <sheet name="11" sheetId="14" r:id="rId12"/>
    <sheet name="11_tabulka c.2" sheetId="53" state="hidden" r:id="rId13"/>
    <sheet name="12" sheetId="15" r:id="rId14"/>
    <sheet name="13_tabulka 1 a 3" sheetId="56" state="hidden" r:id="rId15"/>
    <sheet name="13_tabulka 2 a 4" sheetId="57" state="hidden" r:id="rId16"/>
    <sheet name="14" sheetId="17" r:id="rId17"/>
    <sheet name="15" sheetId="18" r:id="rId18"/>
    <sheet name="16" sheetId="19" state="hidden" r:id="rId19"/>
    <sheet name="17" sheetId="20" r:id="rId20"/>
    <sheet name="17_tabulka c.2" sheetId="55" state="hidden" r:id="rId21"/>
    <sheet name="18" sheetId="21" state="hidden" r:id="rId22"/>
    <sheet name="19" sheetId="22" state="hidden" r:id="rId23"/>
    <sheet name="20" sheetId="23" state="hidden" r:id="rId24"/>
    <sheet name="21" sheetId="25" state="hidden" r:id="rId25"/>
    <sheet name="22" sheetId="26" r:id="rId26"/>
    <sheet name="23" sheetId="27" r:id="rId27"/>
    <sheet name="24" sheetId="28" r:id="rId28"/>
    <sheet name="25" sheetId="29" r:id="rId29"/>
    <sheet name="26" sheetId="30" r:id="rId30"/>
    <sheet name="27" sheetId="31" state="hidden" r:id="rId31"/>
    <sheet name="29" sheetId="34" state="hidden" r:id="rId32"/>
    <sheet name="28" sheetId="32" state="hidden" r:id="rId33"/>
    <sheet name="29_tabulka2" sheetId="59" state="hidden" r:id="rId34"/>
    <sheet name="30" sheetId="35" state="hidden" r:id="rId35"/>
    <sheet name="31" sheetId="36" state="hidden" r:id="rId36"/>
    <sheet name="32" sheetId="38" state="hidden" r:id="rId37"/>
    <sheet name="33" sheetId="40" r:id="rId38"/>
    <sheet name="34" sheetId="41" r:id="rId39"/>
    <sheet name="35" sheetId="42" state="hidden" r:id="rId40"/>
    <sheet name="36" sheetId="43" r:id="rId41"/>
    <sheet name="37" sheetId="50" r:id="rId42"/>
    <sheet name="VYSVETLIVKY" sheetId="51" r:id="rId43"/>
    <sheet name="Hárok1" sheetId="60" r:id="rId44"/>
    <sheet name="HK" sheetId="64" r:id="rId45"/>
    <sheet name="HKSU" sheetId="73" r:id="rId46"/>
    <sheet name="HKM" sheetId="65" r:id="rId47"/>
    <sheet name="HKSUM" sheetId="74" r:id="rId48"/>
    <sheet name="VZaS" sheetId="66" r:id="rId49"/>
    <sheet name="VZaSM" sheetId="67" r:id="rId50"/>
    <sheet name="SUA" sheetId="68" r:id="rId51"/>
    <sheet name="SUP" sheetId="69" r:id="rId52"/>
    <sheet name="SUAM" sheetId="70" r:id="rId53"/>
    <sheet name="SUPM" sheetId="71" r:id="rId54"/>
    <sheet name="Info" sheetId="72" r:id="rId55"/>
  </sheets>
  <externalReferences>
    <externalReference r:id="rId56"/>
  </externalReferences>
  <definedNames>
    <definedName name="_xlnm.Print_Area" localSheetId="1">'1'!$A$1:$C$8</definedName>
    <definedName name="_xlnm.Print_Area" localSheetId="10">'10'!$A$1:$F$10</definedName>
    <definedName name="_xlnm.Print_Area" localSheetId="11">'11'!$A$1:$F$15</definedName>
    <definedName name="_xlnm.Print_Area" localSheetId="12">'11_tabulka c.2'!$A$1:$B$9</definedName>
    <definedName name="_xlnm.Print_Area" localSheetId="13">'12'!$A$1:$B$6</definedName>
    <definedName name="_xlnm.Print_Area" localSheetId="14">'13_tabulka 1 a 3'!$A$1:$D$16</definedName>
    <definedName name="_xlnm.Print_Area" localSheetId="15">'13_tabulka 2 a 4'!$A$1:$C$19</definedName>
    <definedName name="_xlnm.Print_Area" localSheetId="16">'14'!$A$1:$F$12</definedName>
    <definedName name="_xlnm.Print_Area" localSheetId="17">'15'!$A$1:$D$22</definedName>
    <definedName name="_xlnm.Print_Area" localSheetId="18">'16'!$A$1:$C$8</definedName>
    <definedName name="_xlnm.Print_Area" localSheetId="19">'17'!$A$1:$C$11</definedName>
    <definedName name="_xlnm.Print_Area" localSheetId="20">'17_tabulka c.2'!$A$1:$E$16</definedName>
    <definedName name="_xlnm.Print_Area" localSheetId="21">'18'!$A$1:$F$8</definedName>
    <definedName name="_xlnm.Print_Area" localSheetId="22">'19'!$A$1:$B$6</definedName>
    <definedName name="_xlnm.Print_Area" localSheetId="2">'2'!$A$1:$I$54</definedName>
    <definedName name="_xlnm.Print_Area" localSheetId="23">'20'!$A$1:$D$10</definedName>
    <definedName name="_xlnm.Print_Area" localSheetId="24">'21'!$A$1:$G$10</definedName>
    <definedName name="_xlnm.Print_Area" localSheetId="25">'22'!$A$1:$B$29</definedName>
    <definedName name="_xlnm.Print_Area" localSheetId="26">'23'!$A$1:$F$39</definedName>
    <definedName name="_xlnm.Print_Area" localSheetId="27">'24'!$A$1:$C$11</definedName>
    <definedName name="_xlnm.Print_Area" localSheetId="28">'25'!$A$1:$C$22</definedName>
    <definedName name="_xlnm.Print_Area" localSheetId="29">'26'!$A$1:$C$12</definedName>
    <definedName name="_xlnm.Print_Area" localSheetId="30">'27'!$A$1:$F$9</definedName>
    <definedName name="_xlnm.Print_Area" localSheetId="32">'28'!$A$15:$F$30</definedName>
    <definedName name="_xlnm.Print_Area" localSheetId="31">'29'!$A$1:$D$17</definedName>
    <definedName name="_xlnm.Print_Area" localSheetId="33">'29_tabulka2'!$A$1:$E$19</definedName>
    <definedName name="_xlnm.Print_Area" localSheetId="3">'3'!$A$1:$B$6</definedName>
    <definedName name="_xlnm.Print_Area" localSheetId="34">'30'!$A$1:$C$11</definedName>
    <definedName name="_xlnm.Print_Area" localSheetId="35">'31'!$A$1:$G$10</definedName>
    <definedName name="_xlnm.Print_Area" localSheetId="36">'32'!$A$1:$F$15</definedName>
    <definedName name="_xlnm.Print_Area" localSheetId="37">'33'!$A$1:$C$12</definedName>
    <definedName name="_xlnm.Print_Area" localSheetId="38">'34'!$A$1:$C$27</definedName>
    <definedName name="_xlnm.Print_Area" localSheetId="39">'35'!$A$1:$C$11</definedName>
    <definedName name="_xlnm.Print_Area" localSheetId="40">'36'!$A$1:$G$15</definedName>
    <definedName name="_xlnm.Print_Area" localSheetId="41">'37'!$A$1:$F$48</definedName>
    <definedName name="_xlnm.Print_Area" localSheetId="4">'4'!$A$1:$J$55</definedName>
    <definedName name="_xlnm.Print_Area" localSheetId="5">'5'!$A$1:$B$6</definedName>
    <definedName name="_xlnm.Print_Area" localSheetId="6">'6'!$A$1:$J$51</definedName>
    <definedName name="_xlnm.Print_Area" localSheetId="7">'7'!$A$1:$B$6</definedName>
    <definedName name="_xlnm.Print_Area" localSheetId="8">'8'!$A$1:$F$22</definedName>
    <definedName name="_xlnm.Print_Area" localSheetId="9">'9'!$A$1:$G$10</definedName>
    <definedName name="_xlnm.Print_Area" localSheetId="43">Hárok1!$A$1:$G$48</definedName>
    <definedName name="_xlnm.Print_Area" localSheetId="44">HK!$A$1:$C$10</definedName>
    <definedName name="_xlnm.Print_Area" localSheetId="46">HKM!$A$1:$C$10</definedName>
    <definedName name="_xlnm.Print_Area" localSheetId="45">HKSU!$A$1:$C$10</definedName>
    <definedName name="_xlnm.Print_Area" localSheetId="47">HKSUM!$A$1:$C$10</definedName>
    <definedName name="_xlnm.Print_Area" localSheetId="54">Info!$A$1:$F$33</definedName>
    <definedName name="_xlnm.Print_Area" localSheetId="50">SUA!$A$1:$B$10</definedName>
    <definedName name="_xlnm.Print_Area" localSheetId="52">SUAM!$A$1:$B$9</definedName>
    <definedName name="_xlnm.Print_Area" localSheetId="51">SUP!$B$1:$B$10</definedName>
    <definedName name="_xlnm.Print_Area" localSheetId="53">SUPM!$B$1:$B$10</definedName>
    <definedName name="_xlnm.Print_Area" localSheetId="48">VZaS!$B$1:$B$10</definedName>
    <definedName name="_xlnm.Print_Area" localSheetId="49">VZaSM!$B$1:$B$10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76" l="1"/>
  <c r="B1" i="76"/>
  <c r="A1" i="76"/>
  <c r="D37" i="27"/>
  <c r="C37" i="27"/>
  <c r="B37" i="27"/>
  <c r="D18" i="27"/>
  <c r="C18" i="27"/>
  <c r="B18" i="27"/>
  <c r="A1" i="41" l="1"/>
  <c r="C5" i="41" l="1"/>
  <c r="B5" i="41"/>
  <c r="A26" i="50" l="1"/>
  <c r="A15" i="32"/>
  <c r="A21" i="27"/>
  <c r="A27" i="9" l="1"/>
  <c r="A29" i="7"/>
  <c r="A29" i="5"/>
  <c r="A1" i="50" l="1"/>
  <c r="A1" i="43"/>
  <c r="A1" i="42"/>
  <c r="A1" i="40"/>
  <c r="A1" i="38"/>
  <c r="A1" i="36"/>
  <c r="A1" i="35"/>
  <c r="A1" i="59"/>
  <c r="A1" i="34"/>
  <c r="A1" i="32"/>
  <c r="A1" i="31"/>
  <c r="A1" i="30"/>
  <c r="A1" i="29"/>
  <c r="A1" i="28"/>
  <c r="A1" i="27"/>
  <c r="A1" i="26"/>
  <c r="A1" i="25"/>
  <c r="A1" i="23"/>
  <c r="A1" i="22"/>
  <c r="A1" i="21"/>
  <c r="A1" i="55"/>
  <c r="A1" i="20"/>
  <c r="A1" i="19"/>
  <c r="A1" i="18"/>
  <c r="A1" i="17"/>
  <c r="A1" i="57"/>
  <c r="A1" i="56"/>
  <c r="A1" i="15"/>
  <c r="A1" i="53"/>
  <c r="A1" i="14"/>
  <c r="A1" i="13"/>
  <c r="A1" i="12"/>
  <c r="A1" i="11"/>
  <c r="A1" i="10"/>
  <c r="A1" i="9"/>
  <c r="A1" i="8"/>
  <c r="A1" i="7"/>
  <c r="A1" i="75"/>
  <c r="A1" i="5"/>
  <c r="A1" i="1"/>
  <c r="B41" i="51"/>
  <c r="C2" i="1" s="1"/>
  <c r="B40" i="51"/>
  <c r="F15" i="32" l="1"/>
  <c r="F26" i="50"/>
  <c r="F21" i="27"/>
  <c r="J29" i="7"/>
  <c r="J27" i="9"/>
  <c r="I29" i="5"/>
  <c r="F27" i="50"/>
  <c r="F22" i="27"/>
  <c r="F16" i="32"/>
  <c r="J28" i="9"/>
  <c r="I30" i="5"/>
  <c r="J30" i="7"/>
  <c r="I1" i="5"/>
  <c r="B1" i="75"/>
  <c r="J1" i="7"/>
  <c r="B1" i="8"/>
  <c r="J1" i="9"/>
  <c r="B1" i="10"/>
  <c r="F1" i="11"/>
  <c r="G1" i="12"/>
  <c r="F1" i="13"/>
  <c r="F1" i="14"/>
  <c r="B1" i="53"/>
  <c r="B1" i="15"/>
  <c r="D1" i="56"/>
  <c r="C1" i="57"/>
  <c r="F1" i="17"/>
  <c r="D1" i="18"/>
  <c r="C1" i="19"/>
  <c r="C1" i="20"/>
  <c r="E1" i="55"/>
  <c r="F1" i="21"/>
  <c r="B1" i="22"/>
  <c r="D1" i="23"/>
  <c r="G1" i="25"/>
  <c r="B1" i="26"/>
  <c r="F1" i="27"/>
  <c r="C1" i="28"/>
  <c r="C1" i="29"/>
  <c r="C1" i="30"/>
  <c r="F1" i="31"/>
  <c r="F1" i="32"/>
  <c r="D1" i="34"/>
  <c r="E1" i="59"/>
  <c r="C1" i="35"/>
  <c r="G1" i="36"/>
  <c r="F1" i="38"/>
  <c r="C1" i="40"/>
  <c r="C1" i="41"/>
  <c r="C1" i="42"/>
  <c r="G1" i="43"/>
  <c r="F1" i="50"/>
  <c r="C1" i="1"/>
  <c r="I2" i="5"/>
  <c r="B2" i="75"/>
  <c r="J2" i="7"/>
  <c r="B2" i="8"/>
  <c r="J2" i="9"/>
  <c r="B2" i="10"/>
  <c r="F2" i="11"/>
  <c r="G2" i="12"/>
  <c r="F2" i="13"/>
  <c r="F2" i="14"/>
  <c r="B2" i="53"/>
  <c r="B2" i="15"/>
  <c r="D2" i="56"/>
  <c r="C2" i="57"/>
  <c r="F2" i="17"/>
  <c r="D2" i="18"/>
  <c r="C2" i="19"/>
  <c r="C2" i="20"/>
  <c r="E2" i="55"/>
  <c r="F2" i="21"/>
  <c r="B2" i="22"/>
  <c r="D2" i="23"/>
  <c r="G2" i="25"/>
  <c r="B2" i="26"/>
  <c r="F2" i="27"/>
  <c r="C2" i="28"/>
  <c r="C2" i="29"/>
  <c r="C2" i="30"/>
  <c r="F2" i="31"/>
  <c r="F2" i="32"/>
  <c r="D2" i="34"/>
  <c r="E2" i="59"/>
  <c r="C2" i="35"/>
  <c r="G2" i="36"/>
  <c r="F2" i="38"/>
  <c r="C2" i="40"/>
  <c r="C2" i="41"/>
  <c r="C2" i="42"/>
  <c r="G2" i="43"/>
  <c r="F2" i="50"/>
  <c r="F13" i="43"/>
  <c r="F12" i="43"/>
  <c r="C13" i="43"/>
  <c r="C12" i="43"/>
  <c r="E6" i="43"/>
  <c r="B6" i="43"/>
  <c r="F14" i="38"/>
  <c r="E14" i="38"/>
  <c r="B22" i="50" l="1"/>
  <c r="F22" i="50"/>
  <c r="B45" i="50"/>
  <c r="F45" i="50"/>
  <c r="I22" i="9"/>
  <c r="I19" i="9"/>
  <c r="I47" i="9"/>
  <c r="D19" i="18" l="1"/>
  <c r="D18" i="18"/>
  <c r="D17" i="18"/>
  <c r="D10" i="18" l="1"/>
  <c r="D9" i="18"/>
  <c r="D8" i="18"/>
  <c r="D7" i="18"/>
  <c r="F29" i="32" l="1"/>
  <c r="E29" i="32"/>
  <c r="F13" i="32"/>
  <c r="E13" i="32"/>
  <c r="F9" i="32"/>
  <c r="E9" i="32"/>
  <c r="C18" i="29"/>
  <c r="B18" i="29"/>
  <c r="C14" i="29"/>
  <c r="B14" i="29"/>
  <c r="B20" i="26"/>
  <c r="B6" i="26"/>
  <c r="F6" i="21" l="1"/>
  <c r="F5" i="21"/>
  <c r="B6" i="21"/>
  <c r="B5" i="21"/>
  <c r="F6" i="17"/>
  <c r="B6" i="17"/>
  <c r="C8" i="20" l="1"/>
  <c r="B8" i="20"/>
  <c r="C7" i="20"/>
  <c r="B7" i="20"/>
  <c r="C6" i="20"/>
  <c r="B6" i="20"/>
  <c r="F10" i="17" l="1"/>
  <c r="B10" i="17"/>
  <c r="F9" i="17"/>
  <c r="B9" i="17"/>
  <c r="F8" i="17"/>
  <c r="B8" i="17"/>
  <c r="F7" i="17"/>
  <c r="B7" i="17"/>
  <c r="D10" i="17" l="1"/>
  <c r="D6" i="17"/>
  <c r="C6" i="17"/>
  <c r="E11" i="17"/>
  <c r="C10" i="17"/>
  <c r="D14" i="27"/>
  <c r="C14" i="27"/>
  <c r="B11" i="17"/>
  <c r="D36" i="27"/>
  <c r="D35" i="27"/>
  <c r="D33" i="27"/>
  <c r="D32" i="27"/>
  <c r="C35" i="27"/>
  <c r="C33" i="27"/>
  <c r="C32" i="27"/>
  <c r="F36" i="27"/>
  <c r="B35" i="27"/>
  <c r="B34" i="27"/>
  <c r="B33" i="27"/>
  <c r="B32" i="27"/>
  <c r="D16" i="27"/>
  <c r="D13" i="27"/>
  <c r="C16" i="27"/>
  <c r="C13" i="27"/>
  <c r="F17" i="27"/>
  <c r="B16" i="27"/>
  <c r="B15" i="27"/>
  <c r="B14" i="27"/>
  <c r="B13" i="27"/>
  <c r="F16" i="27" l="1"/>
  <c r="F35" i="27"/>
  <c r="F18" i="27"/>
  <c r="F33" i="27"/>
  <c r="F37" i="27"/>
  <c r="F15" i="27"/>
  <c r="F34" i="27"/>
  <c r="C11" i="17"/>
  <c r="D11" i="17"/>
  <c r="F14" i="27"/>
  <c r="H22" i="7"/>
  <c r="H21" i="7"/>
  <c r="G16" i="7"/>
  <c r="G15" i="7"/>
  <c r="F16" i="7"/>
  <c r="F15" i="7"/>
  <c r="E16" i="7"/>
  <c r="E15" i="7"/>
  <c r="D16" i="7"/>
  <c r="D15" i="7"/>
  <c r="C16" i="7"/>
  <c r="C15" i="7"/>
  <c r="I10" i="7"/>
  <c r="I9" i="7"/>
  <c r="H10" i="7"/>
  <c r="H9" i="7"/>
  <c r="G10" i="7"/>
  <c r="G9" i="7"/>
  <c r="F10" i="7"/>
  <c r="F9" i="7"/>
  <c r="E10" i="7"/>
  <c r="E9" i="7"/>
  <c r="D10" i="7"/>
  <c r="D9" i="7"/>
  <c r="C10" i="7"/>
  <c r="C9" i="7"/>
  <c r="B10" i="7"/>
  <c r="B9" i="7"/>
  <c r="J50" i="7" l="1"/>
  <c r="J44" i="7"/>
  <c r="C45" i="7"/>
  <c r="D45" i="7"/>
  <c r="E45" i="7"/>
  <c r="F45" i="7"/>
  <c r="G45" i="7"/>
  <c r="J23" i="7"/>
  <c r="J17" i="7"/>
  <c r="I23" i="5"/>
  <c r="I17" i="5"/>
  <c r="C7" i="27" l="1"/>
  <c r="D7" i="27"/>
  <c r="I34" i="9"/>
  <c r="H34" i="9"/>
  <c r="F34" i="9"/>
  <c r="E34" i="9"/>
  <c r="D34" i="9"/>
  <c r="C34" i="9"/>
  <c r="B34" i="9"/>
  <c r="I35" i="9"/>
  <c r="H35" i="9"/>
  <c r="F35" i="9"/>
  <c r="E35" i="9"/>
  <c r="D35" i="9"/>
  <c r="C35" i="9"/>
  <c r="B35" i="9"/>
  <c r="I10" i="9"/>
  <c r="I9" i="9"/>
  <c r="H10" i="9"/>
  <c r="H9" i="9"/>
  <c r="F9" i="9"/>
  <c r="E9" i="9"/>
  <c r="D9" i="9"/>
  <c r="C9" i="9"/>
  <c r="F10" i="9"/>
  <c r="E10" i="9"/>
  <c r="D10" i="9"/>
  <c r="C10" i="9"/>
  <c r="B10" i="9"/>
  <c r="B9" i="9"/>
  <c r="B8" i="9"/>
  <c r="H49" i="7"/>
  <c r="G43" i="7"/>
  <c r="F43" i="7"/>
  <c r="E43" i="7"/>
  <c r="D43" i="7"/>
  <c r="C43" i="7"/>
  <c r="H48" i="7"/>
  <c r="G42" i="7"/>
  <c r="F42" i="7"/>
  <c r="E42" i="7"/>
  <c r="D42" i="7"/>
  <c r="C42" i="7"/>
  <c r="I37" i="7"/>
  <c r="H37" i="7"/>
  <c r="G37" i="7"/>
  <c r="F37" i="7"/>
  <c r="E37" i="7"/>
  <c r="D37" i="7"/>
  <c r="C37" i="7"/>
  <c r="B37" i="7"/>
  <c r="I36" i="7"/>
  <c r="H36" i="7"/>
  <c r="G36" i="7"/>
  <c r="F36" i="7"/>
  <c r="E36" i="7"/>
  <c r="D36" i="7"/>
  <c r="C36" i="7"/>
  <c r="B36" i="7"/>
  <c r="B35" i="7"/>
  <c r="G48" i="5"/>
  <c r="G49" i="5"/>
  <c r="F44" i="5"/>
  <c r="E44" i="5"/>
  <c r="D44" i="5"/>
  <c r="C44" i="5"/>
  <c r="B44" i="5"/>
  <c r="F43" i="5"/>
  <c r="E43" i="5"/>
  <c r="D43" i="5"/>
  <c r="C43" i="5"/>
  <c r="B43" i="5"/>
  <c r="H38" i="5"/>
  <c r="G38" i="5"/>
  <c r="F38" i="5"/>
  <c r="E38" i="5"/>
  <c r="D38" i="5"/>
  <c r="C38" i="5"/>
  <c r="B38" i="5"/>
  <c r="H37" i="5"/>
  <c r="G37" i="5"/>
  <c r="F37" i="5"/>
  <c r="E37" i="5"/>
  <c r="D37" i="5"/>
  <c r="C37" i="5"/>
  <c r="B37" i="5"/>
  <c r="B36" i="5"/>
  <c r="G21" i="5"/>
  <c r="G22" i="5"/>
  <c r="F16" i="5"/>
  <c r="E16" i="5"/>
  <c r="E15" i="5"/>
  <c r="D16" i="5"/>
  <c r="C16" i="5"/>
  <c r="B16" i="5"/>
  <c r="F15" i="5"/>
  <c r="D15" i="5"/>
  <c r="C15" i="5"/>
  <c r="B15" i="5"/>
  <c r="B9" i="5"/>
  <c r="C9" i="5"/>
  <c r="H10" i="5"/>
  <c r="G10" i="5"/>
  <c r="F10" i="5"/>
  <c r="E10" i="5"/>
  <c r="D10" i="5"/>
  <c r="C10" i="5"/>
  <c r="B10" i="5"/>
  <c r="H9" i="5"/>
  <c r="G9" i="5"/>
  <c r="F9" i="5"/>
  <c r="E9" i="5"/>
  <c r="D9" i="5"/>
  <c r="D47" i="50" l="1"/>
  <c r="D46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C47" i="50"/>
  <c r="C46" i="50"/>
  <c r="C44" i="50"/>
  <c r="C43" i="50"/>
  <c r="C42" i="50"/>
  <c r="C41" i="50"/>
  <c r="C40" i="50"/>
  <c r="C39" i="50"/>
  <c r="C38" i="50"/>
  <c r="C37" i="50"/>
  <c r="C36" i="50"/>
  <c r="C35" i="50"/>
  <c r="C34" i="50"/>
  <c r="C33" i="50"/>
  <c r="C32" i="50"/>
  <c r="C31" i="50"/>
  <c r="C30" i="50"/>
  <c r="D7" i="50"/>
  <c r="C7" i="50"/>
  <c r="D24" i="50"/>
  <c r="D23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D9" i="50"/>
  <c r="C24" i="50"/>
  <c r="C23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C8" i="50"/>
  <c r="B7" i="50"/>
  <c r="B9" i="50"/>
  <c r="C10" i="30"/>
  <c r="B10" i="30"/>
  <c r="C6" i="30"/>
  <c r="C9" i="30" s="1"/>
  <c r="B6" i="30"/>
  <c r="B9" i="30" s="1"/>
  <c r="B8" i="5"/>
  <c r="D11" i="14" l="1"/>
  <c r="C11" i="14"/>
  <c r="B11" i="14"/>
  <c r="J45" i="9" l="1"/>
  <c r="J46" i="9"/>
  <c r="J44" i="9"/>
  <c r="J40" i="9"/>
  <c r="J41" i="9"/>
  <c r="J39" i="9"/>
  <c r="J34" i="9"/>
  <c r="J35" i="9"/>
  <c r="J36" i="9"/>
  <c r="J21" i="9"/>
  <c r="J20" i="9"/>
  <c r="J19" i="9"/>
  <c r="J15" i="9"/>
  <c r="J16" i="9"/>
  <c r="J14" i="9"/>
  <c r="J9" i="9"/>
  <c r="J10" i="9"/>
  <c r="J11" i="9"/>
  <c r="J48" i="7"/>
  <c r="J49" i="7"/>
  <c r="J42" i="7"/>
  <c r="J43" i="7"/>
  <c r="J36" i="7"/>
  <c r="J37" i="7"/>
  <c r="J38" i="7"/>
  <c r="J21" i="7"/>
  <c r="J22" i="7"/>
  <c r="J15" i="7"/>
  <c r="J16" i="7"/>
  <c r="J9" i="7"/>
  <c r="J10" i="7"/>
  <c r="J11" i="7"/>
  <c r="B39" i="50" l="1"/>
  <c r="B38" i="50"/>
  <c r="B35" i="50"/>
  <c r="B15" i="50"/>
  <c r="B12" i="50"/>
  <c r="F7" i="38" l="1"/>
  <c r="E7" i="38"/>
  <c r="C7" i="38"/>
  <c r="C11" i="30" l="1"/>
  <c r="F33" i="50"/>
  <c r="F31" i="50"/>
  <c r="B33" i="50"/>
  <c r="B31" i="50"/>
  <c r="E12" i="55"/>
  <c r="B13" i="55"/>
  <c r="B12" i="55"/>
  <c r="B10" i="55"/>
  <c r="B9" i="55"/>
  <c r="D8" i="56"/>
  <c r="B37" i="9"/>
  <c r="H12" i="9"/>
  <c r="H24" i="7"/>
  <c r="I20" i="7"/>
  <c r="I24" i="7"/>
  <c r="G36" i="5"/>
  <c r="C36" i="5"/>
  <c r="E14" i="5"/>
  <c r="E12" i="5"/>
  <c r="C12" i="5"/>
  <c r="E8" i="5"/>
  <c r="F11" i="17" l="1"/>
  <c r="B14" i="5"/>
  <c r="C9" i="20" l="1"/>
  <c r="F42" i="50" l="1"/>
  <c r="F32" i="27" l="1"/>
  <c r="B9" i="20"/>
  <c r="I51" i="7"/>
  <c r="H50" i="5"/>
  <c r="H20" i="5"/>
  <c r="H24" i="5"/>
  <c r="B42" i="50" l="1"/>
  <c r="C8" i="40"/>
  <c r="C7" i="40"/>
  <c r="C6" i="40"/>
  <c r="C5" i="40"/>
  <c r="B8" i="40"/>
  <c r="B7" i="40"/>
  <c r="B6" i="40"/>
  <c r="B5" i="40"/>
  <c r="F12" i="38"/>
  <c r="F11" i="38"/>
  <c r="F10" i="38"/>
  <c r="E12" i="38"/>
  <c r="E11" i="38"/>
  <c r="E10" i="38"/>
  <c r="F8" i="38"/>
  <c r="E8" i="38"/>
  <c r="D8" i="38"/>
  <c r="C8" i="38"/>
  <c r="B8" i="38"/>
  <c r="B7" i="38"/>
  <c r="F6" i="38"/>
  <c r="E6" i="38"/>
  <c r="D6" i="38"/>
  <c r="C6" i="38"/>
  <c r="B6" i="38"/>
  <c r="B11" i="30"/>
  <c r="C5" i="30"/>
  <c r="B5" i="30"/>
  <c r="F26" i="27"/>
  <c r="B26" i="27"/>
  <c r="F13" i="27"/>
  <c r="F7" i="27"/>
  <c r="B7" i="27"/>
  <c r="F47" i="50"/>
  <c r="F46" i="50"/>
  <c r="F44" i="50"/>
  <c r="F43" i="50"/>
  <c r="F41" i="50"/>
  <c r="F40" i="50"/>
  <c r="F39" i="50"/>
  <c r="F38" i="50"/>
  <c r="F37" i="50"/>
  <c r="F36" i="50"/>
  <c r="F35" i="50"/>
  <c r="F34" i="50"/>
  <c r="F32" i="50"/>
  <c r="F30" i="50"/>
  <c r="B47" i="50"/>
  <c r="B46" i="50"/>
  <c r="B44" i="50"/>
  <c r="B43" i="50"/>
  <c r="B41" i="50"/>
  <c r="B40" i="50"/>
  <c r="B37" i="50"/>
  <c r="B36" i="50"/>
  <c r="B34" i="50"/>
  <c r="B32" i="50"/>
  <c r="B30" i="50"/>
  <c r="F10" i="50"/>
  <c r="F8" i="50"/>
  <c r="B10" i="50"/>
  <c r="B8" i="50"/>
  <c r="F24" i="50"/>
  <c r="F23" i="50"/>
  <c r="F21" i="50"/>
  <c r="F20" i="50"/>
  <c r="F19" i="50"/>
  <c r="F18" i="50"/>
  <c r="F17" i="50"/>
  <c r="F16" i="50"/>
  <c r="F15" i="50"/>
  <c r="F14" i="50"/>
  <c r="F13" i="50"/>
  <c r="F12" i="50"/>
  <c r="F11" i="50"/>
  <c r="F9" i="50"/>
  <c r="F7" i="50"/>
  <c r="B24" i="50"/>
  <c r="B23" i="50"/>
  <c r="B21" i="50"/>
  <c r="B20" i="50"/>
  <c r="B19" i="50"/>
  <c r="B18" i="50"/>
  <c r="B17" i="50"/>
  <c r="B16" i="50"/>
  <c r="B14" i="50"/>
  <c r="B13" i="50"/>
  <c r="B11" i="50"/>
  <c r="E14" i="55"/>
  <c r="E13" i="55"/>
  <c r="E10" i="55"/>
  <c r="E9" i="55"/>
  <c r="B14" i="55"/>
  <c r="C6" i="56"/>
  <c r="B6" i="56"/>
  <c r="F11" i="14"/>
  <c r="F10" i="14"/>
  <c r="F9" i="14"/>
  <c r="F8" i="14"/>
  <c r="F7" i="14"/>
  <c r="B10" i="14"/>
  <c r="B9" i="14"/>
  <c r="B8" i="14"/>
  <c r="B7" i="14"/>
  <c r="G9" i="12"/>
  <c r="F20" i="11"/>
  <c r="F17" i="11"/>
  <c r="F13" i="11"/>
  <c r="F9" i="11"/>
  <c r="I37" i="9"/>
  <c r="H37" i="9"/>
  <c r="F37" i="9"/>
  <c r="E37" i="9"/>
  <c r="D37" i="9"/>
  <c r="C37" i="9"/>
  <c r="I33" i="9"/>
  <c r="H33" i="9"/>
  <c r="F33" i="9"/>
  <c r="E33" i="9"/>
  <c r="D33" i="9"/>
  <c r="C33" i="9"/>
  <c r="B33" i="9"/>
  <c r="I12" i="9"/>
  <c r="F12" i="9"/>
  <c r="E12" i="9"/>
  <c r="D12" i="9"/>
  <c r="C12" i="9"/>
  <c r="B12" i="9"/>
  <c r="I8" i="9"/>
  <c r="H8" i="9"/>
  <c r="F8" i="9"/>
  <c r="E8" i="9"/>
  <c r="D8" i="9"/>
  <c r="C8" i="9"/>
  <c r="H51" i="7"/>
  <c r="H47" i="7"/>
  <c r="J47" i="7" s="1"/>
  <c r="G41" i="7"/>
  <c r="F41" i="7"/>
  <c r="E41" i="7"/>
  <c r="D41" i="7"/>
  <c r="C41" i="7"/>
  <c r="I39" i="7"/>
  <c r="H39" i="7"/>
  <c r="G39" i="7"/>
  <c r="F39" i="7"/>
  <c r="E39" i="7"/>
  <c r="D39" i="7"/>
  <c r="C39" i="7"/>
  <c r="B39" i="7"/>
  <c r="I35" i="7"/>
  <c r="H35" i="7"/>
  <c r="G35" i="7"/>
  <c r="F35" i="7"/>
  <c r="E35" i="7"/>
  <c r="D35" i="7"/>
  <c r="C35" i="7"/>
  <c r="H20" i="7"/>
  <c r="J20" i="7" s="1"/>
  <c r="J24" i="7" s="1"/>
  <c r="G18" i="7"/>
  <c r="F18" i="7"/>
  <c r="E18" i="7"/>
  <c r="D18" i="7"/>
  <c r="C18" i="7"/>
  <c r="G14" i="7"/>
  <c r="F14" i="7"/>
  <c r="E14" i="7"/>
  <c r="D14" i="7"/>
  <c r="C14" i="7"/>
  <c r="I12" i="7"/>
  <c r="H12" i="7"/>
  <c r="G12" i="7"/>
  <c r="F12" i="7"/>
  <c r="E12" i="7"/>
  <c r="D12" i="7"/>
  <c r="C12" i="7"/>
  <c r="B12" i="7"/>
  <c r="I8" i="7"/>
  <c r="H8" i="7"/>
  <c r="G8" i="7"/>
  <c r="F8" i="7"/>
  <c r="E8" i="7"/>
  <c r="D8" i="7"/>
  <c r="C8" i="7"/>
  <c r="B8" i="7"/>
  <c r="F21" i="11" l="1"/>
  <c r="J8" i="9"/>
  <c r="J33" i="9"/>
  <c r="J8" i="7"/>
  <c r="J12" i="7" s="1"/>
  <c r="J14" i="7"/>
  <c r="J18" i="7" s="1"/>
  <c r="J41" i="7"/>
  <c r="J45" i="7" s="1"/>
  <c r="J35" i="7"/>
  <c r="G50" i="5"/>
  <c r="G47" i="5"/>
  <c r="F45" i="5"/>
  <c r="E45" i="5"/>
  <c r="D45" i="5"/>
  <c r="C45" i="5"/>
  <c r="B45" i="5"/>
  <c r="F42" i="5"/>
  <c r="E42" i="5"/>
  <c r="D42" i="5"/>
  <c r="C42" i="5"/>
  <c r="B42" i="5"/>
  <c r="H40" i="5"/>
  <c r="G40" i="5"/>
  <c r="F40" i="5"/>
  <c r="E40" i="5"/>
  <c r="D40" i="5"/>
  <c r="C40" i="5"/>
  <c r="B40" i="5"/>
  <c r="H36" i="5"/>
  <c r="F36" i="5"/>
  <c r="E36" i="5"/>
  <c r="D36" i="5"/>
  <c r="G24" i="5"/>
  <c r="G20" i="5"/>
  <c r="F18" i="5"/>
  <c r="E18" i="5"/>
  <c r="D18" i="5"/>
  <c r="C18" i="5"/>
  <c r="B18" i="5"/>
  <c r="F14" i="5"/>
  <c r="D14" i="5"/>
  <c r="C14" i="5"/>
  <c r="H12" i="5"/>
  <c r="G12" i="5"/>
  <c r="F12" i="5"/>
  <c r="D12" i="5"/>
  <c r="B12" i="5"/>
  <c r="H8" i="5"/>
  <c r="G8" i="5"/>
  <c r="F8" i="5"/>
  <c r="D8" i="5"/>
  <c r="C8" i="5"/>
  <c r="J27" i="7" l="1"/>
  <c r="J26" i="7"/>
  <c r="D7" i="38"/>
  <c r="J42" i="9" l="1"/>
  <c r="J17" i="9"/>
  <c r="J22" i="9"/>
  <c r="J47" i="9"/>
  <c r="J24" i="9"/>
  <c r="J12" i="9"/>
  <c r="J49" i="9"/>
  <c r="J37" i="9"/>
  <c r="J25" i="9" l="1"/>
  <c r="J50" i="9"/>
  <c r="E26" i="27" l="1"/>
  <c r="D26" i="27"/>
  <c r="C26" i="27"/>
  <c r="E32" i="27"/>
  <c r="E13" i="27"/>
  <c r="I49" i="5"/>
  <c r="I48" i="5"/>
  <c r="I47" i="5"/>
  <c r="I44" i="5"/>
  <c r="I43" i="5"/>
  <c r="I42" i="5"/>
  <c r="I39" i="5"/>
  <c r="I38" i="5"/>
  <c r="I37" i="5"/>
  <c r="I36" i="5"/>
  <c r="I50" i="5" l="1"/>
  <c r="I40" i="5"/>
  <c r="I45" i="5"/>
  <c r="I53" i="7" l="1"/>
  <c r="H53" i="7"/>
  <c r="G53" i="7"/>
  <c r="F53" i="7"/>
  <c r="E53" i="7"/>
  <c r="D53" i="7"/>
  <c r="C53" i="7"/>
  <c r="B53" i="7"/>
  <c r="I22" i="5"/>
  <c r="I21" i="5"/>
  <c r="I20" i="5"/>
  <c r="I16" i="5"/>
  <c r="I15" i="5"/>
  <c r="I14" i="5"/>
  <c r="I11" i="5"/>
  <c r="I10" i="5"/>
  <c r="I9" i="5"/>
  <c r="I8" i="5"/>
  <c r="F31" i="27"/>
  <c r="F30" i="27"/>
  <c r="F29" i="27"/>
  <c r="F28" i="27"/>
  <c r="F27" i="27"/>
  <c r="F12" i="27"/>
  <c r="F11" i="27"/>
  <c r="F10" i="27"/>
  <c r="F9" i="27"/>
  <c r="F8" i="27"/>
  <c r="E7" i="27"/>
  <c r="D15" i="56"/>
  <c r="C15" i="56"/>
  <c r="B15" i="56"/>
  <c r="D15" i="55"/>
  <c r="C15" i="55"/>
  <c r="B15" i="55"/>
  <c r="I24" i="5" l="1"/>
  <c r="I18" i="5"/>
  <c r="I12" i="5"/>
  <c r="C54" i="7"/>
  <c r="G54" i="7"/>
  <c r="I26" i="5"/>
  <c r="B54" i="7"/>
  <c r="F54" i="7"/>
  <c r="J39" i="7"/>
  <c r="J51" i="7"/>
  <c r="E54" i="7"/>
  <c r="I54" i="7"/>
  <c r="D54" i="7"/>
  <c r="H54" i="7"/>
  <c r="J53" i="7"/>
  <c r="I52" i="5"/>
  <c r="E15" i="55"/>
  <c r="I53" i="5" l="1"/>
  <c r="I27" i="5"/>
  <c r="J54" i="7"/>
  <c r="C11" i="40"/>
  <c r="B11" i="40"/>
  <c r="C9" i="36"/>
  <c r="D9" i="36"/>
  <c r="E9" i="36"/>
  <c r="F9" i="36"/>
  <c r="G9" i="36"/>
  <c r="B9" i="36"/>
  <c r="C10" i="35"/>
  <c r="B10" i="35"/>
  <c r="B28" i="26"/>
  <c r="B16" i="26"/>
  <c r="C9" i="25"/>
  <c r="D9" i="25"/>
  <c r="E9" i="25"/>
  <c r="F9" i="25"/>
  <c r="G9" i="25"/>
  <c r="B9" i="25"/>
  <c r="E7" i="21"/>
  <c r="D7" i="21"/>
  <c r="C7" i="21"/>
  <c r="B7" i="21"/>
  <c r="C10" i="20"/>
  <c r="B10" i="20"/>
  <c r="C21" i="18"/>
  <c r="B21" i="18"/>
  <c r="C12" i="18"/>
  <c r="B12" i="18"/>
  <c r="F12" i="14"/>
  <c r="F13" i="14"/>
  <c r="C14" i="14"/>
  <c r="D14" i="14"/>
  <c r="E14" i="14"/>
  <c r="B14" i="14"/>
  <c r="E9" i="13"/>
  <c r="D9" i="13"/>
  <c r="C9" i="13"/>
  <c r="B9" i="13"/>
  <c r="F8" i="13"/>
  <c r="F7" i="13"/>
  <c r="F6" i="13"/>
  <c r="F5" i="13"/>
  <c r="G8" i="12"/>
  <c r="G7" i="12"/>
  <c r="G6" i="12"/>
  <c r="G5" i="12"/>
  <c r="F7" i="21" l="1"/>
  <c r="F14" i="14"/>
  <c r="D12" i="18"/>
  <c r="D21" i="18"/>
  <c r="F9" i="13"/>
</calcChain>
</file>

<file path=xl/sharedStrings.xml><?xml version="1.0" encoding="utf-8"?>
<sst xmlns="http://schemas.openxmlformats.org/spreadsheetml/2006/main" count="3293" uniqueCount="1630">
  <si>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</si>
  <si>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</si>
  <si>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</si>
  <si>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</si>
  <si>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</si>
  <si>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</si>
  <si>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</si>
  <si>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</si>
  <si>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</si>
  <si>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</si>
  <si>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</si>
  <si>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</si>
  <si>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</si>
  <si>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</si>
  <si>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</si>
  <si>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</si>
  <si>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</si>
  <si>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</si>
  <si>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</si>
  <si>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</si>
  <si>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</si>
  <si>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</si>
  <si>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</si>
  <si>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</si>
  <si>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</si>
  <si>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</si>
  <si>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</si>
  <si>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</si>
  <si>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</si>
  <si>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</si>
  <si>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</si>
  <si>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</si>
  <si>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</si>
  <si>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</si>
  <si>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</si>
  <si>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</si>
  <si>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</si>
  <si>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</si>
  <si>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</si>
  <si>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</si>
  <si>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</si>
  <si>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</si>
  <si>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</si>
  <si>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</si>
  <si>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</si>
  <si>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</si>
  <si>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</si>
  <si>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</si>
  <si>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</si>
  <si>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</si>
  <si>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</si>
  <si>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</si>
  <si>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</si>
  <si>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</si>
  <si>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</si>
  <si>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</si>
  <si>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</si>
  <si>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</si>
  <si>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</si>
  <si>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</si>
  <si>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</si>
  <si>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</si>
  <si>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</si>
  <si>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</si>
  <si>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</si>
  <si>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</si>
  <si>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</si>
  <si>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</si>
  <si>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</si>
  <si>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</si>
  <si>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</si>
  <si>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</si>
  <si>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</si>
  <si>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</si>
  <si>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</si>
  <si>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</si>
  <si>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</si>
  <si>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</si>
  <si>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</si>
  <si>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</si>
  <si>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</si>
  <si>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</si>
  <si>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</si>
  <si>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</si>
  <si>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</si>
  <si>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</si>
  <si>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</si>
  <si>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</si>
  <si>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</si>
  <si>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</si>
  <si>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</si>
  <si>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</si>
  <si>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</si>
  <si>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</si>
  <si>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</si>
  <si>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</si>
  <si>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</si>
  <si>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</si>
  <si>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</si>
  <si>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</si>
  <si>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</si>
  <si>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</si>
  <si>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</si>
  <si>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</si>
  <si>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</si>
  <si>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</si>
  <si>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</si>
  <si>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</si>
  <si>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</si>
  <si>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</si>
  <si>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</si>
  <si>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</si>
  <si>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</si>
  <si>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</si>
  <si>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</si>
  <si>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</si>
  <si>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</si>
  <si>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</si>
  <si>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</si>
  <si>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</si>
  <si>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</si>
  <si>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</si>
  <si>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</si>
  <si>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</si>
  <si>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</si>
  <si>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</si>
  <si>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</si>
  <si>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</si>
  <si>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</si>
  <si>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</si>
  <si>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</si>
  <si>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</si>
  <si>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</si>
  <si>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</si>
  <si>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</si>
  <si>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</si>
  <si>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</si>
  <si>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</si>
  <si>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</si>
  <si>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</si>
  <si>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</si>
  <si>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</si>
  <si>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</si>
  <si>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</si>
  <si>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</si>
  <si>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</si>
  <si>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</si>
  <si>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</si>
  <si>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</si>
  <si>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</si>
  <si>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</si>
  <si>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</si>
  <si>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</si>
  <si>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</si>
  <si>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</si>
  <si>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</si>
  <si>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</si>
  <si>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</si>
  <si>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</si>
  <si>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</si>
  <si>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</si>
  <si>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</si>
  <si>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</si>
  <si>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</si>
  <si>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</si>
  <si>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</si>
  <si>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</si>
  <si>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</si>
  <si>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</si>
  <si>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</si>
  <si>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</si>
  <si>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</si>
  <si>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</si>
  <si>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</si>
  <si>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</si>
  <si>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</si>
  <si>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</si>
  <si>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</si>
  <si>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</si>
  <si>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</si>
  <si>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</si>
  <si>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</si>
  <si>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</si>
  <si>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</si>
  <si>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</si>
  <si>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</si>
  <si>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</si>
  <si>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</si>
  <si>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</si>
  <si>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</si>
  <si>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</si>
  <si>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</si>
  <si>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</si>
  <si>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</si>
  <si>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</si>
  <si>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</si>
  <si>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</si>
  <si>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</si>
  <si>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</si>
  <si>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</si>
  <si>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</si>
  <si>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</si>
  <si>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</si>
  <si>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</si>
  <si>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</si>
  <si>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</si>
  <si>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</si>
  <si>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</si>
  <si>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</si>
  <si>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</si>
  <si>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</si>
  <si>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</si>
  <si>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</si>
  <si>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</si>
  <si>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</si>
  <si>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</si>
  <si>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</si>
  <si>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</si>
  <si>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</si>
  <si>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</si>
  <si>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</si>
  <si>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</si>
  <si>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</si>
  <si>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</si>
  <si>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</si>
  <si>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</si>
  <si>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</si>
  <si>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</si>
  <si>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</si>
  <si>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</si>
  <si>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</si>
  <si>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</si>
  <si>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</si>
  <si>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</si>
  <si>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</si>
  <si>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</si>
  <si>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</si>
  <si>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</si>
  <si>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</si>
  <si>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</si>
  <si>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</si>
  <si>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</si>
  <si>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</si>
  <si>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</si>
  <si>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</si>
  <si>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</si>
  <si>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</si>
  <si>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</si>
  <si>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</si>
  <si>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</si>
  <si>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</si>
  <si>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</si>
  <si>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</si>
  <si>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</si>
  <si>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</si>
  <si>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</si>
  <si>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</si>
  <si>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</si>
  <si>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</si>
  <si>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</si>
  <si>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</si>
  <si>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</si>
  <si>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</si>
  <si>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</si>
  <si>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</si>
  <si>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</si>
  <si>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</si>
  <si>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</si>
  <si>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</si>
  <si>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</si>
  <si>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</si>
  <si>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</si>
  <si>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</si>
  <si>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</si>
  <si>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</si>
  <si>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</si>
  <si>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</si>
  <si>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</si>
  <si>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</si>
  <si>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</si>
  <si>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</si>
  <si>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</si>
  <si>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</si>
  <si>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</si>
  <si>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</si>
  <si>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</si>
  <si>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</si>
  <si>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</si>
  <si>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</si>
  <si>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</si>
  <si>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</si>
  <si>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</si>
  <si>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</si>
  <si>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</si>
  <si>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</si>
  <si>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</si>
  <si>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</si>
  <si>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</si>
  <si>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</si>
  <si>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</si>
  <si>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</si>
  <si>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</si>
  <si>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</si>
  <si>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</si>
  <si>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</si>
  <si>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</si>
  <si>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</si>
  <si>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</si>
  <si>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</si>
  <si>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</si>
  <si>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</si>
  <si>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</si>
  <si>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</si>
  <si>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</si>
  <si>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</si>
  <si>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</si>
  <si>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</si>
  <si>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</si>
  <si>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</si>
  <si>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</si>
  <si>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</si>
  <si>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</si>
  <si>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</si>
  <si>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</si>
  <si>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</si>
  <si>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</si>
  <si>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</si>
  <si>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</si>
  <si>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</si>
  <si>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</si>
  <si>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</si>
  <si>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</si>
  <si>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</si>
  <si>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</si>
  <si>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</si>
  <si>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</si>
  <si>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</si>
  <si>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</si>
  <si>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</si>
  <si>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</si>
  <si>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</si>
  <si>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</si>
  <si>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</si>
  <si>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</si>
  <si>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</si>
  <si>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</si>
  <si>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</si>
  <si>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</si>
  <si>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</si>
  <si>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</si>
  <si>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</si>
  <si>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</si>
  <si>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</si>
  <si>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</si>
  <si>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</si>
  <si>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</si>
  <si>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</si>
  <si>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</si>
  <si>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</si>
  <si>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</si>
  <si>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</si>
  <si>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</si>
  <si>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</si>
  <si>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</si>
  <si>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</si>
  <si>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</si>
  <si>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</si>
  <si>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</si>
  <si>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</si>
  <si>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</si>
  <si>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</si>
  <si>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</si>
  <si>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</si>
  <si>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</si>
  <si>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</si>
  <si>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</si>
  <si>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</si>
  <si>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</si>
  <si>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</si>
  <si>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</si>
  <si>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</si>
  <si>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</si>
  <si>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</si>
  <si>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</si>
  <si>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</si>
  <si>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</si>
  <si>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</si>
  <si>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</si>
  <si>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</si>
  <si>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</si>
  <si>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</si>
  <si>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</si>
  <si>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2. Informácie k časti F. písm. a) prílohy č. 3 o dlhodobom nehmotnom majetku</t>
  </si>
  <si>
    <t>3. Informácie k časti F. písm. c) prílohy č. 3 o dlhodobom nehmotnom majetku</t>
  </si>
  <si>
    <t>4.  Informácie k časti F. písm. a) prílohy č. 3 o dlhodobom hmotnom majetku</t>
  </si>
  <si>
    <t xml:space="preserve">5. Informácie k časti F. písm. c) prílohy č. 3 o dlhodobom hmotnom majetku </t>
  </si>
  <si>
    <t>6. Informácie k časti F. písm. j) prílohy č. 3 o  dlhodobom finančnom majetku</t>
  </si>
  <si>
    <t xml:space="preserve">7. Informácie k časti F. písm. m) prílohy č. 3 o dlhodobom finančnom majetku 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</si>
  <si>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</si>
  <si>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</si>
  <si>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</si>
  <si>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11. Informácie k časti F. písm. o) prílohy č. 3 o opravných položkách k zásobám</t>
  </si>
  <si>
    <t>12. Informácie k časti F. písm. p) prílohy č. 3 o zásobách, na ktoré je zriadené záložné právo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</si>
  <si>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</si>
  <si>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</si>
  <si>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</si>
  <si>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</si>
  <si>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</si>
  <si>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</si>
  <si>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>19. Informácie k časti F. písm. y) prílohy č. 3 o krátkodobom finančnom majetku, na ktorý bolo zriadené záložné právo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</si>
  <si>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</si>
  <si>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</si>
  <si>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</si>
  <si>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23. Informácie k časti G. písm. b) prílohy č. 3 o rezervách</t>
  </si>
  <si>
    <t>24. Informácie k časti G. písm. c) a d) prílohy č. 3 o záväzkoch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</si>
  <si>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</si>
  <si>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</si>
  <si>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</si>
  <si>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25. Informácie k časti F. písm. v) a časti G. písm. f) prílohy č. 3 o odloženej daňovej pohľadávke alebo o odloženom daňovom záväzku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</si>
  <si>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</si>
  <si>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</si>
  <si>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</si>
  <si>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</si>
  <si>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</si>
  <si>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35. Informácie k časti J. písm. a) až e) prílohy č. 3 o daniach z príjmov</t>
  </si>
  <si>
    <t>36. Informácie k časti J.  písm. f) a g) prílohy č. 3 o daniach z príjmov</t>
  </si>
  <si>
    <t>37. Informácie k časti P.  prílohy č. 3 o zmenách vlastného imania</t>
  </si>
  <si>
    <t>na dovolenku</t>
  </si>
  <si>
    <t>ostatné</t>
  </si>
  <si>
    <t>na nevyfaktúrované služby</t>
  </si>
  <si>
    <t>na odmeny</t>
  </si>
  <si>
    <t>na vernostný systém</t>
  </si>
  <si>
    <t>Hlavička 1</t>
  </si>
  <si>
    <t>Hlavička 2</t>
  </si>
  <si>
    <t>Hlavička 3</t>
  </si>
  <si>
    <t>34. Informácie k časti I. prílohy č. 3 o nákladoch voči audítorovi, audítorskej spoločnosti</t>
  </si>
  <si>
    <t>Poznámky Úč POD 3-01</t>
  </si>
  <si>
    <t>Náklady voči audítorovi, audítorskej spoločnosti, z toho: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</si>
  <si>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</si>
  <si>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</si>
  <si>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</si>
  <si>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</si>
  <si>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Ostatné významné položky finančných nákladov, z toho:</t>
  </si>
  <si>
    <t>Náklady, ktoré majú výnimočný rozsah alebo výskyt, z toho:</t>
  </si>
  <si>
    <t>Náklady za poskytnuté služby, z toho:</t>
  </si>
  <si>
    <t>kurzové straty ku dňu, ku ktorému sa zostavuje účtovná závierka</t>
  </si>
  <si>
    <t>019100</t>
  </si>
  <si>
    <t>Ostatný dlhodobý nehmotný majetok</t>
  </si>
  <si>
    <t>021100</t>
  </si>
  <si>
    <t>Stavby prenajímané</t>
  </si>
  <si>
    <t>022300</t>
  </si>
  <si>
    <t>Vybavenie lekární (nábytok a príslušenstvo)</t>
  </si>
  <si>
    <t>022303</t>
  </si>
  <si>
    <t>Osvetlenie lekární</t>
  </si>
  <si>
    <t>022600</t>
  </si>
  <si>
    <t>Marketingové nástroje</t>
  </si>
  <si>
    <t>029100</t>
  </si>
  <si>
    <t>Ostatný drobný HM</t>
  </si>
  <si>
    <t>029300</t>
  </si>
  <si>
    <t>Elektronické zariadenia</t>
  </si>
  <si>
    <t>029400</t>
  </si>
  <si>
    <t>Ostatný drobný IT majetok</t>
  </si>
  <si>
    <t>041100</t>
  </si>
  <si>
    <t>Obstaranie dlhodobého nehmotného majetku</t>
  </si>
  <si>
    <t>042100</t>
  </si>
  <si>
    <t>Obstaranie dlhodobého hmotného majetku</t>
  </si>
  <si>
    <t>079100</t>
  </si>
  <si>
    <t>Oprávky k ostatnému dlhodobému nehmotnému majetku</t>
  </si>
  <si>
    <t>081100</t>
  </si>
  <si>
    <t>Oprávky k stavbám prenajímaným</t>
  </si>
  <si>
    <t>082300</t>
  </si>
  <si>
    <t>Oprávky k vybaveniu lekární</t>
  </si>
  <si>
    <t>082303</t>
  </si>
  <si>
    <t>Oprávky k osvetleniu lekární</t>
  </si>
  <si>
    <t>082600</t>
  </si>
  <si>
    <t>Oprávky k marketingovým nástrojom</t>
  </si>
  <si>
    <t>089100</t>
  </si>
  <si>
    <t>Oprávky k ostatnému drobnému HM</t>
  </si>
  <si>
    <t>089300</t>
  </si>
  <si>
    <t>Oprávky k elektronickým zariadeniam</t>
  </si>
  <si>
    <t>089400</t>
  </si>
  <si>
    <t>Oprávky k ostatnému drobnému IT majetku</t>
  </si>
  <si>
    <t>131100</t>
  </si>
  <si>
    <t>Obstaranie tovaru</t>
  </si>
  <si>
    <t>131200</t>
  </si>
  <si>
    <t>Obstaranie tovaru - cenový rozdiel</t>
  </si>
  <si>
    <t>132100</t>
  </si>
  <si>
    <t>Tovar na sklade a v predajniach - (MIR) PHOENIX</t>
  </si>
  <si>
    <t>139100</t>
  </si>
  <si>
    <t>Tovar na ceste</t>
  </si>
  <si>
    <t>196100</t>
  </si>
  <si>
    <t>Opravná položka k tovaru</t>
  </si>
  <si>
    <t>196200</t>
  </si>
  <si>
    <t>Opravná položka k tovaru-pred expiráciou</t>
  </si>
  <si>
    <t>211500</t>
  </si>
  <si>
    <t>POKLADNICA LEKÁREŇ</t>
  </si>
  <si>
    <t>213600</t>
  </si>
  <si>
    <t>Ceniny - stravné lístky  3,90 EUR</t>
  </si>
  <si>
    <t>221810</t>
  </si>
  <si>
    <t>Uni Credit Bank Slovakia</t>
  </si>
  <si>
    <t>261200</t>
  </si>
  <si>
    <t>Odvod tržieb - RP</t>
  </si>
  <si>
    <t>311100</t>
  </si>
  <si>
    <t>Odberatelia</t>
  </si>
  <si>
    <t>311111</t>
  </si>
  <si>
    <t>Odberatelia - VšZP</t>
  </si>
  <si>
    <t>311112</t>
  </si>
  <si>
    <t>Odberatelia - Union</t>
  </si>
  <si>
    <t>311113</t>
  </si>
  <si>
    <t>Odberatelia - Dôvera</t>
  </si>
  <si>
    <t>311115</t>
  </si>
  <si>
    <t>Odberatelia - Nemoc., polikliniky, lekári a pod.</t>
  </si>
  <si>
    <t>311117</t>
  </si>
  <si>
    <t xml:space="preserve">Odberatelia - distribučné spoločnosti </t>
  </si>
  <si>
    <t>311300</t>
  </si>
  <si>
    <t>Pohľadávky - skupina MIRAKL Dr.MAX SK</t>
  </si>
  <si>
    <t>315400</t>
  </si>
  <si>
    <t>Ost. pohľadávky - služby na PN Zmluva (TP)</t>
  </si>
  <si>
    <t>315611</t>
  </si>
  <si>
    <t>Distribučné bonusy Pharmos</t>
  </si>
  <si>
    <t>315612</t>
  </si>
  <si>
    <t>Distribučné bonusy Phoenix</t>
  </si>
  <si>
    <t>315613</t>
  </si>
  <si>
    <t>Distribučné bonusy MED-ART</t>
  </si>
  <si>
    <t>315614</t>
  </si>
  <si>
    <t>Distribučné bonusy MG</t>
  </si>
  <si>
    <t>315615</t>
  </si>
  <si>
    <t>Distribučné bonusy UNIPHARMA</t>
  </si>
  <si>
    <t>315621</t>
  </si>
  <si>
    <t>Bonusy FF 2021</t>
  </si>
  <si>
    <t>315622</t>
  </si>
  <si>
    <t>Bonusy FF 2022</t>
  </si>
  <si>
    <t>315700</t>
  </si>
  <si>
    <t>Platby kreditnou kartou</t>
  </si>
  <si>
    <t>315701</t>
  </si>
  <si>
    <t>Platby poukážkami</t>
  </si>
  <si>
    <t>315710</t>
  </si>
  <si>
    <t>Pohľadávky - vernostný systém</t>
  </si>
  <si>
    <t>315900</t>
  </si>
  <si>
    <t>Pohľadávky zdravotná poisťovňa Dôvera</t>
  </si>
  <si>
    <t>321100</t>
  </si>
  <si>
    <t>Dodávatelia</t>
  </si>
  <si>
    <t>321101</t>
  </si>
  <si>
    <t>Dodávatelia - distribučné spoločnosti</t>
  </si>
  <si>
    <t>321110</t>
  </si>
  <si>
    <t>Dodávatelia zahraničie</t>
  </si>
  <si>
    <t>321300</t>
  </si>
  <si>
    <t>Dodávatelia - skupina MIRAKL Dr.MAX SK</t>
  </si>
  <si>
    <t>323100</t>
  </si>
  <si>
    <t>Rezerva na dovolenky</t>
  </si>
  <si>
    <t>323209</t>
  </si>
  <si>
    <t>Rezervy na vyúčtovanie energií</t>
  </si>
  <si>
    <t>323210</t>
  </si>
  <si>
    <t>Rezerva na nevyfakturované služby a dodávky</t>
  </si>
  <si>
    <t>323221</t>
  </si>
  <si>
    <t>Rezerva na ročnú odmenu 2018</t>
  </si>
  <si>
    <t>323223</t>
  </si>
  <si>
    <t>Rezerva na ročnú odmenu 2020</t>
  </si>
  <si>
    <t>323226</t>
  </si>
  <si>
    <t>Rezerva na banku k motivačným odmenám</t>
  </si>
  <si>
    <t>323240</t>
  </si>
  <si>
    <t>Rezerva na vernostný systém</t>
  </si>
  <si>
    <t>323241</t>
  </si>
  <si>
    <t>Rezerva na VS – nevyčerpané body 2019</t>
  </si>
  <si>
    <t>323300</t>
  </si>
  <si>
    <t>Ostatné rezervy-náklady na SP - PN (TP)</t>
  </si>
  <si>
    <t>325200</t>
  </si>
  <si>
    <t>Ostatné záväzky</t>
  </si>
  <si>
    <t>325888</t>
  </si>
  <si>
    <t>Záväzky - platba eshop</t>
  </si>
  <si>
    <t>326100</t>
  </si>
  <si>
    <t>Nevyfakturované dodávky</t>
  </si>
  <si>
    <t>326200</t>
  </si>
  <si>
    <t>Nevyfakturované dodávky - IDI</t>
  </si>
  <si>
    <t>331100</t>
  </si>
  <si>
    <t>Zamestnanci</t>
  </si>
  <si>
    <t>333100</t>
  </si>
  <si>
    <t>Ostatné záväzky voči zamestnancom</t>
  </si>
  <si>
    <t>335600</t>
  </si>
  <si>
    <t>Stravné lístky</t>
  </si>
  <si>
    <t>335601</t>
  </si>
  <si>
    <t>Záloha na finančný príspevok na stravovanie</t>
  </si>
  <si>
    <t>335900</t>
  </si>
  <si>
    <t>Pohľadávky voči zamestnancom</t>
  </si>
  <si>
    <t>336300</t>
  </si>
  <si>
    <t>VZP Dôvera</t>
  </si>
  <si>
    <t>336500</t>
  </si>
  <si>
    <t>Sociálna poisťovňa</t>
  </si>
  <si>
    <t>341100</t>
  </si>
  <si>
    <t>Daň z príjmov splatná</t>
  </si>
  <si>
    <t>342100</t>
  </si>
  <si>
    <t>Daň zo závislej činnosti</t>
  </si>
  <si>
    <t>343110</t>
  </si>
  <si>
    <t>Výstup 10%</t>
  </si>
  <si>
    <t>343112</t>
  </si>
  <si>
    <t>Výstup 20%</t>
  </si>
  <si>
    <t>343210</t>
  </si>
  <si>
    <t>Vstup 10% - má nárok</t>
  </si>
  <si>
    <t>343216</t>
  </si>
  <si>
    <t>Vstup 20% - má nárok</t>
  </si>
  <si>
    <t>343218</t>
  </si>
  <si>
    <t>Vstup 20% - koeficient</t>
  </si>
  <si>
    <t>345200</t>
  </si>
  <si>
    <t>Ostatné dane a poplatky</t>
  </si>
  <si>
    <t>346100</t>
  </si>
  <si>
    <t xml:space="preserve">Dotácie zo ŠR - Finančný príspevok </t>
  </si>
  <si>
    <t>351100</t>
  </si>
  <si>
    <t>Pohľadávky v rámci skupiny MIRAKL - istina</t>
  </si>
  <si>
    <t>351110</t>
  </si>
  <si>
    <t>Pohľadávky v rámci skupiny MIRAKL - úrok</t>
  </si>
  <si>
    <t>361100</t>
  </si>
  <si>
    <t>Záväzky v rámci skupiny MIRAKL - istina</t>
  </si>
  <si>
    <t>361110</t>
  </si>
  <si>
    <t>Záväzky v rámci skupiny MIRAKL - úrok</t>
  </si>
  <si>
    <t>361600</t>
  </si>
  <si>
    <t>Záväzok-CASH POOLING</t>
  </si>
  <si>
    <t>378600</t>
  </si>
  <si>
    <t>Iné pohľadávky - zdravotné poisťovne</t>
  </si>
  <si>
    <t>378700</t>
  </si>
  <si>
    <t>DPH POVINNOSŤ/ODPOČET voči SKUPINE</t>
  </si>
  <si>
    <t>379600</t>
  </si>
  <si>
    <t>Iné záväzky - zdravotné poisťovne</t>
  </si>
  <si>
    <t>379700</t>
  </si>
  <si>
    <t>379999</t>
  </si>
  <si>
    <t>Neidentifikovaná položka</t>
  </si>
  <si>
    <t>381100</t>
  </si>
  <si>
    <t>Náklady budúcich období</t>
  </si>
  <si>
    <t>391200</t>
  </si>
  <si>
    <t>Opravná položka - zdrav. poisťovne k 378-600</t>
  </si>
  <si>
    <t>395100</t>
  </si>
  <si>
    <t>Vnútorné zúčtovanie</t>
  </si>
  <si>
    <t>395500</t>
  </si>
  <si>
    <t>Presuny medzi strediskami Dr.Max a 2 sklady</t>
  </si>
  <si>
    <t>411100</t>
  </si>
  <si>
    <t>413500</t>
  </si>
  <si>
    <t>Ost.kapit.fondy-Príspevok</t>
  </si>
  <si>
    <t>421100</t>
  </si>
  <si>
    <t>428016</t>
  </si>
  <si>
    <t>Nerozdelený zisk 2016</t>
  </si>
  <si>
    <t>428017</t>
  </si>
  <si>
    <t>Nerozdelený zisk 2017</t>
  </si>
  <si>
    <t>428018</t>
  </si>
  <si>
    <t>Nerozdelený zisk 2018</t>
  </si>
  <si>
    <t>428019</t>
  </si>
  <si>
    <t>Nerozdelený zisk 2019</t>
  </si>
  <si>
    <t>428020</t>
  </si>
  <si>
    <t>Nerozdelený zisk 2020</t>
  </si>
  <si>
    <t>428021</t>
  </si>
  <si>
    <t>Nerozdelený zisk 2021</t>
  </si>
  <si>
    <t>431100</t>
  </si>
  <si>
    <t>Výsledok hospodárenia v schvaľovaní</t>
  </si>
  <si>
    <t>472100</t>
  </si>
  <si>
    <t>Záväzky zo sociálneho fondu</t>
  </si>
  <si>
    <t>472200</t>
  </si>
  <si>
    <t>Sociálny fond - čerpanie na SL</t>
  </si>
  <si>
    <t>472300</t>
  </si>
  <si>
    <t>Sociálny fond - čerpanie na ostatné</t>
  </si>
  <si>
    <t>481200</t>
  </si>
  <si>
    <t>Odložená daň. pohľadávka</t>
  </si>
  <si>
    <t>501200</t>
  </si>
  <si>
    <t>Kancelárske potreby</t>
  </si>
  <si>
    <t>501220</t>
  </si>
  <si>
    <t>IT materiál (cartrige, CD, klávesnice, myši a i.)</t>
  </si>
  <si>
    <t>501400</t>
  </si>
  <si>
    <t>Drobný hmotný majetok</t>
  </si>
  <si>
    <t>501500</t>
  </si>
  <si>
    <t>Čistiace a hygienické potreby</t>
  </si>
  <si>
    <t>501510</t>
  </si>
  <si>
    <t>Čistiace a hyg.potreby-prací prášok podľa smernice</t>
  </si>
  <si>
    <t>501550</t>
  </si>
  <si>
    <t>Spotreba materiálu - MARKETING</t>
  </si>
  <si>
    <t>501700</t>
  </si>
  <si>
    <t>Použitie tovaru a materialu na prop. a zlos.akcie</t>
  </si>
  <si>
    <t>501800</t>
  </si>
  <si>
    <t>Spotrebný materiál</t>
  </si>
  <si>
    <t>501840</t>
  </si>
  <si>
    <t>Spotrebný materiál - diagnostické služby</t>
  </si>
  <si>
    <t>501841</t>
  </si>
  <si>
    <t>Spotrebný materiál PL - diagnostické služby</t>
  </si>
  <si>
    <t>502100</t>
  </si>
  <si>
    <t>Spotreba el. energie</t>
  </si>
  <si>
    <t>502800</t>
  </si>
  <si>
    <t>Spotreba energií</t>
  </si>
  <si>
    <t>504100</t>
  </si>
  <si>
    <t>Predaný tovar /lekárne/</t>
  </si>
  <si>
    <t>504201</t>
  </si>
  <si>
    <t>Predaný tovar  - OTC</t>
  </si>
  <si>
    <t>504202</t>
  </si>
  <si>
    <t>Predaný tovar  - privátna značka OTC</t>
  </si>
  <si>
    <t>504203</t>
  </si>
  <si>
    <t>Predaný tovar - PL - benefit</t>
  </si>
  <si>
    <t>504205</t>
  </si>
  <si>
    <t>Predaný tovar - v rámci skupiny Dr. Max</t>
  </si>
  <si>
    <t>504206</t>
  </si>
  <si>
    <t>Predaný tovar - Privátna značka Rx</t>
  </si>
  <si>
    <t>504207</t>
  </si>
  <si>
    <t>Predaný tovar - vrátne obaly</t>
  </si>
  <si>
    <t>504300</t>
  </si>
  <si>
    <t xml:space="preserve">Skonto zľava-Bonus ostatné </t>
  </si>
  <si>
    <t>504306</t>
  </si>
  <si>
    <t>Skonto zľava-Bonus PHOENIX - Rx</t>
  </si>
  <si>
    <t>504307</t>
  </si>
  <si>
    <t>Skonto zľava-Bonus PHOENIX - OTC</t>
  </si>
  <si>
    <t>504308</t>
  </si>
  <si>
    <t>Skonto zľava – Bonus Medical Group - Rx</t>
  </si>
  <si>
    <t>504309</t>
  </si>
  <si>
    <t>Skonto zľava – Bonus Medical Group – OTC</t>
  </si>
  <si>
    <t>504310</t>
  </si>
  <si>
    <t>Skonto zľava-Bonus PHARMOS - Rx</t>
  </si>
  <si>
    <t>504311</t>
  </si>
  <si>
    <t>Skonto zľava-Bonus PHARMOS - OTC</t>
  </si>
  <si>
    <t>504312</t>
  </si>
  <si>
    <t>Skonto zľava-Bonus MED-ART - Rx</t>
  </si>
  <si>
    <t>504313</t>
  </si>
  <si>
    <t>Skonto zľava-Bonus MED-ART - OTC</t>
  </si>
  <si>
    <t>504314</t>
  </si>
  <si>
    <t>Skonto zľava-Bonus UNIPHARMA – Rx</t>
  </si>
  <si>
    <t>504315</t>
  </si>
  <si>
    <t>Skonto zľava-Bonus UNIPHARMA – OTC</t>
  </si>
  <si>
    <t>504350</t>
  </si>
  <si>
    <t>Dobropisy FF - MKT</t>
  </si>
  <si>
    <t>504351</t>
  </si>
  <si>
    <t>Skonto - zľava za odber tovaru</t>
  </si>
  <si>
    <t>504501</t>
  </si>
  <si>
    <t>Dobropisy FF - OTC</t>
  </si>
  <si>
    <t>504502</t>
  </si>
  <si>
    <t>Náklady - ostatné bonusy OTC</t>
  </si>
  <si>
    <t>504503</t>
  </si>
  <si>
    <t>Dobropisy FF -Rx</t>
  </si>
  <si>
    <t>504505</t>
  </si>
  <si>
    <t>Dobropisy GS</t>
  </si>
  <si>
    <t>504506</t>
  </si>
  <si>
    <t>Náklady - transferové objednávky OTC</t>
  </si>
  <si>
    <t>504507</t>
  </si>
  <si>
    <t>Náklady - transferové objednávky RX</t>
  </si>
  <si>
    <t>504600</t>
  </si>
  <si>
    <t>Prirodzené úbytky zásob</t>
  </si>
  <si>
    <t>504900</t>
  </si>
  <si>
    <t>Spotreba  - pripoč.položka</t>
  </si>
  <si>
    <t>505100</t>
  </si>
  <si>
    <t>Tvorba a zúčtovanie OP k zásobám</t>
  </si>
  <si>
    <t>505101</t>
  </si>
  <si>
    <t>Tvorba a zúčtovanie OP k zásobám Rx</t>
  </si>
  <si>
    <t>505102</t>
  </si>
  <si>
    <t>Tvorba a zúčtovanie OP k zásobám OTC</t>
  </si>
  <si>
    <t>505103</t>
  </si>
  <si>
    <t>Tvorba a zúčtovanie OP k zásobám Rx_PL</t>
  </si>
  <si>
    <t>505104</t>
  </si>
  <si>
    <t>Tvorba a zúčtovanie OP k zásobám OTC_PL</t>
  </si>
  <si>
    <t>505201</t>
  </si>
  <si>
    <t>Tvorba a zúčt.OP k zásobám-pred expiráciou Rx</t>
  </si>
  <si>
    <t>505202</t>
  </si>
  <si>
    <t>Tvorba a zúčt.OP k zásobám-pred expiráciou OTC</t>
  </si>
  <si>
    <t>505203</t>
  </si>
  <si>
    <t>Tvorba a zúčt.OP k zásobám-pred expiráciou RX PL</t>
  </si>
  <si>
    <t>505204</t>
  </si>
  <si>
    <t>Tvorba a zúčt.OP k zásobám-pred expiráciou OTC PL</t>
  </si>
  <si>
    <t>511200</t>
  </si>
  <si>
    <t>Opravy a údržba ostatného majetku</t>
  </si>
  <si>
    <t>511210</t>
  </si>
  <si>
    <t>Opravy a údržba budov</t>
  </si>
  <si>
    <t>511302</t>
  </si>
  <si>
    <t>Opravy a údržba kanc. techniky (IT) -po záruke</t>
  </si>
  <si>
    <t>513900</t>
  </si>
  <si>
    <t>Náklady na reprezentáciu</t>
  </si>
  <si>
    <t>518110</t>
  </si>
  <si>
    <t>Telef. služby - mobilný operátor</t>
  </si>
  <si>
    <t>518150</t>
  </si>
  <si>
    <t>Telef. služby - Internet + dátové služby</t>
  </si>
  <si>
    <t>518200</t>
  </si>
  <si>
    <t>Poštové poplatky</t>
  </si>
  <si>
    <t>518210</t>
  </si>
  <si>
    <t>Zasielateľské služby EMS+DHL+UPS</t>
  </si>
  <si>
    <t>518211</t>
  </si>
  <si>
    <t>Zasielateľské služby Phoenix</t>
  </si>
  <si>
    <t>518317</t>
  </si>
  <si>
    <t>Odplata za služby - MIR pre skupinu (TP)</t>
  </si>
  <si>
    <t>518360</t>
  </si>
  <si>
    <t>Servisné služby IT</t>
  </si>
  <si>
    <t>518510</t>
  </si>
  <si>
    <t>Sprostredkovanie - poukážky, šeky</t>
  </si>
  <si>
    <t>518610</t>
  </si>
  <si>
    <t>Nájomné - lekárne fix</t>
  </si>
  <si>
    <t>518700</t>
  </si>
  <si>
    <t>Náklady na školenia a vzdelávanie zamestnancov</t>
  </si>
  <si>
    <t>518800</t>
  </si>
  <si>
    <t>Ost. služby-pranie a prenájom rohoží, uprat.</t>
  </si>
  <si>
    <t>518803</t>
  </si>
  <si>
    <t>Revízie a metrológia</t>
  </si>
  <si>
    <t>518804</t>
  </si>
  <si>
    <t>Náklady na licenčné poplatky IT- čas. rozl.</t>
  </si>
  <si>
    <t>518831</t>
  </si>
  <si>
    <t>Náklady na vernostný systém - čerpané body</t>
  </si>
  <si>
    <t>518839</t>
  </si>
  <si>
    <t>Náklady na VS pre reporting</t>
  </si>
  <si>
    <t>518850</t>
  </si>
  <si>
    <t>Ostatné služby - vyššie nedefinované</t>
  </si>
  <si>
    <t>518860</t>
  </si>
  <si>
    <t>Služby - refakturácie cest. pridel. zamestnancov</t>
  </si>
  <si>
    <t>518870</t>
  </si>
  <si>
    <t>Služby - BOZP a OPP bezpečnosť práce</t>
  </si>
  <si>
    <t>518879</t>
  </si>
  <si>
    <t>Náklady na VS pre reporting (PL)</t>
  </si>
  <si>
    <t>521100</t>
  </si>
  <si>
    <t>Mzdové náklady</t>
  </si>
  <si>
    <t>521101</t>
  </si>
  <si>
    <t>Mzdové náklady - osobné ohodnotenie (B)</t>
  </si>
  <si>
    <t>521200</t>
  </si>
  <si>
    <t>Prémie a odmeny</t>
  </si>
  <si>
    <t>521203</t>
  </si>
  <si>
    <t>Mzdové náklady -nadčasy</t>
  </si>
  <si>
    <t>521204</t>
  </si>
  <si>
    <t>Príplatok SO - PZ</t>
  </si>
  <si>
    <t>521250</t>
  </si>
  <si>
    <t>Prémie a odmeny -za OTC</t>
  </si>
  <si>
    <t>521260</t>
  </si>
  <si>
    <t>Prémie a odmeny - za GS</t>
  </si>
  <si>
    <t>521262</t>
  </si>
  <si>
    <t>Prémie a odmeny - Odmena OTC</t>
  </si>
  <si>
    <t>521264</t>
  </si>
  <si>
    <t>Prémie a odmeny - bonus(výplata z banky)</t>
  </si>
  <si>
    <t>521290</t>
  </si>
  <si>
    <t>Prémie a odmeny -  privatna značka</t>
  </si>
  <si>
    <t>521500</t>
  </si>
  <si>
    <t>Mzdové náklady - rezerva na dovolenky</t>
  </si>
  <si>
    <t>521510</t>
  </si>
  <si>
    <t>Mzdové náklady - rezerva na ročné odmeny</t>
  </si>
  <si>
    <t>521520</t>
  </si>
  <si>
    <t>Mzdové náklady - rezerva na odmeny</t>
  </si>
  <si>
    <t>521800</t>
  </si>
  <si>
    <t>Mzdové náklady - refundácia miezd</t>
  </si>
  <si>
    <t>524100</t>
  </si>
  <si>
    <t>Zákonné sociálne poistenie</t>
  </si>
  <si>
    <t>524101</t>
  </si>
  <si>
    <t>Zákonné zdravotné poistenie (ZZP)</t>
  </si>
  <si>
    <t>524202</t>
  </si>
  <si>
    <t>ZSP - Marketingové odmeny</t>
  </si>
  <si>
    <t>524203</t>
  </si>
  <si>
    <t>ZZP - Marketingové odmeny</t>
  </si>
  <si>
    <t>524500</t>
  </si>
  <si>
    <t>ZSP - rezerva na dovolenky</t>
  </si>
  <si>
    <t>524501</t>
  </si>
  <si>
    <t>ZZP - rezerva na dovolenky</t>
  </si>
  <si>
    <t>524510</t>
  </si>
  <si>
    <t>ZSP - rezerva na ročnú odmenu</t>
  </si>
  <si>
    <t>524511</t>
  </si>
  <si>
    <t>ZZP - rezerva na ročnú odmenu</t>
  </si>
  <si>
    <t>524520</t>
  </si>
  <si>
    <t>ZSP - rezerva odvody z odmien</t>
  </si>
  <si>
    <t>524521</t>
  </si>
  <si>
    <t>ZSP - rezerva odvody z odmien ZP</t>
  </si>
  <si>
    <t>524800</t>
  </si>
  <si>
    <t>Zákonné sociálne poistenie - refakturácia miezd</t>
  </si>
  <si>
    <t>527100</t>
  </si>
  <si>
    <t>Tvorba soc. fondu</t>
  </si>
  <si>
    <t>527200</t>
  </si>
  <si>
    <t>Príspevok na stravu</t>
  </si>
  <si>
    <t>527201</t>
  </si>
  <si>
    <t>Finančný príspevok na stravu</t>
  </si>
  <si>
    <t>527300</t>
  </si>
  <si>
    <t>Nemocenské hradené zamestnávateľom /0-10 deň</t>
  </si>
  <si>
    <t>527301</t>
  </si>
  <si>
    <t>Paragrafy</t>
  </si>
  <si>
    <t>527400</t>
  </si>
  <si>
    <t>Osobné ochranné prostriedy /OOP/ podľa smernice</t>
  </si>
  <si>
    <t>527600</t>
  </si>
  <si>
    <t>Pracovná zdravotná služba</t>
  </si>
  <si>
    <t>528100</t>
  </si>
  <si>
    <t>Ostatné sociálne náklady</t>
  </si>
  <si>
    <t>528900</t>
  </si>
  <si>
    <t>Ostatné sociálne náklady (nedaňové)</t>
  </si>
  <si>
    <t>538200</t>
  </si>
  <si>
    <t>545900</t>
  </si>
  <si>
    <t>Ostatné pokuty, penále a úroky z omeškania-nedaňov</t>
  </si>
  <si>
    <t>547200</t>
  </si>
  <si>
    <t>Tvorba a zúčtovanie OP k  iným pohľ. -nedaňový n.</t>
  </si>
  <si>
    <t>548100</t>
  </si>
  <si>
    <t>Centové vyrovnanie</t>
  </si>
  <si>
    <t>548210</t>
  </si>
  <si>
    <t>Exspirované lieky - výdaj zo skladu</t>
  </si>
  <si>
    <t>548300</t>
  </si>
  <si>
    <t>Poplatky Slov.Lek.Komora</t>
  </si>
  <si>
    <t>549100</t>
  </si>
  <si>
    <t>Manká a škody neinventúrne (tovar)</t>
  </si>
  <si>
    <t>549200</t>
  </si>
  <si>
    <t>Škody z odcudzenia majetku neznámym páchateľom</t>
  </si>
  <si>
    <t>549950</t>
  </si>
  <si>
    <t>Manko z inventúr</t>
  </si>
  <si>
    <t>551110</t>
  </si>
  <si>
    <t>Odpisy k stavbám prenajímaným</t>
  </si>
  <si>
    <t>551230</t>
  </si>
  <si>
    <t>Odpisy k vybaveniu lekární (nábytok a príslušen.)</t>
  </si>
  <si>
    <t>551233</t>
  </si>
  <si>
    <t>Odpisy k osvetleniu lekární</t>
  </si>
  <si>
    <t>551260</t>
  </si>
  <si>
    <t>Odpisy k marketingovým nástrojom</t>
  </si>
  <si>
    <t>551791</t>
  </si>
  <si>
    <t>Odpisy k ostatnému dlhodobému nehmotnému majetku</t>
  </si>
  <si>
    <t>551891</t>
  </si>
  <si>
    <t>Odpisy k ostatnému drobnému HM</t>
  </si>
  <si>
    <t>551894</t>
  </si>
  <si>
    <t>Odpisy k ostatnému drobnému IT majetku</t>
  </si>
  <si>
    <t>562200</t>
  </si>
  <si>
    <t>Úroky z pôžičiek a úverov od podnikov v skupine</t>
  </si>
  <si>
    <t>568100</t>
  </si>
  <si>
    <t>Bankové poplatky</t>
  </si>
  <si>
    <t>568102</t>
  </si>
  <si>
    <t>Bankové poplatky (nad EBITDA)</t>
  </si>
  <si>
    <t>568110</t>
  </si>
  <si>
    <t xml:space="preserve">Poplatky za platby kartou </t>
  </si>
  <si>
    <t>591100</t>
  </si>
  <si>
    <t>Splatná daň z príjmov PO</t>
  </si>
  <si>
    <t>592100</t>
  </si>
  <si>
    <t>602800</t>
  </si>
  <si>
    <t>Ostatné služby</t>
  </si>
  <si>
    <t>602810</t>
  </si>
  <si>
    <t>Tržby za spracovanie receptov</t>
  </si>
  <si>
    <t>602840</t>
  </si>
  <si>
    <t>Tržby za diagnostické služby</t>
  </si>
  <si>
    <t>602841</t>
  </si>
  <si>
    <t>Tržby PL - diagnostické služby</t>
  </si>
  <si>
    <t>604100</t>
  </si>
  <si>
    <t>Tržba z predaja tovaru v lekárni</t>
  </si>
  <si>
    <t>604200</t>
  </si>
  <si>
    <t>Tržby z predaja - hotovosť</t>
  </si>
  <si>
    <t>604201</t>
  </si>
  <si>
    <t>Tržby z predaja - OTC</t>
  </si>
  <si>
    <t>604202</t>
  </si>
  <si>
    <t>Tržby z predaja - Privátna značka OTC</t>
  </si>
  <si>
    <t>604203</t>
  </si>
  <si>
    <t>Tržby z predaja - Zľava na VK Rx</t>
  </si>
  <si>
    <t>604204</t>
  </si>
  <si>
    <t>Tržby z predaja - zľava na VK OTC</t>
  </si>
  <si>
    <t>604205</t>
  </si>
  <si>
    <t>Tržby z predaja -  v rámci skupiny Dr. Max SK</t>
  </si>
  <si>
    <t>604206</t>
  </si>
  <si>
    <t>Tržby z predaja -  Privátna značka Rx</t>
  </si>
  <si>
    <t>604207</t>
  </si>
  <si>
    <t>Tržby z predaja -  Vratné obaly</t>
  </si>
  <si>
    <t>604300</t>
  </si>
  <si>
    <t xml:space="preserve">Tržby z predaja - ostatní </t>
  </si>
  <si>
    <t>648100</t>
  </si>
  <si>
    <t>648200</t>
  </si>
  <si>
    <t>Ostatné výnosy z hospodárskej činnosti</t>
  </si>
  <si>
    <t>648316</t>
  </si>
  <si>
    <t>Skupinovy prispevok – MIR pre skupinu (TP)</t>
  </si>
  <si>
    <t>648400</t>
  </si>
  <si>
    <t>Prebytky na sklade</t>
  </si>
  <si>
    <t>648450</t>
  </si>
  <si>
    <t>Prebytky z inventúr</t>
  </si>
  <si>
    <t>648710</t>
  </si>
  <si>
    <t>Finančný  príspevok "prvá pomoc"  a 1. línia</t>
  </si>
  <si>
    <t>662200</t>
  </si>
  <si>
    <t>751100</t>
  </si>
  <si>
    <t>Darčekové poukážky</t>
  </si>
  <si>
    <t>754100</t>
  </si>
  <si>
    <t>Emitované darčekové poukážky</t>
  </si>
  <si>
    <t>315620</t>
  </si>
  <si>
    <t>Bonusy FF 2020</t>
  </si>
  <si>
    <t>321111</t>
  </si>
  <si>
    <t>Dodávatelia - distribučné spoločnosti ZAH</t>
  </si>
  <si>
    <t>321200</t>
  </si>
  <si>
    <t>Dodávatelia v skupine PENTA</t>
  </si>
  <si>
    <t>323242</t>
  </si>
  <si>
    <t>Rezerva na VS (starý)–nevyčerpané body 28022019</t>
  </si>
  <si>
    <t>351101</t>
  </si>
  <si>
    <t>Pohľ. v rámci skupiny MIRAKL - Odvody tržieb</t>
  </si>
  <si>
    <t>501403</t>
  </si>
  <si>
    <t>Drobný hmotný majetok - IT</t>
  </si>
  <si>
    <t>518340</t>
  </si>
  <si>
    <t>Právne služby</t>
  </si>
  <si>
    <t>518362</t>
  </si>
  <si>
    <t>Servisné služby IT - zmluvné SLA poplatky</t>
  </si>
  <si>
    <t>518500</t>
  </si>
  <si>
    <t>Sprostredkovanie - stravné lístky</t>
  </si>
  <si>
    <t>019</t>
  </si>
  <si>
    <t>021</t>
  </si>
  <si>
    <t>022</t>
  </si>
  <si>
    <t>Samost. hnuteľné veci a súbory hnuteľných vecí</t>
  </si>
  <si>
    <t>029</t>
  </si>
  <si>
    <t>Ostatný dlhodobý hmotný majetok</t>
  </si>
  <si>
    <t>041</t>
  </si>
  <si>
    <t>042</t>
  </si>
  <si>
    <t>079</t>
  </si>
  <si>
    <t>081</t>
  </si>
  <si>
    <t>Oprávky k stavbám</t>
  </si>
  <si>
    <t>082</t>
  </si>
  <si>
    <t>Oprávky k samost. hnut. veciam a k súboru hn. vecí</t>
  </si>
  <si>
    <t>089</t>
  </si>
  <si>
    <t>Oprávky k ostatnému dlhodobému hmotnému majetku</t>
  </si>
  <si>
    <t>131</t>
  </si>
  <si>
    <t>132</t>
  </si>
  <si>
    <t>Tovar na sklade a v predajniach</t>
  </si>
  <si>
    <t>139</t>
  </si>
  <si>
    <t>196</t>
  </si>
  <si>
    <t>211</t>
  </si>
  <si>
    <t>Pokladnica</t>
  </si>
  <si>
    <t>213</t>
  </si>
  <si>
    <t>Ceniny</t>
  </si>
  <si>
    <t>221</t>
  </si>
  <si>
    <t>Bankové účty</t>
  </si>
  <si>
    <t>261</t>
  </si>
  <si>
    <t>Peniaze na ceste</t>
  </si>
  <si>
    <t>311</t>
  </si>
  <si>
    <t>315</t>
  </si>
  <si>
    <t>Ostatné pohľadávky</t>
  </si>
  <si>
    <t>321</t>
  </si>
  <si>
    <t>323</t>
  </si>
  <si>
    <t>Krátkodobé rezervy</t>
  </si>
  <si>
    <t>325</t>
  </si>
  <si>
    <t>326</t>
  </si>
  <si>
    <t>331</t>
  </si>
  <si>
    <t>333</t>
  </si>
  <si>
    <t>335</t>
  </si>
  <si>
    <t>336</t>
  </si>
  <si>
    <t>Zúčtovanie s org. soc. zabezpečenia a zdrav. poist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</si>
  <si>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</si>
  <si>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</si>
  <si>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</si>
  <si>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</si>
  <si>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</si>
  <si>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</si>
  <si>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</si>
  <si>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346</t>
  </si>
  <si>
    <t>Dotácie zo štátneho rozpočtu</t>
  </si>
  <si>
    <t>351</t>
  </si>
  <si>
    <t>Pohľadávky v rámci konsolidovaného celku</t>
  </si>
  <si>
    <t>361</t>
  </si>
  <si>
    <t>Záväzky v rámci konsolidovaného celku</t>
  </si>
  <si>
    <t>378</t>
  </si>
  <si>
    <t>379</t>
  </si>
  <si>
    <t>Iné záväzky</t>
  </si>
  <si>
    <t>381</t>
  </si>
  <si>
    <t>391</t>
  </si>
  <si>
    <t>Opravná položka k pohľadávkam</t>
  </si>
  <si>
    <t>395</t>
  </si>
  <si>
    <t>411</t>
  </si>
  <si>
    <t>413</t>
  </si>
  <si>
    <t>421</t>
  </si>
  <si>
    <t>428</t>
  </si>
  <si>
    <t>431</t>
  </si>
  <si>
    <t>472</t>
  </si>
  <si>
    <t>481</t>
  </si>
  <si>
    <t>Odložený daň. záväzok a odlož. daň. pohľadávka</t>
  </si>
  <si>
    <t>501</t>
  </si>
  <si>
    <t>Spotreba materiálu</t>
  </si>
  <si>
    <t>502</t>
  </si>
  <si>
    <t>Spotreba energie</t>
  </si>
  <si>
    <t>504</t>
  </si>
  <si>
    <t>Predaný tovar</t>
  </si>
  <si>
    <t>505</t>
  </si>
  <si>
    <t>511</t>
  </si>
  <si>
    <t>Opravy a udržiavanie</t>
  </si>
  <si>
    <t>513</t>
  </si>
  <si>
    <t>518</t>
  </si>
  <si>
    <t>521</t>
  </si>
  <si>
    <t>524</t>
  </si>
  <si>
    <t>527</t>
  </si>
  <si>
    <t>Zákonné sociálne náklady</t>
  </si>
  <si>
    <t>528</t>
  </si>
  <si>
    <t>538</t>
  </si>
  <si>
    <t>545</t>
  </si>
  <si>
    <t>Ostatné pokuty, penále a úroky z omeškania</t>
  </si>
  <si>
    <t>547</t>
  </si>
  <si>
    <t>Tvorba a zúčtovanie OP k pohľadávkam</t>
  </si>
  <si>
    <t>548</t>
  </si>
  <si>
    <t>Ostatné náklady na hospodársku činnosť</t>
  </si>
  <si>
    <t>549</t>
  </si>
  <si>
    <t>Manká a škody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</si>
  <si>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</si>
  <si>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</si>
  <si>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</si>
  <si>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</si>
  <si>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</si>
  <si>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</si>
  <si>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</si>
  <si>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Splatná daň z príjmov z bežnej činnosti</t>
  </si>
  <si>
    <t>592</t>
  </si>
  <si>
    <t>Odložená daň z príjmov z bežnej činnosti</t>
  </si>
  <si>
    <t>602</t>
  </si>
  <si>
    <t>Tržby z predaja služieb</t>
  </si>
  <si>
    <t>604</t>
  </si>
  <si>
    <t>Tržby za tovar</t>
  </si>
  <si>
    <t>648</t>
  </si>
  <si>
    <t>662</t>
  </si>
  <si>
    <t>751</t>
  </si>
  <si>
    <t>Podsúvahové účty</t>
  </si>
  <si>
    <t>754</t>
  </si>
  <si>
    <t>Podsúvahový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</si>
  <si>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</si>
  <si>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</si>
  <si>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</si>
  <si>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</si>
  <si>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</si>
  <si>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</si>
  <si>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</si>
  <si>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</si>
  <si>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</si>
  <si>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</si>
  <si>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</si>
  <si>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</si>
  <si>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</si>
  <si>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</si>
  <si>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</si>
  <si>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</si>
  <si>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</si>
  <si>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</si>
  <si>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</si>
  <si>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</si>
  <si>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</si>
  <si>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</si>
  <si>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</si>
  <si>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</si>
  <si>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</si>
  <si>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</si>
  <si>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</si>
  <si>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</si>
  <si>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</si>
  <si>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</si>
  <si>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</si>
  <si>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</si>
  <si>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</si>
  <si>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</si>
  <si>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</si>
  <si>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</si>
  <si>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</si>
  <si>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</si>
  <si>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</si>
  <si>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</si>
  <si>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</si>
  <si>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</si>
  <si>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</si>
  <si>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</si>
  <si>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</si>
  <si>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</si>
  <si>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</si>
  <si>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</si>
  <si>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</si>
  <si>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</si>
  <si>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</si>
  <si>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</si>
  <si>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</si>
  <si>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</si>
  <si>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</si>
  <si>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</si>
  <si>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</si>
  <si>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</si>
  <si>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</si>
  <si>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</si>
  <si>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</si>
  <si>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</si>
  <si>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</si>
  <si>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</si>
  <si>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</si>
  <si>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</si>
  <si>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</si>
  <si>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</si>
  <si>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</si>
  <si>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</si>
  <si>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</si>
  <si>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</si>
  <si>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</si>
  <si>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</si>
  <si>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</si>
  <si>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</si>
  <si>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</si>
  <si>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</si>
  <si>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</si>
  <si>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</si>
  <si>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</si>
  <si>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</si>
  <si>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</si>
  <si>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</si>
  <si>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</si>
  <si>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</si>
  <si>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</si>
  <si>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</si>
  <si>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</si>
  <si>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</si>
  <si>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</si>
  <si>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</si>
  <si>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</si>
  <si>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</si>
  <si>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</si>
  <si>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</si>
  <si>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</si>
  <si>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</si>
  <si>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</si>
  <si>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</si>
  <si>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</si>
  <si>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</si>
  <si>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</si>
  <si>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</si>
  <si>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</si>
  <si>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</si>
  <si>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</si>
  <si>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</si>
  <si>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</si>
  <si>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</si>
  <si>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</si>
  <si>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</si>
  <si>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</si>
  <si>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</si>
  <si>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</si>
  <si>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</si>
  <si>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</si>
  <si>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</si>
  <si>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</si>
  <si>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</si>
  <si>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</si>
  <si>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</si>
  <si>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</si>
  <si>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</si>
  <si>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</si>
  <si>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</si>
  <si>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</si>
  <si>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</si>
  <si>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</si>
  <si>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</si>
  <si>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</si>
  <si>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</si>
  <si>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</si>
  <si>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</si>
  <si>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</si>
  <si>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</si>
  <si>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</si>
  <si>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</si>
  <si>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</si>
  <si>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</si>
  <si>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</si>
  <si>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</si>
  <si>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</si>
  <si>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</si>
  <si>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</si>
  <si>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</si>
  <si>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</si>
  <si>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</si>
  <si>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</si>
  <si>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</si>
  <si>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</si>
  <si>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</si>
  <si>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</si>
  <si>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</si>
  <si>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</si>
  <si>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</si>
  <si>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</si>
  <si>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</si>
  <si>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</si>
  <si>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</si>
  <si>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</si>
  <si>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</si>
  <si>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</si>
  <si>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</si>
  <si>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</si>
  <si>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</si>
  <si>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</si>
  <si>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</si>
  <si>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</si>
  <si>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</si>
  <si>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</si>
  <si>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</si>
  <si>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</si>
  <si>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</si>
  <si>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</si>
  <si>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</si>
  <si>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</si>
  <si>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</si>
  <si>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</si>
  <si>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</si>
  <si>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</si>
  <si>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</si>
  <si>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</si>
  <si>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</si>
  <si>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</si>
  <si>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</si>
  <si>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</si>
  <si>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</si>
  <si>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</si>
  <si>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</si>
  <si>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</si>
  <si>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</si>
  <si>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</si>
  <si>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</si>
  <si>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</si>
  <si>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</si>
  <si>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</si>
  <si>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</si>
  <si>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</si>
  <si>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</si>
  <si>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</si>
  <si>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</si>
  <si>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</si>
  <si>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</si>
  <si>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</si>
  <si>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</si>
  <si>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</si>
  <si>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</si>
  <si>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</si>
  <si>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</si>
  <si>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</si>
  <si>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</si>
  <si>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</si>
  <si>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</si>
  <si>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</si>
  <si>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</si>
  <si>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</si>
  <si>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</si>
  <si>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</si>
  <si>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</si>
  <si>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</si>
  <si>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</si>
  <si>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</si>
  <si>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</si>
  <si>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</si>
  <si>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</si>
  <si>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</si>
  <si>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</si>
  <si>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</si>
  <si>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</si>
  <si>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</si>
  <si>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</si>
  <si>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</si>
  <si>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</si>
  <si>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</si>
  <si>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</si>
  <si>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</si>
  <si>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</si>
  <si>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</si>
  <si>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</si>
  <si>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</si>
  <si>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</si>
  <si>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</si>
  <si>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</si>
  <si>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</si>
  <si>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</si>
  <si>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</si>
  <si>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</si>
  <si>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</si>
  <si>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</si>
  <si>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</si>
  <si>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</si>
  <si>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</si>
  <si>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</si>
  <si>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</si>
  <si>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</si>
  <si>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</si>
  <si>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</si>
  <si>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</si>
  <si>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</si>
  <si>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</si>
  <si>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</si>
  <si>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</si>
  <si>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</si>
  <si>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</si>
  <si>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</si>
  <si>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</si>
  <si>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</si>
  <si>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</si>
  <si>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</si>
  <si>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</si>
  <si>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</si>
  <si>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</si>
  <si>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</si>
  <si>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</si>
  <si>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</si>
  <si>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</si>
  <si>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</si>
  <si>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</si>
  <si>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</si>
  <si>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</si>
  <si>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</si>
  <si>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</si>
  <si>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</si>
  <si>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</si>
  <si>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</si>
  <si>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</si>
  <si>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</si>
  <si>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</si>
  <si>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</si>
  <si>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</si>
  <si>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</si>
  <si>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</si>
  <si>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</si>
  <si>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</si>
  <si>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</si>
  <si>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</si>
  <si>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</si>
  <si>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</si>
  <si>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</si>
  <si>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</si>
  <si>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</si>
  <si>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</si>
  <si>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</si>
  <si>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</si>
  <si>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</si>
  <si>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</si>
  <si>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</si>
  <si>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</si>
  <si>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</si>
  <si>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</si>
  <si>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</si>
  <si>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</si>
  <si>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</si>
  <si>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</si>
  <si>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</si>
  <si>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</si>
  <si>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</si>
  <si>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</si>
  <si>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</si>
  <si>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</si>
  <si>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</si>
  <si>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</si>
  <si>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</si>
  <si>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</si>
  <si>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</si>
  <si>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</si>
  <si>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</si>
  <si>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</si>
  <si>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 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</si>
  <si>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</si>
  <si>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</si>
  <si>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</si>
  <si>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</si>
  <si>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</si>
  <si>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</si>
  <si>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</si>
  <si>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</si>
  <si>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</si>
  <si>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</si>
  <si>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</si>
  <si>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</si>
  <si>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</si>
  <si>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</si>
  <si>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</si>
  <si>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</si>
  <si>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</si>
  <si>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</si>
  <si>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</si>
  <si>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</si>
  <si>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</si>
  <si>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</si>
  <si>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</si>
  <si>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</si>
  <si>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</si>
  <si>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</si>
  <si>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</si>
  <si>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</si>
  <si>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</si>
  <si>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</si>
  <si>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</si>
  <si>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</si>
  <si>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</si>
  <si>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</si>
  <si>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</si>
  <si>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</si>
  <si>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</si>
  <si>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</si>
  <si>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</si>
  <si>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</si>
  <si>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</si>
  <si>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</si>
  <si>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</si>
  <si>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</si>
  <si>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</si>
  <si>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</si>
  <si>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</si>
  <si>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</si>
  <si>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</si>
  <si>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</si>
  <si>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</si>
  <si>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</si>
  <si>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</si>
  <si>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</si>
  <si>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</si>
  <si>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</si>
  <si>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</si>
  <si>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</si>
  <si>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</si>
  <si>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</si>
  <si>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</si>
  <si>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</si>
  <si>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</si>
  <si>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</si>
  <si>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</si>
  <si>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</si>
  <si>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</si>
  <si>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</si>
  <si>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</si>
  <si>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</si>
  <si>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</si>
  <si>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</si>
  <si>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</si>
  <si>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</si>
  <si>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</si>
  <si>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</si>
  <si>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</si>
  <si>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</si>
  <si>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</si>
  <si>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</si>
  <si>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</si>
  <si>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</si>
  <si>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</si>
  <si>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</si>
  <si>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</si>
  <si>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</si>
  <si>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</si>
  <si>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</si>
  <si>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</si>
  <si>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</si>
  <si>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</si>
  <si>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</si>
  <si>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</si>
  <si>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</si>
  <si>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</si>
  <si>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</si>
  <si>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</si>
  <si>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</si>
  <si>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</si>
  <si>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</si>
  <si>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</si>
  <si>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</si>
  <si>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účt.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</si>
  <si>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</si>
  <si>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</si>
  <si>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</si>
  <si>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</si>
  <si>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</si>
  <si>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</si>
  <si>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</si>
  <si>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</si>
  <si>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</si>
  <si>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</si>
  <si>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</si>
  <si>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</si>
  <si>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</si>
  <si>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</si>
  <si>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</si>
  <si>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</si>
  <si>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</si>
  <si>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</si>
  <si>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</si>
  <si>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</si>
  <si>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</si>
  <si>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</si>
  <si>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</si>
  <si>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</si>
  <si>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</si>
  <si>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</si>
  <si>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</si>
  <si>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</si>
  <si>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</si>
  <si>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</si>
  <si>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</si>
  <si>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</si>
  <si>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</si>
  <si>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</si>
  <si>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</si>
  <si>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</si>
  <si>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</si>
  <si>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</si>
  <si>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</si>
  <si>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</si>
  <si>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23.02.2023</t>
  </si>
  <si>
    <t>Obdobie od</t>
  </si>
  <si>
    <t>01.01.2022</t>
  </si>
  <si>
    <t>Obdobie do</t>
  </si>
  <si>
    <t>31.12.2022</t>
  </si>
  <si>
    <t>Bezprostredne predchádzajúce obdobie od</t>
  </si>
  <si>
    <t>01.01.2021</t>
  </si>
  <si>
    <t>Bezprostredne predchádzajúce obdobie do</t>
  </si>
  <si>
    <t>31.12.2021</t>
  </si>
  <si>
    <t>IČO</t>
  </si>
  <si>
    <t>DIČ</t>
  </si>
  <si>
    <t>Kód SK NACE</t>
  </si>
  <si>
    <t>Názov1</t>
  </si>
  <si>
    <t>Dr.Max 21 s.r.o.</t>
  </si>
  <si>
    <t>Názov2</t>
  </si>
  <si>
    <t>Ulica</t>
  </si>
  <si>
    <t>Moldavská cesta</t>
  </si>
  <si>
    <t>Číslo</t>
  </si>
  <si>
    <t>8/A</t>
  </si>
  <si>
    <t>PSČ</t>
  </si>
  <si>
    <t>040 11</t>
  </si>
  <si>
    <t>Názov obce</t>
  </si>
  <si>
    <t>Košice</t>
  </si>
  <si>
    <t>Číslo telefónu</t>
  </si>
  <si>
    <t>055/2813235</t>
  </si>
  <si>
    <t>Číslo faxu</t>
  </si>
  <si>
    <t>E-mail</t>
  </si>
  <si>
    <t>molcanova.dagmar@drmax.sk</t>
  </si>
  <si>
    <t>A. Informácie o účtovnej jednotke</t>
  </si>
  <si>
    <t xml:space="preserve">1. Hlavnými činnosťami spoločnosti  sú: 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</si>
  <si>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kúpa tovaru na účely jeho predaja konečnému spotrebiteľovi (maloobchod) alebo iným prevádzkovateľom živnosti (veľkoobchod)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</si>
  <si>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>sprostredkovanie obchodu a služieb v oblasti obchodu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</si>
  <si>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poskytovanie lekárenskej starostlivosti vo verejnej lekárni. </t>
    </r>
  </si>
  <si>
    <t>2. Právny dôvod na zostavenie účtovnej závierky</t>
  </si>
  <si>
    <t>Účtovná závierka Spoločnosti k 31. decembru 2022 je zostavená ako riadna individuálna účtovná závierka. Bola zostavená za účtovné obdobie od 1. januára do 31. decembra 2022 podľa slovenských právnych predpisov, a to zákona o účtovníctve a postupov pre podnikateľov.</t>
  </si>
  <si>
    <t>3. Dátum schválenia účtovnej závierky za bezprostredne predchádzajúce účtovné obdobie</t>
  </si>
  <si>
    <t>Účtovná závierka Spoločnosti k 31. decembru 2021 za predchádzajúce účtovné obdobie, bola schválená Rozhodnutím spoločníkov spoločnosti dňa 29.07.2022.</t>
  </si>
  <si>
    <t>C. Informácie o konsolidovanom celku</t>
  </si>
  <si>
    <r>
      <t xml:space="preserve">Spoločnosť je dcérskou spoločnosťou spoločnosti Dr.Max Holding SK, a.s., so sídlom Einsteinova 23, Digital Park II/D,  Bratislava ktorá má </t>
    </r>
    <r>
      <rPr>
        <sz val="10"/>
        <color rgb="FFFF0000"/>
        <rFont val="Calibri"/>
        <family val="2"/>
        <charset val="238"/>
        <scheme val="minor"/>
      </rPr>
      <t>100</t>
    </r>
    <r>
      <rPr>
        <sz val="10"/>
        <color theme="1"/>
        <rFont val="Calibri"/>
        <family val="2"/>
        <charset val="238"/>
        <scheme val="minor"/>
      </rPr>
      <t xml:space="preserve">-percentný podiel na jej základnom imaní. </t>
    </r>
  </si>
  <si>
    <t xml:space="preserve">Materská spoločnosť Dr.Max Holding SK, a.s., je dcérskou spoločnosťou spoločnosti PHARMAX HOLDINGS LIMITED, so sídlom 3082 Limassol, Agias Fylaxeos Polygnostou 212, C I CENTER BUILDING, Cyprus a táto spoločnosť má 100-percentný podiel na jej základnom imaní. </t>
  </si>
  <si>
    <t xml:space="preserve">Účtovná závierka spoločnosti je zahrnutá do konsolidovanej účtovnej závierky spoločnosti Pharmax Holdings Limited, so sídlom 3082 Limassol, Agias Fylaxeos &amp; Polygnostou, 212, C&amp;I CENTER BUILDING, Cyprus (registračné číslo: HE 295375), ktorá zostavuje konsolidovanú účtovnú závierku podľa Medzinárodných štandardov finančného výkazníctva. </t>
  </si>
  <si>
    <t>Zápisom do ORSR dňa 15.3.2022 nastala zmena názvu spoločnosti MIRAKL, a.s. na spoločnosť Dr.Max Holding SK, a.s.</t>
  </si>
  <si>
    <t>D. Informácie o účtovných zásadách a účtovných metódach</t>
  </si>
  <si>
    <r>
      <t>a)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0"/>
        <color theme="1"/>
        <rFont val="Times New Roman"/>
        <family val="1"/>
        <charset val="238"/>
      </rPr>
      <t xml:space="preserve">Východiská pre zostavenie účtovnej závierky </t>
    </r>
  </si>
  <si>
    <t>Účtovná závierka Spoločnosti bola zostavená za predpokladu nepretržitého trvania jej činnosti v súlade so zákonom o účtovníctve platným v Slovenskej republike a nadväzujúcimi postupmi účtovania. Účtovníctvo sa vedie v peňažných jednotkách slovenskej meny, t.j. v eurách.</t>
  </si>
  <si>
    <t>Účtovníctvo sa vedie na základe dodržania časovej a vecnej súvislosti nákladov a výnosov. Za základ sa berú všetky náklady a výnosy, ktoré sa vzťahujú na účtovné obdobie bez ohľadu na dátum ich platenia.</t>
  </si>
  <si>
    <r>
      <t>b)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0"/>
        <color theme="1"/>
        <rFont val="Times New Roman"/>
        <family val="1"/>
        <charset val="238"/>
      </rPr>
      <t xml:space="preserve">  Dlhodobý nehmotný a hmotný majetok</t>
    </r>
  </si>
  <si>
    <t>Dlhodobý hmotný a nehmotný majetok  sa odpisuje podľa plánu odpisov, ktorý bol stanovený vzhľadom na odhad reálnej ekonomickej životnosti. Majetok sa odpisuje počas predpokladanej doby používania zodpovedajúcej spotrebe budúcich ekonomických úžitkov z majetku. Účtovné odpisy sú rovnomerné. Majetok sa začína odpisovať v mesiaci zaradenia do používania.</t>
  </si>
  <si>
    <t>Daňové odpisy sa uplatňujú podľa sadzieb uvedených v zákone o daniach z príjmov  platných pre rovnomerné odpisovanie.</t>
  </si>
  <si>
    <r>
      <t>c)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Zásoby</t>
    </r>
  </si>
  <si>
    <t>Zásoby nakupované sa oceňujú obstarávacou cenou, ktorá zahŕňa cenu zásob a náklady súvisiace s ich obstaraním (clo, prepravu, poistné, provízie, skonto a pod.). Úroky z cudzích zdrojov nie sú súčasťou obstarávacej ceny. Spoločnosť účtuje o zásobách spôsobom A.</t>
  </si>
  <si>
    <t xml:space="preserve">Zníženie hodnoty zásob sa upravuje vytvorením opravnej položky. </t>
  </si>
  <si>
    <r>
      <t>d)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Pohľadávky</t>
    </r>
  </si>
  <si>
    <t>Pohľadávky pri ich vzniku sa oceňujú ich menovitou hodnotou; postúpené pohľadávky a pohľadávky nadobudnuté vkladom do základného imania sa oceňujú obstarávacou cenou, t.j. vrátane nákladov súvisiacich s obstaraním. Toto ocenenie sa znižuje o pochybné a nevymožiteľné pohľadávky.</t>
  </si>
  <si>
    <t xml:space="preserve">e) Peňažné prostriedky </t>
  </si>
  <si>
    <t>Peňažné prostriedky sa oceňujú ich menovitou hodnotou. Zníženie ich hodnoty sa vyjadruje opravnou položkou</t>
  </si>
  <si>
    <t>f) 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</si>
  <si>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</si>
  <si>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>g) Rezervy</t>
  </si>
  <si>
    <t xml:space="preserve">Rezervy sú záväzky s neurčitým časovým vymedzením alebo výškou, tvoria sa na krytie známych rizík alebo strát z podnikania. Oceňujú sa v očakávanej výške záväzku. </t>
  </si>
  <si>
    <t xml:space="preserve">h) Záväzky </t>
  </si>
  <si>
    <t>Záväzky pri ich vzniku sa oceňujú menovitou hodnotou. Záväzky pri ich prevzatí sa oceňujú obstarávacou cenou. Ak sa pri inventarizácii zistí, že suma záväzkov je iná ako ich výška v účtovníctve, uvedú sa záväzky v účtovníctve a v účtovnej závierke v tomto zistenom ocenení.</t>
  </si>
  <si>
    <t>i) Výdavky budúcich období a výnosy budúcich období</t>
  </si>
  <si>
    <t>Výdavky budúcich období a výnosy budúcich období sú vykázané vo výške, ktorá je potrebná na dodržanie zásady vecnej a časovej súvislosti s účtovným obdobím.</t>
  </si>
  <si>
    <r>
      <t>l)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0"/>
        <color theme="1"/>
        <rFont val="Times New Roman"/>
        <family val="1"/>
        <charset val="238"/>
      </rPr>
      <t>Výnosy</t>
    </r>
  </si>
  <si>
    <t>Tržby za vlastné výkony a tovar neobsahujú daň z pridanej hodnoty. Sú tiež znížené o zľavy a zrážky (rabaty, bonusy, skontá, dobropisy a pod.) bez ohľadu na to, či zákazník mal vopred na zľavu nárok, alebo či ide o dodatočne uznanú zľavu. Tržby sú účtované ku dňu splnenia dodávky alebo služby.</t>
  </si>
  <si>
    <t>E.Informácie o skutočnostiach, ktoré nastali po dni, ku ktorému
 sa zostavuje účtovná závierka, do dňa zostavenia účtovnej závierky</t>
  </si>
  <si>
    <t>Po 31. decembri 2022 a do dňa zostavenia účtovnej závierky nenastali žiadne také udalosti, ktoré by významným spôsobom ovplyvnili aktíva a pasíva spoločnosti, okrem tých, ktoré sú uvedené vyššie a ktoré sú výsledkom bežnej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</si>
</sst>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9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1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29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3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 wrapText="1"/>
    </xf>
    <xf numFmtId="3" fontId="6" fillId="0" borderId="2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7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164" fontId="14" fillId="0" borderId="0" xfId="0" applyNumberFormat="1" applyFont="1" applyAlignment="1">
      <alignment horizontal="right" vertical="top"/>
    </xf>
    <xf numFmtId="49" fontId="6" fillId="0" borderId="0" xfId="0" applyNumberFormat="1" applyFont="1"/>
    <xf numFmtId="164" fontId="6" fillId="0" borderId="0" xfId="0" applyNumberFormat="1" applyFont="1"/>
    <xf numFmtId="0" fontId="16" fillId="0" borderId="0" xfId="0" applyFont="1"/>
    <xf numFmtId="49" fontId="16" fillId="0" borderId="0" xfId="0" applyNumberFormat="1" applyFont="1"/>
    <xf numFmtId="164" fontId="16" fillId="0" borderId="0" xfId="0" applyNumberFormat="1" applyFont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0" xfId="0" applyNumberFormat="1" applyFont="1" applyFill="1" applyAlignment="1">
      <alignment horizontal="center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Alignment="1">
      <alignment horizontal="right" vertical="center" wrapText="1"/>
    </xf>
    <xf numFmtId="3" fontId="13" fillId="2" borderId="47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45" xfId="0" applyNumberFormat="1" applyFont="1" applyFill="1" applyBorder="1" applyAlignment="1">
      <alignment horizontal="right" vertical="center" wrapText="1"/>
    </xf>
    <xf numFmtId="3" fontId="13" fillId="2" borderId="29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 wrapText="1"/>
    </xf>
    <xf numFmtId="3" fontId="14" fillId="2" borderId="46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40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3" fillId="2" borderId="2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3" fontId="13" fillId="2" borderId="38" xfId="0" applyNumberFormat="1" applyFont="1" applyFill="1" applyBorder="1" applyAlignment="1">
      <alignment horizontal="right" vertical="center" wrapText="1"/>
    </xf>
    <xf numFmtId="0" fontId="17" fillId="2" borderId="0" xfId="0" quotePrefix="1" applyFont="1" applyFill="1" applyAlignment="1">
      <alignment horizontal="right" wrapText="1"/>
    </xf>
    <xf numFmtId="3" fontId="13" fillId="2" borderId="0" xfId="0" quotePrefix="1" applyNumberFormat="1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2" borderId="0" xfId="0" applyFont="1" applyFill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4" fillId="0" borderId="0" xfId="0" applyFont="1" applyAlignment="1">
      <alignment wrapText="1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itrovicova\Desktop\DANOVE%20PRIZNANIA\danove%20priznania%202014\DR%20MAX%202\DR%20MAX%202%20%20Poznamky%20MUZ%202014_2014_Dr.Max%202%20s.r.o._2014_Dr.Max%202%20s.r.o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YSVETLIVK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1_tabulka c.2"/>
      <sheetName val="12"/>
      <sheetName val="13_tabulka 1 a 3"/>
      <sheetName val="13_tabulka 2 a 4"/>
      <sheetName val="14"/>
      <sheetName val="15"/>
      <sheetName val="16"/>
      <sheetName val="17"/>
      <sheetName val="17_tabulka c.2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9"/>
      <sheetName val="28"/>
      <sheetName val="29_tabulka2"/>
      <sheetName val="30"/>
      <sheetName val="31"/>
      <sheetName val="32"/>
      <sheetName val="33"/>
      <sheetName val="34"/>
      <sheetName val="35"/>
      <sheetName val="36"/>
      <sheetName val="37"/>
      <sheetName val="Hárok1"/>
      <sheetName val="HK"/>
      <sheetName val="HKSU"/>
      <sheetName val="HKM"/>
      <sheetName val="HKSUM"/>
      <sheetName val="VZaS"/>
      <sheetName val="VZaSM"/>
      <sheetName val="SUA"/>
      <sheetName val="SUP"/>
      <sheetName val="SUAM"/>
      <sheetName val="SUPM"/>
      <sheetName val="Info"/>
      <sheetName val="Hárok2"/>
    </sheetNames>
    <sheetDataSet>
      <sheetData sheetId="0">
        <row r="39">
          <cell r="B39" t="str">
            <v>Poznámky Úč POD 3-01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7A3C-5ED8-4D72-8C33-CF663269CBD5}">
  <dimension ref="A1:C56"/>
  <sheetViews>
    <sheetView tabSelected="1" workbookViewId="0">
      <selection activeCell="B1" sqref="B1:B2"/>
    </sheetView>
  </sheetViews>
  <sheetFormatPr defaultRowHeight="14.4" x14ac:dyDescent="0.3"/>
  <cols>
    <col min="1" max="1" width="65.6640625" customWidth="1"/>
    <col min="2" max="2" width="16" customWidth="1"/>
    <col min="3" max="3" width="9.33203125" customWidth="1"/>
  </cols>
  <sheetData>
    <row r="1" spans="1:3" x14ac:dyDescent="0.3">
      <c r="A1" t="str">
        <f>[1]VYSVETLIVKY!$B$39</f>
        <v>Poznámky Úč POD 3-01</v>
      </c>
      <c r="B1" s="248" t="str">
        <f>VYSVETLIVKY!$B$40</f>
        <v>IČO : 46043381</v>
      </c>
      <c r="C1" s="248"/>
    </row>
    <row r="2" spans="1:3" x14ac:dyDescent="0.3">
      <c r="B2" s="248" t="str">
        <f>VYSVETLIVKY!$B$41</f>
        <v>DIČ : 2023202038</v>
      </c>
      <c r="C2" s="248"/>
    </row>
    <row r="3" spans="1:3" ht="15.6" x14ac:dyDescent="0.3">
      <c r="A3" s="283" t="s">
        <v>1590</v>
      </c>
    </row>
    <row r="4" spans="1:3" x14ac:dyDescent="0.3">
      <c r="A4" s="284" t="s">
        <v>1591</v>
      </c>
    </row>
    <row r="5" spans="1:3" ht="26.4" x14ac:dyDescent="0.3">
      <c r="A5" s="285" t="s">
        <v>1592</v>
      </c>
    </row>
    <row r="6" spans="1:3" x14ac:dyDescent="0.3">
      <c r="A6" s="285" t="s">
        <v>1593</v>
      </c>
    </row>
    <row r="7" spans="1:3" x14ac:dyDescent="0.3">
      <c r="A7" s="285" t="s">
        <v>1594</v>
      </c>
    </row>
    <row r="8" spans="1:3" x14ac:dyDescent="0.3">
      <c r="A8" s="284" t="s">
        <v>1595</v>
      </c>
    </row>
    <row r="9" spans="1:3" ht="52.8" x14ac:dyDescent="0.3">
      <c r="A9" s="285" t="s">
        <v>1596</v>
      </c>
    </row>
    <row r="10" spans="1:3" ht="26.4" x14ac:dyDescent="0.3">
      <c r="A10" s="284" t="s">
        <v>1597</v>
      </c>
    </row>
    <row r="11" spans="1:3" ht="26.4" x14ac:dyDescent="0.3">
      <c r="A11" s="286" t="s">
        <v>1598</v>
      </c>
    </row>
    <row r="12" spans="1:3" ht="17.25" customHeight="1" x14ac:dyDescent="0.3">
      <c r="A12" s="287" t="s">
        <v>1599</v>
      </c>
    </row>
    <row r="13" spans="1:3" ht="41.4" x14ac:dyDescent="0.3">
      <c r="A13" s="288" t="s">
        <v>1600</v>
      </c>
    </row>
    <row r="14" spans="1:3" ht="52.8" x14ac:dyDescent="0.3">
      <c r="A14" s="285" t="s">
        <v>1601</v>
      </c>
    </row>
    <row r="15" spans="1:3" ht="69" x14ac:dyDescent="0.3">
      <c r="A15" s="288" t="s">
        <v>1602</v>
      </c>
    </row>
    <row r="16" spans="1:3" ht="39" customHeight="1" x14ac:dyDescent="0.3">
      <c r="A16" s="289" t="s">
        <v>1603</v>
      </c>
    </row>
    <row r="17" spans="1:1" ht="15.6" x14ac:dyDescent="0.3">
      <c r="A17" s="283" t="s">
        <v>1604</v>
      </c>
    </row>
    <row r="18" spans="1:1" x14ac:dyDescent="0.3">
      <c r="A18" s="290" t="s">
        <v>1605</v>
      </c>
    </row>
    <row r="19" spans="1:1" ht="52.8" x14ac:dyDescent="0.3">
      <c r="A19" s="285" t="s">
        <v>1606</v>
      </c>
    </row>
    <row r="20" spans="1:1" ht="39.6" x14ac:dyDescent="0.3">
      <c r="A20" s="285" t="s">
        <v>1607</v>
      </c>
    </row>
    <row r="21" spans="1:1" x14ac:dyDescent="0.3">
      <c r="A21" s="291" t="s">
        <v>1608</v>
      </c>
    </row>
    <row r="22" spans="1:1" ht="66" x14ac:dyDescent="0.3">
      <c r="A22" s="285" t="s">
        <v>1609</v>
      </c>
    </row>
    <row r="23" spans="1:1" x14ac:dyDescent="0.3">
      <c r="A23" s="285"/>
    </row>
    <row r="24" spans="1:1" x14ac:dyDescent="0.3">
      <c r="A24" s="285"/>
    </row>
    <row r="25" spans="1:1" ht="26.4" x14ac:dyDescent="0.3">
      <c r="A25" s="285" t="s">
        <v>1610</v>
      </c>
    </row>
    <row r="26" spans="1:1" x14ac:dyDescent="0.3">
      <c r="A26" s="285"/>
    </row>
    <row r="27" spans="1:1" x14ac:dyDescent="0.3">
      <c r="A27" s="292" t="s">
        <v>1611</v>
      </c>
    </row>
    <row r="28" spans="1:1" ht="52.8" x14ac:dyDescent="0.3">
      <c r="A28" s="285" t="s">
        <v>1612</v>
      </c>
    </row>
    <row r="29" spans="1:1" x14ac:dyDescent="0.3">
      <c r="A29" s="285"/>
    </row>
    <row r="30" spans="1:1" x14ac:dyDescent="0.3">
      <c r="A30" s="285" t="s">
        <v>1613</v>
      </c>
    </row>
    <row r="31" spans="1:1" x14ac:dyDescent="0.3">
      <c r="A31" s="285"/>
    </row>
    <row r="32" spans="1:1" x14ac:dyDescent="0.3">
      <c r="A32" s="292" t="s">
        <v>1614</v>
      </c>
    </row>
    <row r="33" spans="1:1" ht="52.8" x14ac:dyDescent="0.3">
      <c r="A33" s="285" t="s">
        <v>1615</v>
      </c>
    </row>
    <row r="34" spans="1:1" x14ac:dyDescent="0.3">
      <c r="A34" s="285"/>
    </row>
    <row r="35" spans="1:1" x14ac:dyDescent="0.3">
      <c r="A35" s="291" t="s">
        <v>1616</v>
      </c>
    </row>
    <row r="36" spans="1:1" ht="26.4" x14ac:dyDescent="0.3">
      <c r="A36" s="285" t="s">
        <v>1617</v>
      </c>
    </row>
    <row r="37" spans="1:1" x14ac:dyDescent="0.3">
      <c r="A37" s="293"/>
    </row>
    <row r="38" spans="1:1" x14ac:dyDescent="0.3">
      <c r="A38" s="293"/>
    </row>
    <row r="39" spans="1:1" x14ac:dyDescent="0.3">
      <c r="A39" s="291" t="s">
        <v>1618</v>
      </c>
    </row>
    <row r="40" spans="1:1" ht="26.4" x14ac:dyDescent="0.3">
      <c r="A40" s="285" t="s">
        <v>1619</v>
      </c>
    </row>
    <row r="41" spans="1:1" x14ac:dyDescent="0.3">
      <c r="A41" s="293"/>
    </row>
    <row r="42" spans="1:1" x14ac:dyDescent="0.3">
      <c r="A42" s="291" t="s">
        <v>1620</v>
      </c>
    </row>
    <row r="43" spans="1:1" ht="39.6" x14ac:dyDescent="0.3">
      <c r="A43" s="285" t="s">
        <v>1621</v>
      </c>
    </row>
    <row r="44" spans="1:1" x14ac:dyDescent="0.3">
      <c r="A44" s="293"/>
    </row>
    <row r="45" spans="1:1" x14ac:dyDescent="0.3">
      <c r="A45" s="291" t="s">
        <v>1622</v>
      </c>
    </row>
    <row r="46" spans="1:1" ht="52.8" x14ac:dyDescent="0.3">
      <c r="A46" s="285" t="s">
        <v>1623</v>
      </c>
    </row>
    <row r="47" spans="1:1" x14ac:dyDescent="0.3">
      <c r="A47" s="285"/>
    </row>
    <row r="48" spans="1:1" x14ac:dyDescent="0.3">
      <c r="A48" s="284" t="s">
        <v>1624</v>
      </c>
    </row>
    <row r="49" spans="1:1" ht="26.4" x14ac:dyDescent="0.3">
      <c r="A49" s="285" t="s">
        <v>1625</v>
      </c>
    </row>
    <row r="50" spans="1:1" x14ac:dyDescent="0.3">
      <c r="A50" s="285"/>
    </row>
    <row r="51" spans="1:1" x14ac:dyDescent="0.3">
      <c r="A51" s="285"/>
    </row>
    <row r="52" spans="1:1" x14ac:dyDescent="0.3">
      <c r="A52" s="284" t="s">
        <v>1626</v>
      </c>
    </row>
    <row r="53" spans="1:1" ht="52.8" x14ac:dyDescent="0.3">
      <c r="A53" s="285" t="s">
        <v>1627</v>
      </c>
    </row>
    <row r="54" spans="1:1" x14ac:dyDescent="0.3">
      <c r="A54" s="285"/>
    </row>
    <row r="55" spans="1:1" ht="46.8" x14ac:dyDescent="0.3">
      <c r="A55" s="294" t="s">
        <v>1628</v>
      </c>
    </row>
    <row r="56" spans="1:1" ht="39.6" x14ac:dyDescent="0.3">
      <c r="A56" s="285" t="s">
        <v>1629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10"/>
  <sheetViews>
    <sheetView showGridLines="0" zoomScaleNormal="100" workbookViewId="0">
      <selection sqref="A1:B6"/>
    </sheetView>
  </sheetViews>
  <sheetFormatPr defaultRowHeight="14.4" x14ac:dyDescent="0.3"/>
  <cols>
    <col min="1" max="1" width="17.109375" customWidth="1"/>
    <col min="2" max="2" width="12.44140625" customWidth="1"/>
    <col min="3" max="7" width="11.44140625" customWidth="1"/>
  </cols>
  <sheetData>
    <row r="1" spans="1:10" x14ac:dyDescent="0.3">
      <c r="A1" t="str">
        <f>VYSVETLIVKY!$B$39</f>
        <v>Poznámky Úč POD 3-01</v>
      </c>
      <c r="G1" s="248" t="str">
        <f>VYSVETLIVKY!$B$40</f>
        <v>IČO : 46043381</v>
      </c>
    </row>
    <row r="2" spans="1:10" x14ac:dyDescent="0.3">
      <c r="G2" s="248" t="str">
        <f>VYSVETLIVKY!$B$41</f>
        <v>DIČ : 2023202038</v>
      </c>
    </row>
    <row r="3" spans="1:10" ht="15" thickBot="1" x14ac:dyDescent="0.35">
      <c r="A3" s="1" t="s">
        <v>399</v>
      </c>
    </row>
    <row r="4" spans="1:10" ht="74.25" customHeight="1" thickTop="1" thickBot="1" x14ac:dyDescent="0.35">
      <c r="A4" s="43" t="s">
        <v>320</v>
      </c>
      <c r="B4" s="43" t="s">
        <v>52</v>
      </c>
      <c r="C4" s="25" t="s">
        <v>318</v>
      </c>
      <c r="D4" s="43" t="s">
        <v>53</v>
      </c>
      <c r="E4" s="43" t="s">
        <v>54</v>
      </c>
      <c r="F4" s="25" t="s">
        <v>319</v>
      </c>
      <c r="G4" s="43" t="s">
        <v>60</v>
      </c>
    </row>
    <row r="5" spans="1:10" ht="27" customHeight="1" thickTop="1" thickBot="1" x14ac:dyDescent="0.35">
      <c r="A5" s="13" t="s">
        <v>55</v>
      </c>
      <c r="B5" s="124"/>
      <c r="C5" s="31"/>
      <c r="D5" s="31"/>
      <c r="E5" s="31"/>
      <c r="F5" s="31"/>
      <c r="G5" s="12">
        <f>SUM(C5:F5)</f>
        <v>0</v>
      </c>
    </row>
    <row r="6" spans="1:10" ht="31.2" thickBot="1" x14ac:dyDescent="0.35">
      <c r="A6" s="13" t="s">
        <v>56</v>
      </c>
      <c r="B6" s="125"/>
      <c r="C6" s="20"/>
      <c r="D6" s="20"/>
      <c r="E6" s="20"/>
      <c r="F6" s="20"/>
      <c r="G6" s="14">
        <f>SUM(C6:F6)</f>
        <v>0</v>
      </c>
    </row>
    <row r="7" spans="1:10" ht="31.2" thickBot="1" x14ac:dyDescent="0.35">
      <c r="A7" s="13" t="s">
        <v>57</v>
      </c>
      <c r="B7" s="125"/>
      <c r="C7" s="20"/>
      <c r="D7" s="20"/>
      <c r="E7" s="20"/>
      <c r="F7" s="20"/>
      <c r="G7" s="14">
        <f>SUM(C7:F7)</f>
        <v>0</v>
      </c>
    </row>
    <row r="8" spans="1:10" ht="27" customHeight="1" thickBot="1" x14ac:dyDescent="0.35">
      <c r="A8" s="13" t="s">
        <v>58</v>
      </c>
      <c r="B8" s="125"/>
      <c r="C8" s="20"/>
      <c r="D8" s="20"/>
      <c r="E8" s="20"/>
      <c r="F8" s="20"/>
      <c r="G8" s="14">
        <f>SUM(C8:F8)</f>
        <v>0</v>
      </c>
    </row>
    <row r="9" spans="1:10" ht="27" customHeight="1" thickBot="1" x14ac:dyDescent="0.35">
      <c r="A9" s="21" t="s">
        <v>59</v>
      </c>
      <c r="B9" s="126" t="s">
        <v>10</v>
      </c>
      <c r="C9" s="42"/>
      <c r="D9" s="42"/>
      <c r="E9" s="42"/>
      <c r="F9" s="42"/>
      <c r="G9" s="190">
        <f>SUMIF(HK!A:A,"065*",HK!K:K)-SUMIF(HK!A:A,"065*",HK!L:L)</f>
        <v>0</v>
      </c>
      <c r="J9" s="189"/>
    </row>
    <row r="10" spans="1:10" ht="15" thickTop="1" x14ac:dyDescent="0.3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10"/>
  <sheetViews>
    <sheetView showGridLines="0" zoomScaleNormal="100" workbookViewId="0">
      <selection sqref="A1:B6"/>
    </sheetView>
  </sheetViews>
  <sheetFormatPr defaultRowHeight="14.4" x14ac:dyDescent="0.3"/>
  <cols>
    <col min="1" max="1" width="20.44140625" customWidth="1"/>
    <col min="2" max="6" width="13.33203125" customWidth="1"/>
    <col min="7" max="7" width="17.5546875" customWidth="1"/>
  </cols>
  <sheetData>
    <row r="1" spans="1:6" x14ac:dyDescent="0.3">
      <c r="A1" t="str">
        <f>VYSVETLIVKY!$B$39</f>
        <v>Poznámky Úč POD 3-01</v>
      </c>
      <c r="F1" s="248" t="str">
        <f>VYSVETLIVKY!$B$40</f>
        <v>IČO : 46043381</v>
      </c>
    </row>
    <row r="2" spans="1:6" x14ac:dyDescent="0.3">
      <c r="F2" s="248" t="str">
        <f>VYSVETLIVKY!$B$41</f>
        <v>DIČ : 2023202038</v>
      </c>
    </row>
    <row r="3" spans="1:6" ht="15" thickBot="1" x14ac:dyDescent="0.35">
      <c r="A3" s="1" t="s">
        <v>400</v>
      </c>
    </row>
    <row r="4" spans="1:6" ht="58.5" customHeight="1" thickTop="1" thickBot="1" x14ac:dyDescent="0.35">
      <c r="A4" s="43" t="s">
        <v>61</v>
      </c>
      <c r="B4" s="25" t="s">
        <v>318</v>
      </c>
      <c r="C4" s="43" t="s">
        <v>53</v>
      </c>
      <c r="D4" s="43" t="s">
        <v>54</v>
      </c>
      <c r="E4" s="43" t="s">
        <v>321</v>
      </c>
      <c r="F4" s="25" t="s">
        <v>21</v>
      </c>
    </row>
    <row r="5" spans="1:6" ht="27" customHeight="1" thickTop="1" thickBot="1" x14ac:dyDescent="0.35">
      <c r="A5" s="13" t="s">
        <v>55</v>
      </c>
      <c r="B5" s="20"/>
      <c r="C5" s="20"/>
      <c r="D5" s="20"/>
      <c r="E5" s="20"/>
      <c r="F5" s="14">
        <f>SUM(B5:E5)</f>
        <v>0</v>
      </c>
    </row>
    <row r="6" spans="1:6" ht="27" customHeight="1" thickBot="1" x14ac:dyDescent="0.35">
      <c r="A6" s="13" t="s">
        <v>62</v>
      </c>
      <c r="B6" s="20"/>
      <c r="C6" s="20"/>
      <c r="D6" s="20"/>
      <c r="E6" s="20"/>
      <c r="F6" s="14">
        <f>SUM(B6:E6)</f>
        <v>0</v>
      </c>
    </row>
    <row r="7" spans="1:6" ht="27" customHeight="1" thickBot="1" x14ac:dyDescent="0.35">
      <c r="A7" s="13" t="s">
        <v>63</v>
      </c>
      <c r="B7" s="20"/>
      <c r="C7" s="20"/>
      <c r="D7" s="20"/>
      <c r="E7" s="20"/>
      <c r="F7" s="14">
        <f>SUM(B7:E7)</f>
        <v>0</v>
      </c>
    </row>
    <row r="8" spans="1:6" ht="27" customHeight="1" thickBot="1" x14ac:dyDescent="0.35">
      <c r="A8" s="13" t="s">
        <v>58</v>
      </c>
      <c r="B8" s="20"/>
      <c r="C8" s="20"/>
      <c r="D8" s="20"/>
      <c r="E8" s="20"/>
      <c r="F8" s="14">
        <f>SUM(B8:E8)</f>
        <v>0</v>
      </c>
    </row>
    <row r="9" spans="1:6" ht="27" customHeight="1" thickBot="1" x14ac:dyDescent="0.35">
      <c r="A9" s="21" t="s">
        <v>64</v>
      </c>
      <c r="B9" s="42">
        <f>SUM(B5:B8)</f>
        <v>0</v>
      </c>
      <c r="C9" s="42">
        <f>SUM(C5:C8)</f>
        <v>0</v>
      </c>
      <c r="D9" s="42">
        <f>SUM(D5:D8)</f>
        <v>0</v>
      </c>
      <c r="E9" s="42">
        <f>SUM(E5:E8)</f>
        <v>0</v>
      </c>
      <c r="F9" s="44">
        <f>SUM(F5:F8)</f>
        <v>0</v>
      </c>
    </row>
    <row r="10" spans="1:6" ht="15" thickTop="1" x14ac:dyDescent="0.3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5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18.5546875" customWidth="1"/>
    <col min="2" max="6" width="13.5546875" customWidth="1"/>
    <col min="7" max="7" width="17.5546875" customWidth="1"/>
  </cols>
  <sheetData>
    <row r="1" spans="1:8" x14ac:dyDescent="0.3">
      <c r="A1" t="str">
        <f>VYSVETLIVKY!$B$39</f>
        <v>Poznámky Úč POD 3-01</v>
      </c>
      <c r="F1" s="248" t="str">
        <f>VYSVETLIVKY!$B$40</f>
        <v>IČO : 46043381</v>
      </c>
    </row>
    <row r="2" spans="1:8" x14ac:dyDescent="0.3">
      <c r="F2" s="248" t="str">
        <f>VYSVETLIVKY!$B$41</f>
        <v>DIČ : 2023202038</v>
      </c>
    </row>
    <row r="3" spans="1:8" x14ac:dyDescent="0.3">
      <c r="A3" s="1" t="s">
        <v>401</v>
      </c>
    </row>
    <row r="4" spans="1:8" ht="15" thickBot="1" x14ac:dyDescent="0.35">
      <c r="A4" s="2" t="s">
        <v>7</v>
      </c>
    </row>
    <row r="5" spans="1:8" ht="15.6" thickTop="1" thickBot="1" x14ac:dyDescent="0.35">
      <c r="A5" s="249" t="s">
        <v>65</v>
      </c>
      <c r="B5" s="254" t="s">
        <v>2</v>
      </c>
      <c r="C5" s="255"/>
      <c r="D5" s="255"/>
      <c r="E5" s="255"/>
      <c r="F5" s="256"/>
    </row>
    <row r="6" spans="1:8" ht="60" customHeight="1" thickTop="1" thickBot="1" x14ac:dyDescent="0.35">
      <c r="A6" s="264"/>
      <c r="B6" s="23" t="s">
        <v>66</v>
      </c>
      <c r="C6" s="19" t="s">
        <v>323</v>
      </c>
      <c r="D6" s="23" t="s">
        <v>326</v>
      </c>
      <c r="E6" s="19" t="s">
        <v>324</v>
      </c>
      <c r="F6" s="23" t="s">
        <v>68</v>
      </c>
    </row>
    <row r="7" spans="1:8" ht="23.25" customHeight="1" thickTop="1" thickBot="1" x14ac:dyDescent="0.35">
      <c r="A7" s="13" t="s">
        <v>69</v>
      </c>
      <c r="B7" s="164">
        <f>SUMIF(HK!A:A,"191*",HK!D:D)-SUMIF(HK!A:A,"191*",HK!C:C)</f>
        <v>0</v>
      </c>
      <c r="C7" s="191"/>
      <c r="D7" s="191"/>
      <c r="E7" s="191"/>
      <c r="F7" s="164">
        <f>SUMIF(HK!A:A,"191*",HK!L:L)-SUMIF(HK!A:A,"191*",HK!K:K)</f>
        <v>0</v>
      </c>
      <c r="H7" s="189"/>
    </row>
    <row r="8" spans="1:8" ht="21" thickBot="1" x14ac:dyDescent="0.35">
      <c r="A8" s="13" t="s">
        <v>77</v>
      </c>
      <c r="B8" s="164">
        <f>SUMIF(HK!A:A,"192*",HK!D:D)-SUMIF(HK!A:A,"192*",HK!C:C)+SUMIF(HK!A:A,"193*",HK!D:D)-SUMIF(HK!A:A,"193*",HK!C:C)</f>
        <v>0</v>
      </c>
      <c r="C8" s="191"/>
      <c r="D8" s="191"/>
      <c r="E8" s="191"/>
      <c r="F8" s="164">
        <f>SUMIF(HK!A:A,"192*",HK!L:L)-SUMIF(HK!A:A,"192*",HK!K:K)+SUMIF(HK!A:A,"193*",HK!L:L)-SUMIF(HK!A:A,"193*",HK!K:K)</f>
        <v>0</v>
      </c>
      <c r="H8" s="189"/>
    </row>
    <row r="9" spans="1:8" ht="23.25" customHeight="1" thickBot="1" x14ac:dyDescent="0.35">
      <c r="A9" s="13" t="s">
        <v>70</v>
      </c>
      <c r="B9" s="164">
        <f>SUMIF(HK!A:A,"194*",HK!D:D)-SUMIF(HK!A:A,"194*",HK!C:C)</f>
        <v>0</v>
      </c>
      <c r="C9" s="131"/>
      <c r="D9" s="131"/>
      <c r="E9" s="131"/>
      <c r="F9" s="164">
        <f>SUMIF(HK!A:A,"194*",HK!L:L)-SUMIF(HK!A:A,"194*",HK!K:K)</f>
        <v>0</v>
      </c>
      <c r="H9" s="189"/>
    </row>
    <row r="10" spans="1:8" ht="23.25" customHeight="1" thickBot="1" x14ac:dyDescent="0.35">
      <c r="A10" s="13" t="s">
        <v>71</v>
      </c>
      <c r="B10" s="164">
        <f>SUMIF(HK!A:A,"195*",HK!D:D)-SUMIF(HK!A:A,"195*",HK!C:C)</f>
        <v>0</v>
      </c>
      <c r="C10" s="131"/>
      <c r="D10" s="131"/>
      <c r="E10" s="131"/>
      <c r="F10" s="164">
        <f>SUMIF(HK!A:A,"195*",HK!L:L)-SUMIF(HK!A:A,"195*",HK!K:K)</f>
        <v>0</v>
      </c>
      <c r="H10" s="189"/>
    </row>
    <row r="11" spans="1:8" ht="23.25" customHeight="1" thickBot="1" x14ac:dyDescent="0.35">
      <c r="A11" s="13" t="s">
        <v>72</v>
      </c>
      <c r="B11" s="164">
        <f>SUMIF(HK!A:A,"196*",HK!D:D)-SUMIF(HK!A:A,"196*",HK!C:C)</f>
        <v>2030.12</v>
      </c>
      <c r="C11" s="164">
        <f>SUMIF(HK!A:A,"196100",HK!J:J)+SUMIF(HK!A:A,"196200",HK!J:J)</f>
        <v>2903.63</v>
      </c>
      <c r="D11" s="164">
        <f>SUMIF(HK!A:A,"196100",HK!I:I)+SUMIF(HK!A:A,"196200",HK!I:I)</f>
        <v>2214.4299999999998</v>
      </c>
      <c r="E11" s="131"/>
      <c r="F11" s="164">
        <f>SUMIF(HK!A:A,"196*",HK!L:L)-SUMIF(HK!A:A,"196*",HK!K:K)</f>
        <v>2719.32</v>
      </c>
      <c r="H11" s="189"/>
    </row>
    <row r="12" spans="1:8" ht="23.25" customHeight="1" thickBot="1" x14ac:dyDescent="0.35">
      <c r="A12" s="13" t="s">
        <v>73</v>
      </c>
      <c r="B12" s="108"/>
      <c r="C12" s="108"/>
      <c r="D12" s="108"/>
      <c r="E12" s="108"/>
      <c r="F12" s="14">
        <f t="shared" ref="F12:F13" si="0">SUM(B12:E12)</f>
        <v>0</v>
      </c>
    </row>
    <row r="13" spans="1:8" ht="23.25" customHeight="1" thickBot="1" x14ac:dyDescent="0.35">
      <c r="A13" s="13" t="s">
        <v>325</v>
      </c>
      <c r="B13" s="108"/>
      <c r="C13" s="108"/>
      <c r="D13" s="108"/>
      <c r="E13" s="108"/>
      <c r="F13" s="14">
        <f t="shared" si="0"/>
        <v>0</v>
      </c>
    </row>
    <row r="14" spans="1:8" ht="23.25" customHeight="1" thickBot="1" x14ac:dyDescent="0.35">
      <c r="A14" s="21" t="s">
        <v>74</v>
      </c>
      <c r="B14" s="42">
        <f>SUM(B7:B13)</f>
        <v>2030.12</v>
      </c>
      <c r="C14" s="42">
        <f t="shared" ref="C14:F14" si="1">SUM(C7:C13)</f>
        <v>2903.63</v>
      </c>
      <c r="D14" s="42">
        <f t="shared" si="1"/>
        <v>2214.4299999999998</v>
      </c>
      <c r="E14" s="42">
        <f t="shared" si="1"/>
        <v>0</v>
      </c>
      <c r="F14" s="44">
        <f t="shared" si="1"/>
        <v>2719.32</v>
      </c>
    </row>
    <row r="15" spans="1:8" ht="15" thickTop="1" x14ac:dyDescent="0.3">
      <c r="A15" s="2"/>
    </row>
  </sheetData>
  <mergeCells count="2">
    <mergeCell ref="B5:F5"/>
    <mergeCell ref="A5:A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9"/>
  <sheetViews>
    <sheetView showGridLines="0" zoomScaleNormal="100" workbookViewId="0">
      <selection sqref="A1:B9"/>
    </sheetView>
  </sheetViews>
  <sheetFormatPr defaultRowHeight="14.4" x14ac:dyDescent="0.3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</cols>
  <sheetData>
    <row r="1" spans="1:2" x14ac:dyDescent="0.3">
      <c r="A1" t="str">
        <f>VYSVETLIVKY!$B$39</f>
        <v>Poznámky Úč POD 3-01</v>
      </c>
      <c r="B1" s="248" t="str">
        <f>VYSVETLIVKY!$B$40</f>
        <v>IČO : 46043381</v>
      </c>
    </row>
    <row r="2" spans="1:2" x14ac:dyDescent="0.3">
      <c r="B2" s="248" t="str">
        <f>VYSVETLIVKY!$B$41</f>
        <v>DIČ : 2023202038</v>
      </c>
    </row>
    <row r="3" spans="1:2" x14ac:dyDescent="0.3">
      <c r="A3" s="1" t="s">
        <v>401</v>
      </c>
    </row>
    <row r="4" spans="1:2" x14ac:dyDescent="0.3">
      <c r="A4" s="2"/>
    </row>
    <row r="5" spans="1:2" ht="15" thickBot="1" x14ac:dyDescent="0.35">
      <c r="A5" s="2" t="s">
        <v>9</v>
      </c>
    </row>
    <row r="6" spans="1:2" ht="24" customHeight="1" thickTop="1" thickBot="1" x14ac:dyDescent="0.35">
      <c r="A6" s="9" t="s">
        <v>73</v>
      </c>
      <c r="B6" s="10" t="s">
        <v>45</v>
      </c>
    </row>
    <row r="7" spans="1:2" ht="21.6" thickTop="1" thickBot="1" x14ac:dyDescent="0.35">
      <c r="A7" s="11" t="s">
        <v>75</v>
      </c>
      <c r="B7" s="12"/>
    </row>
    <row r="8" spans="1:2" ht="24.75" customHeight="1" thickBot="1" x14ac:dyDescent="0.35">
      <c r="A8" s="15" t="s">
        <v>76</v>
      </c>
      <c r="B8" s="16"/>
    </row>
    <row r="9" spans="1:2" ht="15" thickTop="1" x14ac:dyDescent="0.3">
      <c r="A9" s="46"/>
      <c r="B9" s="1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5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44.44140625" customWidth="1"/>
    <col min="2" max="2" width="42.109375" customWidth="1"/>
    <col min="3" max="3" width="19.109375" customWidth="1"/>
  </cols>
  <sheetData>
    <row r="1" spans="1:2" x14ac:dyDescent="0.3">
      <c r="A1" t="str">
        <f>VYSVETLIVKY!$B$39</f>
        <v>Poznámky Úč POD 3-01</v>
      </c>
      <c r="B1" s="248" t="str">
        <f>VYSVETLIVKY!$B$40</f>
        <v>IČO : 46043381</v>
      </c>
    </row>
    <row r="2" spans="1:2" x14ac:dyDescent="0.3">
      <c r="B2" s="248" t="str">
        <f>VYSVETLIVKY!$B$41</f>
        <v>DIČ : 2023202038</v>
      </c>
    </row>
    <row r="3" spans="1:2" ht="34.5" customHeight="1" thickBot="1" x14ac:dyDescent="0.35">
      <c r="A3" s="268" t="s">
        <v>402</v>
      </c>
      <c r="B3" s="268"/>
    </row>
    <row r="4" spans="1:2" ht="15.6" thickTop="1" thickBot="1" x14ac:dyDescent="0.35">
      <c r="A4" s="9" t="s">
        <v>65</v>
      </c>
      <c r="B4" s="10" t="s">
        <v>26</v>
      </c>
    </row>
    <row r="5" spans="1:2" ht="24" customHeight="1" thickTop="1" thickBot="1" x14ac:dyDescent="0.35">
      <c r="A5" s="11" t="s">
        <v>78</v>
      </c>
      <c r="B5" s="1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6"/>
  <sheetViews>
    <sheetView showGridLines="0" zoomScaleNormal="100" workbookViewId="0">
      <selection sqref="A1:D16"/>
    </sheetView>
  </sheetViews>
  <sheetFormatPr defaultRowHeight="14.4" x14ac:dyDescent="0.3"/>
  <cols>
    <col min="1" max="1" width="22.109375" customWidth="1"/>
    <col min="2" max="4" width="21.44140625" customWidth="1"/>
  </cols>
  <sheetData>
    <row r="1" spans="1:7" x14ac:dyDescent="0.3">
      <c r="A1" t="str">
        <f>VYSVETLIVKY!$B$39</f>
        <v>Poznámky Úč POD 3-01</v>
      </c>
      <c r="D1" s="248" t="str">
        <f>VYSVETLIVKY!$B$40</f>
        <v>IČO : 46043381</v>
      </c>
    </row>
    <row r="2" spans="1:7" x14ac:dyDescent="0.3">
      <c r="D2" s="248" t="str">
        <f>VYSVETLIVKY!$B$41</f>
        <v>DIČ : 2023202038</v>
      </c>
    </row>
    <row r="3" spans="1:7" ht="33" customHeight="1" x14ac:dyDescent="0.3">
      <c r="A3" s="269" t="s">
        <v>403</v>
      </c>
      <c r="B3" s="269"/>
      <c r="C3" s="269"/>
      <c r="D3" s="269"/>
    </row>
    <row r="4" spans="1:7" ht="15" thickBot="1" x14ac:dyDescent="0.35">
      <c r="A4" s="2" t="s">
        <v>7</v>
      </c>
    </row>
    <row r="5" spans="1:7" ht="45" customHeight="1" thickTop="1" thickBot="1" x14ac:dyDescent="0.35">
      <c r="A5" s="43" t="s">
        <v>1</v>
      </c>
      <c r="B5" s="25" t="s">
        <v>345</v>
      </c>
      <c r="C5" s="25" t="s">
        <v>80</v>
      </c>
      <c r="D5" s="25" t="s">
        <v>347</v>
      </c>
    </row>
    <row r="6" spans="1:7" ht="20.25" customHeight="1" thickTop="1" thickBot="1" x14ac:dyDescent="0.35">
      <c r="A6" s="13" t="s">
        <v>82</v>
      </c>
      <c r="B6" s="164">
        <f>SUMIF(HK!A:A,"606*",HK!L:L)-SUMIF(HK!A:A,"606*",HK!K:K)</f>
        <v>0</v>
      </c>
      <c r="C6" s="164">
        <f>SUMIF(HKM!A:A,"606*",HKM!L:L)-SUMIF(HKM!A:A,"606*",HKM!K:K)</f>
        <v>0</v>
      </c>
      <c r="D6" s="14"/>
      <c r="G6" s="189"/>
    </row>
    <row r="7" spans="1:7" ht="20.25" customHeight="1" thickBot="1" x14ac:dyDescent="0.35">
      <c r="A7" s="13" t="s">
        <v>83</v>
      </c>
      <c r="B7" s="14"/>
      <c r="C7" s="14"/>
      <c r="D7" s="14"/>
    </row>
    <row r="8" spans="1:7" ht="20.25" customHeight="1" thickBot="1" x14ac:dyDescent="0.35">
      <c r="A8" s="15" t="s">
        <v>84</v>
      </c>
      <c r="B8" s="16"/>
      <c r="C8" s="16"/>
      <c r="D8" s="16">
        <f>D6+D7</f>
        <v>0</v>
      </c>
    </row>
    <row r="9" spans="1:7" ht="15" thickTop="1" x14ac:dyDescent="0.3">
      <c r="A9" s="33"/>
      <c r="B9" s="18"/>
      <c r="C9" s="18"/>
      <c r="D9" s="18"/>
    </row>
    <row r="10" spans="1:7" x14ac:dyDescent="0.3">
      <c r="A10" s="33"/>
      <c r="B10" s="18"/>
      <c r="C10" s="18"/>
      <c r="D10" s="18"/>
    </row>
    <row r="11" spans="1:7" ht="15" thickBot="1" x14ac:dyDescent="0.35">
      <c r="A11" s="33" t="s">
        <v>90</v>
      </c>
      <c r="B11" s="18"/>
      <c r="C11" s="18"/>
      <c r="D11" s="18"/>
    </row>
    <row r="12" spans="1:7" ht="45" customHeight="1" thickTop="1" thickBot="1" x14ac:dyDescent="0.35">
      <c r="A12" s="43" t="s">
        <v>1</v>
      </c>
      <c r="B12" s="25" t="s">
        <v>345</v>
      </c>
      <c r="C12" s="25" t="s">
        <v>80</v>
      </c>
      <c r="D12" s="25" t="s">
        <v>346</v>
      </c>
    </row>
    <row r="13" spans="1:7" ht="21.6" thickTop="1" thickBot="1" x14ac:dyDescent="0.35">
      <c r="A13" s="13" t="s">
        <v>91</v>
      </c>
      <c r="B13" s="14"/>
      <c r="C13" s="14"/>
      <c r="D13" s="14"/>
    </row>
    <row r="14" spans="1:7" ht="21" thickBot="1" x14ac:dyDescent="0.35">
      <c r="A14" s="13" t="s">
        <v>92</v>
      </c>
      <c r="B14" s="14"/>
      <c r="C14" s="14"/>
      <c r="D14" s="14"/>
    </row>
    <row r="15" spans="1:7" ht="15" thickBot="1" x14ac:dyDescent="0.35">
      <c r="A15" s="15" t="s">
        <v>84</v>
      </c>
      <c r="B15" s="16">
        <f>B13+B14</f>
        <v>0</v>
      </c>
      <c r="C15" s="16">
        <f t="shared" ref="C15:D15" si="0">C13+C14</f>
        <v>0</v>
      </c>
      <c r="D15" s="16">
        <f t="shared" si="0"/>
        <v>0</v>
      </c>
    </row>
    <row r="16" spans="1:7" ht="15" thickTop="1" x14ac:dyDescent="0.3">
      <c r="A16" s="4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9"/>
  <sheetViews>
    <sheetView showGridLines="0" zoomScaleNormal="100" workbookViewId="0">
      <selection sqref="A1:D16"/>
    </sheetView>
  </sheetViews>
  <sheetFormatPr defaultRowHeight="14.4" x14ac:dyDescent="0.3"/>
  <cols>
    <col min="1" max="1" width="28.6640625" customWidth="1"/>
    <col min="2" max="3" width="28.88671875" customWidth="1"/>
    <col min="4" max="4" width="36.5546875" customWidth="1"/>
  </cols>
  <sheetData>
    <row r="1" spans="1:3" x14ac:dyDescent="0.3">
      <c r="A1" t="str">
        <f>VYSVETLIVKY!$B$39</f>
        <v>Poznámky Úč POD 3-01</v>
      </c>
      <c r="C1" s="248" t="str">
        <f>VYSVETLIVKY!$B$40</f>
        <v>IČO : 46043381</v>
      </c>
    </row>
    <row r="2" spans="1:3" x14ac:dyDescent="0.3">
      <c r="C2" s="248" t="str">
        <f>VYSVETLIVKY!$B$41</f>
        <v>DIČ : 2023202038</v>
      </c>
    </row>
    <row r="3" spans="1:3" ht="33" customHeight="1" x14ac:dyDescent="0.3">
      <c r="A3" s="269" t="s">
        <v>403</v>
      </c>
      <c r="B3" s="269"/>
      <c r="C3" s="269"/>
    </row>
    <row r="4" spans="1:3" x14ac:dyDescent="0.3">
      <c r="A4" s="2"/>
    </row>
    <row r="5" spans="1:3" ht="15" thickBot="1" x14ac:dyDescent="0.35">
      <c r="A5" s="18" t="s">
        <v>9</v>
      </c>
      <c r="B5" s="18"/>
      <c r="C5" s="18"/>
    </row>
    <row r="6" spans="1:3" ht="45" customHeight="1" thickTop="1" thickBot="1" x14ac:dyDescent="0.35">
      <c r="A6" s="43" t="s">
        <v>85</v>
      </c>
      <c r="B6" s="25" t="s">
        <v>79</v>
      </c>
      <c r="C6" s="25" t="s">
        <v>81</v>
      </c>
    </row>
    <row r="7" spans="1:3" ht="21.6" thickTop="1" thickBot="1" x14ac:dyDescent="0.35">
      <c r="A7" s="13" t="s">
        <v>86</v>
      </c>
      <c r="B7" s="14"/>
      <c r="C7" s="14"/>
    </row>
    <row r="8" spans="1:3" ht="21" thickBot="1" x14ac:dyDescent="0.35">
      <c r="A8" s="13" t="s">
        <v>87</v>
      </c>
      <c r="B8" s="14"/>
      <c r="C8" s="14"/>
    </row>
    <row r="9" spans="1:3" ht="20.25" customHeight="1" thickBot="1" x14ac:dyDescent="0.35">
      <c r="A9" s="13" t="s">
        <v>88</v>
      </c>
      <c r="B9" s="14"/>
      <c r="C9" s="14"/>
    </row>
    <row r="10" spans="1:3" ht="20.25" customHeight="1" thickBot="1" x14ac:dyDescent="0.35">
      <c r="A10" s="15" t="s">
        <v>89</v>
      </c>
      <c r="B10" s="16"/>
      <c r="C10" s="16"/>
    </row>
    <row r="11" spans="1:3" ht="15" thickTop="1" x14ac:dyDescent="0.3">
      <c r="A11" s="18"/>
      <c r="B11" s="18"/>
      <c r="C11" s="18"/>
    </row>
    <row r="12" spans="1:3" x14ac:dyDescent="0.3">
      <c r="A12" s="34"/>
      <c r="B12" s="18"/>
      <c r="C12" s="18"/>
    </row>
    <row r="13" spans="1:3" ht="15" thickBot="1" x14ac:dyDescent="0.35">
      <c r="A13" s="34" t="s">
        <v>93</v>
      </c>
      <c r="B13" s="18"/>
      <c r="C13" s="18"/>
    </row>
    <row r="14" spans="1:3" ht="45" customHeight="1" thickTop="1" thickBot="1" x14ac:dyDescent="0.35">
      <c r="A14" s="43" t="s">
        <v>94</v>
      </c>
      <c r="B14" s="25" t="s">
        <v>79</v>
      </c>
      <c r="C14" s="25" t="s">
        <v>346</v>
      </c>
    </row>
    <row r="15" spans="1:3" ht="31.8" thickTop="1" thickBot="1" x14ac:dyDescent="0.35">
      <c r="A15" s="13" t="s">
        <v>95</v>
      </c>
      <c r="B15" s="14"/>
      <c r="C15" s="14"/>
    </row>
    <row r="16" spans="1:3" ht="21" thickBot="1" x14ac:dyDescent="0.35">
      <c r="A16" s="13" t="s">
        <v>87</v>
      </c>
      <c r="B16" s="14"/>
      <c r="C16" s="14"/>
    </row>
    <row r="17" spans="1:3" ht="20.25" customHeight="1" thickBot="1" x14ac:dyDescent="0.35">
      <c r="A17" s="13" t="s">
        <v>96</v>
      </c>
      <c r="B17" s="14"/>
      <c r="C17" s="14"/>
    </row>
    <row r="18" spans="1:3" ht="20.25" customHeight="1" thickBot="1" x14ac:dyDescent="0.35">
      <c r="A18" s="15" t="s">
        <v>89</v>
      </c>
      <c r="B18" s="16"/>
      <c r="C18" s="16"/>
    </row>
    <row r="19" spans="1:3" ht="15" thickTop="1" x14ac:dyDescent="0.3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2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25.33203125" customWidth="1"/>
    <col min="2" max="6" width="12.109375" customWidth="1"/>
  </cols>
  <sheetData>
    <row r="1" spans="1:11" x14ac:dyDescent="0.3">
      <c r="A1" t="str">
        <f>VYSVETLIVKY!$B$39</f>
        <v>Poznámky Úč POD 3-01</v>
      </c>
      <c r="F1" s="248" t="str">
        <f>VYSVETLIVKY!$B$40</f>
        <v>IČO : 46043381</v>
      </c>
    </row>
    <row r="2" spans="1:11" x14ac:dyDescent="0.3">
      <c r="F2" s="248" t="str">
        <f>VYSVETLIVKY!$B$41</f>
        <v>DIČ : 2023202038</v>
      </c>
    </row>
    <row r="3" spans="1:11" ht="15" thickBot="1" x14ac:dyDescent="0.35">
      <c r="A3" s="1" t="s">
        <v>404</v>
      </c>
    </row>
    <row r="4" spans="1:11" ht="15.6" thickTop="1" thickBot="1" x14ac:dyDescent="0.35">
      <c r="A4" s="249" t="s">
        <v>97</v>
      </c>
      <c r="B4" s="254" t="s">
        <v>2</v>
      </c>
      <c r="C4" s="255"/>
      <c r="D4" s="255"/>
      <c r="E4" s="255"/>
      <c r="F4" s="256"/>
    </row>
    <row r="5" spans="1:11" ht="62.25" customHeight="1" thickTop="1" thickBot="1" x14ac:dyDescent="0.35">
      <c r="A5" s="264"/>
      <c r="B5" s="127" t="s">
        <v>98</v>
      </c>
      <c r="C5" s="26" t="s">
        <v>322</v>
      </c>
      <c r="D5" s="127" t="s">
        <v>326</v>
      </c>
      <c r="E5" s="26" t="s">
        <v>324</v>
      </c>
      <c r="F5" s="127" t="s">
        <v>68</v>
      </c>
    </row>
    <row r="6" spans="1:11" s="3" customFormat="1" ht="33" customHeight="1" thickTop="1" thickBot="1" x14ac:dyDescent="0.35">
      <c r="A6" s="111" t="s">
        <v>100</v>
      </c>
      <c r="B6" s="193">
        <f>SUMIF(SUAM!C:C,"042",SUAM!E:E)+SUMIF(SUAM!C:C,"054",SUAM!E:E)</f>
        <v>0</v>
      </c>
      <c r="C6" s="132">
        <f>SUMIF(HK!A:A,"391100",HK!I:I)+SUMIF(HK!A:A,"391300",HK!I:I)</f>
        <v>0</v>
      </c>
      <c r="D6" s="132">
        <f>SUMIF(HK!A:A,"391100",HK!J:J)+SUMIF(HK!A:A,"391300",HK!J:J)</f>
        <v>0</v>
      </c>
      <c r="E6" s="132"/>
      <c r="F6" s="194">
        <f>SUMIF(SUA!C:C,"042",SUA!E:E)+SUMIF(SUA!C:C,"054",SUA!E:E)</f>
        <v>0</v>
      </c>
      <c r="G6" s="195"/>
      <c r="H6" s="246"/>
      <c r="I6" s="247"/>
      <c r="K6" s="109"/>
    </row>
    <row r="7" spans="1:11" s="3" customFormat="1" ht="33" customHeight="1" thickBot="1" x14ac:dyDescent="0.35">
      <c r="A7" s="111" t="s">
        <v>101</v>
      </c>
      <c r="B7" s="197">
        <f>SUMIF(SUAM!C:C,"047",SUAM!E:E)+SUMIF(SUAM!C:C,"059",SUAM!E:E)</f>
        <v>0</v>
      </c>
      <c r="C7" s="131"/>
      <c r="D7" s="131"/>
      <c r="E7" s="131"/>
      <c r="F7" s="164">
        <f>SUMIF(SUA!C:C,"047",SUA!E:E)+SUMIF(SUA!C:C,"059",SUA!E:E)</f>
        <v>0</v>
      </c>
      <c r="G7" s="195"/>
      <c r="H7" s="195"/>
      <c r="I7" s="196"/>
      <c r="K7" s="109"/>
    </row>
    <row r="8" spans="1:11" s="3" customFormat="1" ht="33" customHeight="1" thickBot="1" x14ac:dyDescent="0.35">
      <c r="A8" s="111" t="s">
        <v>110</v>
      </c>
      <c r="B8" s="197">
        <f>SUMIF(SUAM!C:C,"048",SUAM!E:E)+SUMIF(SUAM!C:C,"060",SUAM!E:E)</f>
        <v>0</v>
      </c>
      <c r="C8" s="131"/>
      <c r="D8" s="131"/>
      <c r="E8" s="131"/>
      <c r="F8" s="164">
        <f>SUMIF(SUA!C:C,"048",SUA!E:E)+SUMIF(SUA!C:C,"060",SUA!E:E)</f>
        <v>0</v>
      </c>
      <c r="G8" s="195"/>
      <c r="H8" s="195"/>
      <c r="I8" s="196"/>
      <c r="K8" s="109"/>
    </row>
    <row r="9" spans="1:11" s="3" customFormat="1" ht="33" customHeight="1" thickBot="1" x14ac:dyDescent="0.35">
      <c r="A9" s="111" t="s">
        <v>102</v>
      </c>
      <c r="B9" s="197">
        <f>SUMIF(SUAM!C:C,"049",SUAM!E:E)+SUMIF(SUAM!C:C,"061",SUAM!E:E)</f>
        <v>0</v>
      </c>
      <c r="C9" s="131"/>
      <c r="D9" s="131"/>
      <c r="E9" s="131"/>
      <c r="F9" s="164">
        <f>SUMIF(SUA!C:C,"049",SUA!E:E)+SUMIF(SUA!C:C,"061",SUA!E:E)</f>
        <v>0</v>
      </c>
      <c r="G9" s="195"/>
      <c r="H9" s="195"/>
      <c r="I9" s="196"/>
      <c r="K9" s="109"/>
    </row>
    <row r="10" spans="1:11" s="3" customFormat="1" ht="33" customHeight="1" thickBot="1" x14ac:dyDescent="0.35">
      <c r="A10" s="111" t="s">
        <v>103</v>
      </c>
      <c r="B10" s="197">
        <f>SUMIF(SUAM!C:C,"051",SUAM!E:E)+SUMIF(SUAM!C:C,"062",SUAM!E:E)+SUMIF(SUAM!C:C,"063",SUAM!E:E)+SUMIF(SUAM!C:C,"065",SUAM!E:E)</f>
        <v>169.47</v>
      </c>
      <c r="C10" s="131">
        <f>SUMIF(HK!A:A,"391200",HK!I:I)</f>
        <v>4573.4800000000005</v>
      </c>
      <c r="D10" s="131">
        <f>SUMIF(HK!A:A,"391200",HK!J:J)</f>
        <v>4566.55</v>
      </c>
      <c r="E10" s="131"/>
      <c r="F10" s="164">
        <f>SUMIF(SUA!C:C,"051",SUA!E:E)+SUMIF(SUA!C:C,"062",SUA!E:E)+SUMIF(SUA!C:C,"063",SUA!E:E)+SUMIF(SUAM!C:C,"065",SUA!E:E)</f>
        <v>162.54</v>
      </c>
      <c r="G10" s="195"/>
      <c r="H10" s="195"/>
      <c r="I10" s="196"/>
      <c r="K10" s="109"/>
    </row>
    <row r="11" spans="1:11" s="3" customFormat="1" ht="33" customHeight="1" thickBot="1" x14ac:dyDescent="0.35">
      <c r="A11" s="112" t="s">
        <v>104</v>
      </c>
      <c r="B11" s="128">
        <f>SUM(B6:B10)</f>
        <v>169.47</v>
      </c>
      <c r="C11" s="128">
        <f t="shared" ref="C11:E11" si="0">SUM(C6:C10)</f>
        <v>4573.4800000000005</v>
      </c>
      <c r="D11" s="128">
        <f t="shared" si="0"/>
        <v>4566.55</v>
      </c>
      <c r="E11" s="128">
        <f t="shared" si="0"/>
        <v>0</v>
      </c>
      <c r="F11" s="129">
        <f>SUM(F6:F10)</f>
        <v>162.54</v>
      </c>
    </row>
    <row r="12" spans="1:11" ht="15" thickTop="1" x14ac:dyDescent="0.3"/>
  </sheetData>
  <mergeCells count="2">
    <mergeCell ref="B4:F4"/>
    <mergeCell ref="A4:A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2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25.88671875" customWidth="1"/>
    <col min="2" max="4" width="20.109375" customWidth="1"/>
    <col min="5" max="6" width="20.44140625" customWidth="1"/>
  </cols>
  <sheetData>
    <row r="1" spans="1:6" x14ac:dyDescent="0.3">
      <c r="A1" t="str">
        <f>VYSVETLIVKY!$B$39</f>
        <v>Poznámky Úč POD 3-01</v>
      </c>
      <c r="D1" s="248" t="str">
        <f>VYSVETLIVKY!$B$40</f>
        <v>IČO : 46043381</v>
      </c>
    </row>
    <row r="2" spans="1:6" x14ac:dyDescent="0.3">
      <c r="D2" s="248" t="str">
        <f>VYSVETLIVKY!$B$41</f>
        <v>DIČ : 2023202038</v>
      </c>
    </row>
    <row r="3" spans="1:6" x14ac:dyDescent="0.3">
      <c r="A3" s="1" t="s">
        <v>405</v>
      </c>
    </row>
    <row r="4" spans="1:6" ht="15" thickBot="1" x14ac:dyDescent="0.35">
      <c r="A4" s="2" t="s">
        <v>7</v>
      </c>
    </row>
    <row r="5" spans="1:6" ht="22.5" customHeight="1" thickTop="1" thickBot="1" x14ac:dyDescent="0.35">
      <c r="A5" s="9" t="s">
        <v>105</v>
      </c>
      <c r="B5" s="10" t="s">
        <v>106</v>
      </c>
      <c r="C5" s="10" t="s">
        <v>107</v>
      </c>
      <c r="D5" s="10" t="s">
        <v>104</v>
      </c>
    </row>
    <row r="6" spans="1:6" ht="22.5" customHeight="1" thickTop="1" thickBot="1" x14ac:dyDescent="0.35">
      <c r="A6" s="47" t="s">
        <v>108</v>
      </c>
      <c r="B6" s="37"/>
      <c r="C6" s="37"/>
      <c r="D6" s="38"/>
    </row>
    <row r="7" spans="1:6" ht="22.5" customHeight="1" thickTop="1" thickBot="1" x14ac:dyDescent="0.35">
      <c r="A7" s="13" t="s">
        <v>109</v>
      </c>
      <c r="B7" s="20"/>
      <c r="C7" s="20"/>
      <c r="D7" s="199">
        <f>SUMIF(SUA!C:C,"042",SUA!D:D)</f>
        <v>0</v>
      </c>
      <c r="E7" s="200"/>
      <c r="F7" s="196"/>
    </row>
    <row r="8" spans="1:6" ht="22.5" customHeight="1" thickBot="1" x14ac:dyDescent="0.35">
      <c r="A8" s="13" t="s">
        <v>101</v>
      </c>
      <c r="B8" s="20"/>
      <c r="C8" s="20"/>
      <c r="D8" s="199">
        <f>SUMIF(SUA!C:C,"047",SUA!D:D)</f>
        <v>0</v>
      </c>
      <c r="E8" s="200"/>
      <c r="F8" s="196"/>
    </row>
    <row r="9" spans="1:6" ht="22.5" customHeight="1" thickBot="1" x14ac:dyDescent="0.35">
      <c r="A9" s="13" t="s">
        <v>110</v>
      </c>
      <c r="B9" s="20"/>
      <c r="C9" s="20"/>
      <c r="D9" s="199">
        <f>SUMIF(SUA!C:C,"048",SUA!D:D)</f>
        <v>0</v>
      </c>
      <c r="E9" s="200"/>
      <c r="F9" s="196"/>
    </row>
    <row r="10" spans="1:6" ht="22.5" customHeight="1" thickBot="1" x14ac:dyDescent="0.35">
      <c r="A10" s="13" t="s">
        <v>102</v>
      </c>
      <c r="B10" s="20"/>
      <c r="C10" s="20"/>
      <c r="D10" s="199">
        <f>SUMIF(SUA!C:C,"049",SUA!D:D)</f>
        <v>0</v>
      </c>
      <c r="E10" s="200"/>
      <c r="F10" s="196"/>
    </row>
    <row r="11" spans="1:6" ht="22.5" customHeight="1" thickBot="1" x14ac:dyDescent="0.35">
      <c r="A11" s="13" t="s">
        <v>103</v>
      </c>
      <c r="B11" s="20">
        <v>1803</v>
      </c>
      <c r="C11" s="20"/>
      <c r="D11" s="199">
        <v>1803</v>
      </c>
      <c r="E11" s="200"/>
      <c r="F11" s="196"/>
    </row>
    <row r="12" spans="1:6" ht="22.5" customHeight="1" thickBot="1" x14ac:dyDescent="0.35">
      <c r="A12" s="21" t="s">
        <v>111</v>
      </c>
      <c r="B12" s="42">
        <f>SUM(B7:B11)</f>
        <v>1803</v>
      </c>
      <c r="C12" s="42">
        <f>SUM(C7:C11)</f>
        <v>0</v>
      </c>
      <c r="D12" s="190">
        <f>SUM(D7:D11)</f>
        <v>1803</v>
      </c>
      <c r="E12" s="200"/>
      <c r="F12" s="200"/>
    </row>
    <row r="13" spans="1:6" ht="22.5" customHeight="1" thickTop="1" thickBot="1" x14ac:dyDescent="0.35">
      <c r="A13" s="47" t="s">
        <v>112</v>
      </c>
      <c r="B13" s="37"/>
      <c r="C13" s="37"/>
      <c r="D13" s="188"/>
      <c r="E13" s="200"/>
      <c r="F13" s="200"/>
    </row>
    <row r="14" spans="1:6" ht="22.5" customHeight="1" thickTop="1" thickBot="1" x14ac:dyDescent="0.35">
      <c r="A14" s="13" t="s">
        <v>113</v>
      </c>
      <c r="B14" s="20">
        <v>30562</v>
      </c>
      <c r="C14" s="20"/>
      <c r="D14" s="199">
        <v>30562</v>
      </c>
      <c r="E14" s="200"/>
      <c r="F14" s="196"/>
    </row>
    <row r="15" spans="1:6" ht="22.5" customHeight="1" thickBot="1" x14ac:dyDescent="0.35">
      <c r="A15" s="13" t="s">
        <v>101</v>
      </c>
      <c r="B15" s="20">
        <v>7332</v>
      </c>
      <c r="C15" s="20"/>
      <c r="D15" s="199">
        <v>7332</v>
      </c>
      <c r="E15" s="200"/>
      <c r="F15" s="196"/>
    </row>
    <row r="16" spans="1:6" ht="22.5" customHeight="1" thickBot="1" x14ac:dyDescent="0.35">
      <c r="A16" s="13" t="s">
        <v>110</v>
      </c>
      <c r="B16" s="20">
        <v>61244</v>
      </c>
      <c r="C16" s="20"/>
      <c r="D16" s="199">
        <v>61244</v>
      </c>
      <c r="E16" s="200"/>
      <c r="F16" s="196"/>
    </row>
    <row r="17" spans="1:6" ht="22.5" customHeight="1" thickBot="1" x14ac:dyDescent="0.35">
      <c r="A17" s="13" t="s">
        <v>102</v>
      </c>
      <c r="B17" s="20"/>
      <c r="C17" s="20"/>
      <c r="D17" s="199">
        <f>SUMIF(SUA!C:C,"060",SUA!D:D)</f>
        <v>0</v>
      </c>
      <c r="E17" s="200"/>
      <c r="F17" s="196"/>
    </row>
    <row r="18" spans="1:6" ht="22.5" customHeight="1" thickBot="1" x14ac:dyDescent="0.35">
      <c r="A18" s="13" t="s">
        <v>114</v>
      </c>
      <c r="B18" s="20"/>
      <c r="C18" s="20"/>
      <c r="D18" s="199">
        <f>SUMIF(SUA!C:C,"061",SUA!D:D)</f>
        <v>0</v>
      </c>
      <c r="E18" s="200"/>
      <c r="F18" s="196"/>
    </row>
    <row r="19" spans="1:6" ht="22.5" customHeight="1" thickBot="1" x14ac:dyDescent="0.35">
      <c r="A19" s="13" t="s">
        <v>115</v>
      </c>
      <c r="B19" s="20"/>
      <c r="C19" s="20"/>
      <c r="D19" s="199">
        <f>SUMIF(SUA!C:C,"062",SUA!D:D)</f>
        <v>0</v>
      </c>
      <c r="E19" s="200"/>
      <c r="F19" s="196"/>
    </row>
    <row r="20" spans="1:6" ht="22.5" customHeight="1" thickBot="1" x14ac:dyDescent="0.35">
      <c r="A20" s="13" t="s">
        <v>103</v>
      </c>
      <c r="B20" s="20">
        <v>163</v>
      </c>
      <c r="C20" s="20"/>
      <c r="D20" s="199">
        <v>163</v>
      </c>
      <c r="E20" s="200"/>
      <c r="F20" s="196"/>
    </row>
    <row r="21" spans="1:6" ht="22.5" customHeight="1" thickBot="1" x14ac:dyDescent="0.35">
      <c r="A21" s="21" t="s">
        <v>116</v>
      </c>
      <c r="B21" s="42">
        <f>SUM(B14:B20)</f>
        <v>99301</v>
      </c>
      <c r="C21" s="42">
        <f>SUM(C14:C20)</f>
        <v>0</v>
      </c>
      <c r="D21" s="44">
        <f>SUM(D14:D20)</f>
        <v>99301</v>
      </c>
    </row>
    <row r="22" spans="1:6" ht="15" thickTop="1" x14ac:dyDescent="0.3">
      <c r="A22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8"/>
  <sheetViews>
    <sheetView showGridLines="0" zoomScaleNormal="100" workbookViewId="0">
      <selection sqref="A1:C8"/>
    </sheetView>
  </sheetViews>
  <sheetFormatPr defaultRowHeight="14.4" x14ac:dyDescent="0.3"/>
  <cols>
    <col min="1" max="1" width="32.44140625" customWidth="1"/>
    <col min="2" max="3" width="27" customWidth="1"/>
    <col min="4" max="6" width="20.44140625" customWidth="1"/>
  </cols>
  <sheetData>
    <row r="1" spans="1:3" x14ac:dyDescent="0.3">
      <c r="A1" t="str">
        <f>VYSVETLIVKY!$B$39</f>
        <v>Poznámky Úč POD 3-01</v>
      </c>
      <c r="C1" s="248" t="str">
        <f>VYSVETLIVKY!$B$40</f>
        <v>IČO : 46043381</v>
      </c>
    </row>
    <row r="2" spans="1:3" x14ac:dyDescent="0.3">
      <c r="C2" s="248" t="str">
        <f>VYSVETLIVKY!$B$41</f>
        <v>DIČ : 2023202038</v>
      </c>
    </row>
    <row r="3" spans="1:3" ht="34.5" customHeight="1" thickBot="1" x14ac:dyDescent="0.35">
      <c r="A3" s="268" t="s">
        <v>406</v>
      </c>
      <c r="B3" s="268"/>
      <c r="C3" s="268"/>
    </row>
    <row r="4" spans="1:3" ht="15.6" thickTop="1" thickBot="1" x14ac:dyDescent="0.35">
      <c r="A4" s="249" t="s">
        <v>117</v>
      </c>
      <c r="B4" s="270" t="s">
        <v>2</v>
      </c>
      <c r="C4" s="271"/>
    </row>
    <row r="5" spans="1:3" ht="15.6" thickTop="1" thickBot="1" x14ac:dyDescent="0.35">
      <c r="A5" s="264"/>
      <c r="B5" s="10" t="s">
        <v>118</v>
      </c>
      <c r="C5" s="43" t="s">
        <v>119</v>
      </c>
    </row>
    <row r="6" spans="1:3" ht="23.25" customHeight="1" thickTop="1" thickBot="1" x14ac:dyDescent="0.35">
      <c r="A6" s="11" t="s">
        <v>120</v>
      </c>
      <c r="B6" s="31"/>
      <c r="C6" s="12"/>
    </row>
    <row r="7" spans="1:3" ht="23.25" customHeight="1" thickBot="1" x14ac:dyDescent="0.35">
      <c r="A7" s="13" t="s">
        <v>121</v>
      </c>
      <c r="B7" s="45" t="s">
        <v>10</v>
      </c>
      <c r="C7" s="14"/>
    </row>
    <row r="8" spans="1:3" x14ac:dyDescent="0.3">
      <c r="A8" s="1"/>
    </row>
  </sheetData>
  <mergeCells count="3">
    <mergeCell ref="A4:A5"/>
    <mergeCell ref="B4:C4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C8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33.33203125" customWidth="1"/>
    <col min="2" max="3" width="26.109375" customWidth="1"/>
  </cols>
  <sheetData>
    <row r="1" spans="1:3" x14ac:dyDescent="0.3">
      <c r="A1" t="str">
        <f>VYSVETLIVKY!$B$39</f>
        <v>Poznámky Úč POD 3-01</v>
      </c>
      <c r="C1" s="248" t="str">
        <f>VYSVETLIVKY!$B$40</f>
        <v>IČO : 46043381</v>
      </c>
    </row>
    <row r="2" spans="1:3" x14ac:dyDescent="0.3">
      <c r="C2" s="248" t="str">
        <f>VYSVETLIVKY!$B$41</f>
        <v>DIČ : 2023202038</v>
      </c>
    </row>
    <row r="3" spans="1:3" ht="15" thickBot="1" x14ac:dyDescent="0.35">
      <c r="A3" s="1" t="s">
        <v>0</v>
      </c>
    </row>
    <row r="4" spans="1:3" ht="21.75" customHeight="1" thickTop="1" thickBot="1" x14ac:dyDescent="0.35">
      <c r="A4" s="9" t="s">
        <v>1</v>
      </c>
      <c r="B4" s="10" t="s">
        <v>2</v>
      </c>
      <c r="C4" s="10" t="s">
        <v>3</v>
      </c>
    </row>
    <row r="5" spans="1:3" ht="22.5" customHeight="1" thickTop="1" thickBot="1" x14ac:dyDescent="0.35">
      <c r="A5" s="11" t="s">
        <v>4</v>
      </c>
      <c r="B5" s="12">
        <v>2</v>
      </c>
      <c r="C5" s="12">
        <v>2</v>
      </c>
    </row>
    <row r="6" spans="1:3" ht="22.5" customHeight="1" thickBot="1" x14ac:dyDescent="0.35">
      <c r="A6" s="13" t="s">
        <v>5</v>
      </c>
      <c r="B6" s="14">
        <v>2</v>
      </c>
      <c r="C6" s="14">
        <v>2</v>
      </c>
    </row>
    <row r="7" spans="1:3" ht="22.5" customHeight="1" thickBot="1" x14ac:dyDescent="0.35">
      <c r="A7" s="15" t="s">
        <v>6</v>
      </c>
      <c r="B7" s="16">
        <v>1</v>
      </c>
      <c r="C7" s="16">
        <v>1</v>
      </c>
    </row>
    <row r="8" spans="1:3" ht="15" thickTop="1" x14ac:dyDescent="0.3"/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E11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33" customWidth="1"/>
    <col min="2" max="3" width="26.6640625" customWidth="1"/>
    <col min="4" max="6" width="20.44140625" customWidth="1"/>
  </cols>
  <sheetData>
    <row r="1" spans="1:5" x14ac:dyDescent="0.3">
      <c r="A1" t="str">
        <f>VYSVETLIVKY!$B$39</f>
        <v>Poznámky Úč POD 3-01</v>
      </c>
      <c r="C1" s="248" t="str">
        <f>VYSVETLIVKY!$B$40</f>
        <v>IČO : 46043381</v>
      </c>
    </row>
    <row r="2" spans="1:5" x14ac:dyDescent="0.3">
      <c r="C2" s="248" t="str">
        <f>VYSVETLIVKY!$B$41</f>
        <v>DIČ : 2023202038</v>
      </c>
    </row>
    <row r="3" spans="1:5" x14ac:dyDescent="0.3">
      <c r="A3" s="1" t="s">
        <v>407</v>
      </c>
    </row>
    <row r="4" spans="1:5" ht="15" thickBot="1" x14ac:dyDescent="0.35">
      <c r="A4" s="4" t="s">
        <v>122</v>
      </c>
    </row>
    <row r="5" spans="1:5" ht="30" customHeight="1" thickTop="1" thickBot="1" x14ac:dyDescent="0.35">
      <c r="A5" s="9" t="s">
        <v>105</v>
      </c>
      <c r="B5" s="10" t="s">
        <v>2</v>
      </c>
      <c r="C5" s="10" t="s">
        <v>3</v>
      </c>
    </row>
    <row r="6" spans="1:5" ht="18.75" customHeight="1" thickTop="1" thickBot="1" x14ac:dyDescent="0.35">
      <c r="A6" s="110" t="s">
        <v>123</v>
      </c>
      <c r="B6" s="201">
        <f>SUMIF(SUA!C:C,"072",SUA!F:F)</f>
        <v>3174.3</v>
      </c>
      <c r="C6" s="202">
        <f>SUMIF(SUA!C:C,"072",SUA!G:G)</f>
        <v>1357.73</v>
      </c>
      <c r="D6" s="200"/>
      <c r="E6" s="196"/>
    </row>
    <row r="7" spans="1:5" ht="15" thickBot="1" x14ac:dyDescent="0.35">
      <c r="A7" s="111" t="s">
        <v>124</v>
      </c>
      <c r="B7" s="203">
        <f>SUMIF(SUA!C:C,"073",SUA!F:F)-(SUMIF(HK!A:A,"261*",HK!K:K)+SUMIF(HK!A:A,"261*",HK!L:L))</f>
        <v>0</v>
      </c>
      <c r="C7" s="204">
        <f>SUMIF(SUA!C:C,"073",SUA!G:G)-(SUMIF(HK!A:A,"261*",HK!C:C)+SUMIF(HK!A:A,"261*",HK!D:D))</f>
        <v>0</v>
      </c>
      <c r="D7" s="200"/>
      <c r="E7" s="196"/>
    </row>
    <row r="8" spans="1:5" ht="18.75" customHeight="1" thickBot="1" x14ac:dyDescent="0.35">
      <c r="A8" s="111" t="s">
        <v>125</v>
      </c>
      <c r="B8" s="203">
        <f>SUMIF(SUA!C:C,"030",SUA!F:F)</f>
        <v>0</v>
      </c>
      <c r="C8" s="204">
        <f>SUMIF(SUA!C:C,"030",SUA!G:G)</f>
        <v>0</v>
      </c>
      <c r="D8" s="200"/>
      <c r="E8" s="196"/>
    </row>
    <row r="9" spans="1:5" ht="18.75" customHeight="1" thickBot="1" x14ac:dyDescent="0.35">
      <c r="A9" s="111" t="s">
        <v>126</v>
      </c>
      <c r="B9" s="203">
        <f>SUMIF(HK!A:A,"261*",HK!K:K)-SUMIF(HK!A:A,"261*",HK!L:L)</f>
        <v>0</v>
      </c>
      <c r="C9" s="204">
        <f>SUMIF(HK!A:A,"261*",HK!C:C)-SUMIF(HK!A:A,"261*",HK!D:D)</f>
        <v>0</v>
      </c>
      <c r="D9" s="200"/>
      <c r="E9" s="196"/>
    </row>
    <row r="10" spans="1:5" ht="18.75" customHeight="1" thickBot="1" x14ac:dyDescent="0.35">
      <c r="A10" s="112" t="s">
        <v>8</v>
      </c>
      <c r="B10" s="113">
        <f>SUM(B6:B9)</f>
        <v>3174.3</v>
      </c>
      <c r="C10" s="44">
        <f>SUM(C6:C9)</f>
        <v>1357.73</v>
      </c>
    </row>
    <row r="11" spans="1:5" ht="15" thickTop="1" x14ac:dyDescent="0.3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6"/>
  <sheetViews>
    <sheetView showGridLines="0" zoomScaleNormal="100" workbookViewId="0">
      <selection sqref="A1:E16"/>
    </sheetView>
  </sheetViews>
  <sheetFormatPr defaultRowHeight="14.4" x14ac:dyDescent="0.3"/>
  <cols>
    <col min="1" max="1" width="24.5546875" customWidth="1"/>
    <col min="2" max="5" width="15.44140625" customWidth="1"/>
    <col min="6" max="6" width="20.44140625" customWidth="1"/>
  </cols>
  <sheetData>
    <row r="1" spans="1:7" x14ac:dyDescent="0.3">
      <c r="A1" t="str">
        <f>VYSVETLIVKY!$B$39</f>
        <v>Poznámky Úč POD 3-01</v>
      </c>
      <c r="E1" s="248" t="str">
        <f>VYSVETLIVKY!$B$40</f>
        <v>IČO : 46043381</v>
      </c>
    </row>
    <row r="2" spans="1:7" x14ac:dyDescent="0.3">
      <c r="E2" s="248" t="str">
        <f>VYSVETLIVKY!$B$41</f>
        <v>DIČ : 2023202038</v>
      </c>
    </row>
    <row r="3" spans="1:7" x14ac:dyDescent="0.3">
      <c r="A3" s="1" t="s">
        <v>407</v>
      </c>
    </row>
    <row r="5" spans="1:7" ht="15" thickBot="1" x14ac:dyDescent="0.35">
      <c r="A5" s="4" t="s">
        <v>9</v>
      </c>
    </row>
    <row r="6" spans="1:7" ht="15.6" thickTop="1" thickBot="1" x14ac:dyDescent="0.35">
      <c r="A6" s="249" t="s">
        <v>127</v>
      </c>
      <c r="B6" s="254" t="s">
        <v>2</v>
      </c>
      <c r="C6" s="255"/>
      <c r="D6" s="255"/>
      <c r="E6" s="256"/>
    </row>
    <row r="7" spans="1:7" ht="18" customHeight="1" thickTop="1" x14ac:dyDescent="0.3">
      <c r="A7" s="250"/>
      <c r="B7" s="250" t="s">
        <v>23</v>
      </c>
      <c r="C7" s="250" t="s">
        <v>18</v>
      </c>
      <c r="D7" s="250" t="s">
        <v>19</v>
      </c>
      <c r="E7" s="250" t="s">
        <v>21</v>
      </c>
    </row>
    <row r="8" spans="1:7" ht="17.25" customHeight="1" thickBot="1" x14ac:dyDescent="0.35">
      <c r="A8" s="264"/>
      <c r="B8" s="264"/>
      <c r="C8" s="264"/>
      <c r="D8" s="264"/>
      <c r="E8" s="264"/>
    </row>
    <row r="9" spans="1:7" ht="21.75" customHeight="1" thickTop="1" thickBot="1" x14ac:dyDescent="0.35">
      <c r="A9" s="13" t="s">
        <v>128</v>
      </c>
      <c r="B9" s="164">
        <f>SUMIF(HK!A:A,"251*",HK!C:C)-SUMIF(HK!A:A,"251*",HK!D:D)</f>
        <v>0</v>
      </c>
      <c r="C9" s="131"/>
      <c r="D9" s="131"/>
      <c r="E9" s="199">
        <f>SUMIF(HK!A:A,"251*",HK!K:K)-SUMIF(HK!A:A,"251*",HK!L:L)</f>
        <v>0</v>
      </c>
      <c r="F9" s="200"/>
      <c r="G9" s="196"/>
    </row>
    <row r="10" spans="1:7" ht="21.75" customHeight="1" thickBot="1" x14ac:dyDescent="0.35">
      <c r="A10" s="13" t="s">
        <v>129</v>
      </c>
      <c r="B10" s="164">
        <f>SUMIF(HK!A:A,"253*",HK!C:C)-SUMIF(HK!A:A,"253*",HK!D:D)</f>
        <v>0</v>
      </c>
      <c r="C10" s="131"/>
      <c r="D10" s="131"/>
      <c r="E10" s="199">
        <f>SUMIF(HK!A:A,"253*",HK!K:K)-SUMIF(HK!A:A,"253*",HK!L:L)</f>
        <v>0</v>
      </c>
      <c r="F10" s="200"/>
      <c r="G10" s="196"/>
    </row>
    <row r="11" spans="1:7" ht="21.75" customHeight="1" thickBot="1" x14ac:dyDescent="0.35">
      <c r="A11" s="13" t="s">
        <v>130</v>
      </c>
      <c r="B11" s="164"/>
      <c r="C11" s="131"/>
      <c r="D11" s="131"/>
      <c r="E11" s="199"/>
      <c r="F11" s="200"/>
      <c r="G11" s="200"/>
    </row>
    <row r="12" spans="1:7" ht="21.75" customHeight="1" thickBot="1" x14ac:dyDescent="0.35">
      <c r="A12" s="13" t="s">
        <v>131</v>
      </c>
      <c r="B12" s="164">
        <f>SUMIF(HK!A:A,"256*",HK!C:C)-SUMIF(HK!A:A,"256*",HK!D:D)</f>
        <v>0</v>
      </c>
      <c r="C12" s="131"/>
      <c r="D12" s="131"/>
      <c r="E12" s="199">
        <f>SUMIF(HK!A:A,"256*",HK!K:K)-SUMIF(HK!A:A,"256*",HK!L:L)</f>
        <v>0</v>
      </c>
      <c r="F12" s="200"/>
      <c r="G12" s="196"/>
    </row>
    <row r="13" spans="1:7" ht="21.75" customHeight="1" thickBot="1" x14ac:dyDescent="0.35">
      <c r="A13" s="13" t="s">
        <v>132</v>
      </c>
      <c r="B13" s="164">
        <f>SUMIF(HK!A:A,"257*",HK!C:C)-SUMIF(HK!A:A,"257*",HK!D:D)</f>
        <v>0</v>
      </c>
      <c r="C13" s="131"/>
      <c r="D13" s="131"/>
      <c r="E13" s="199">
        <f>SUMIF(HK!A:A,"257*",HK!K:K)-SUMIF(HK!A:A,"257*",HK!L:L)</f>
        <v>0</v>
      </c>
      <c r="F13" s="200"/>
      <c r="G13" s="196"/>
    </row>
    <row r="14" spans="1:7" ht="21.75" customHeight="1" thickBot="1" x14ac:dyDescent="0.35">
      <c r="A14" s="13" t="s">
        <v>133</v>
      </c>
      <c r="B14" s="164">
        <f>SUMIF(HK!A:A,"259*",HK!C:C)-SUMIF(HK!A:A,"259*",HK!D:D)</f>
        <v>0</v>
      </c>
      <c r="C14" s="131"/>
      <c r="D14" s="131"/>
      <c r="E14" s="199">
        <f>SUMIF(HK!A:A,"259*",HK!K:K)-SUMIF(HK!A:A,"259*",HK!L:L)</f>
        <v>0</v>
      </c>
      <c r="F14" s="200"/>
      <c r="G14" s="196"/>
    </row>
    <row r="15" spans="1:7" ht="21.75" customHeight="1" thickBot="1" x14ac:dyDescent="0.35">
      <c r="A15" s="21" t="s">
        <v>134</v>
      </c>
      <c r="B15" s="42">
        <f>SUM(B9:B14)</f>
        <v>0</v>
      </c>
      <c r="C15" s="42">
        <f t="shared" ref="C15:E15" si="0">SUM(C9:C14)</f>
        <v>0</v>
      </c>
      <c r="D15" s="42">
        <f t="shared" si="0"/>
        <v>0</v>
      </c>
      <c r="E15" s="44">
        <f t="shared" si="0"/>
        <v>0</v>
      </c>
    </row>
    <row r="16" spans="1:7" ht="15" thickTop="1" x14ac:dyDescent="0.3"/>
  </sheetData>
  <mergeCells count="6">
    <mergeCell ref="A6:A8"/>
    <mergeCell ref="B6:E6"/>
    <mergeCell ref="B7:B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2"/>
  <sheetViews>
    <sheetView showGridLines="0" zoomScaleNormal="100" workbookViewId="0">
      <selection activeCell="N20" sqref="N20"/>
    </sheetView>
  </sheetViews>
  <sheetFormatPr defaultRowHeight="14.4" x14ac:dyDescent="0.3"/>
  <cols>
    <col min="1" max="1" width="21.44140625" customWidth="1"/>
    <col min="2" max="6" width="13" customWidth="1"/>
  </cols>
  <sheetData>
    <row r="1" spans="1:10" x14ac:dyDescent="0.3">
      <c r="A1" t="str">
        <f>VYSVETLIVKY!$B$39</f>
        <v>Poznámky Úč POD 3-01</v>
      </c>
      <c r="F1" s="248" t="str">
        <f>VYSVETLIVKY!$B$40</f>
        <v>IČO : 46043381</v>
      </c>
    </row>
    <row r="2" spans="1:10" x14ac:dyDescent="0.3">
      <c r="F2" s="248" t="str">
        <f>VYSVETLIVKY!$B$41</f>
        <v>DIČ : 2023202038</v>
      </c>
    </row>
    <row r="3" spans="1:10" ht="33.75" customHeight="1" thickBot="1" x14ac:dyDescent="0.35">
      <c r="A3" s="268" t="s">
        <v>408</v>
      </c>
      <c r="B3" s="268"/>
      <c r="C3" s="268"/>
      <c r="D3" s="268"/>
      <c r="E3" s="268"/>
      <c r="F3" s="268"/>
    </row>
    <row r="4" spans="1:10" ht="55.5" customHeight="1" thickTop="1" thickBot="1" x14ac:dyDescent="0.35">
      <c r="A4" s="43" t="s">
        <v>135</v>
      </c>
      <c r="B4" s="43" t="s">
        <v>136</v>
      </c>
      <c r="C4" s="43" t="s">
        <v>137</v>
      </c>
      <c r="D4" s="43" t="s">
        <v>67</v>
      </c>
      <c r="E4" s="43" t="s">
        <v>324</v>
      </c>
      <c r="F4" s="43" t="s">
        <v>138</v>
      </c>
    </row>
    <row r="5" spans="1:10" ht="23.25" customHeight="1" thickTop="1" thickBot="1" x14ac:dyDescent="0.35">
      <c r="A5" s="49" t="s">
        <v>132</v>
      </c>
      <c r="B5" s="164">
        <f>SUMIF(SUAM!C:C,"069",SUAM!E:E)</f>
        <v>0</v>
      </c>
      <c r="C5" s="205"/>
      <c r="D5" s="205"/>
      <c r="E5" s="205"/>
      <c r="F5" s="206">
        <f>SUMIF(SUA!C:C,"069",SUA!E:E)</f>
        <v>0</v>
      </c>
      <c r="G5" s="200"/>
      <c r="H5" s="196"/>
      <c r="J5" s="109"/>
    </row>
    <row r="6" spans="1:10" ht="23.25" customHeight="1" thickBot="1" x14ac:dyDescent="0.35">
      <c r="A6" s="13" t="s">
        <v>133</v>
      </c>
      <c r="B6" s="164">
        <f>SUMIF(SUAM!C:C,"070",SUAM!E:E)</f>
        <v>0</v>
      </c>
      <c r="C6" s="205"/>
      <c r="D6" s="205"/>
      <c r="E6" s="205"/>
      <c r="F6" s="206">
        <f>SUMIF(SUA!C:C,"070",SUA!E:E)</f>
        <v>0</v>
      </c>
      <c r="G6" s="200"/>
      <c r="H6" s="196"/>
      <c r="J6" s="109"/>
    </row>
    <row r="7" spans="1:10" ht="23.25" customHeight="1" thickBot="1" x14ac:dyDescent="0.35">
      <c r="A7" s="21" t="s">
        <v>134</v>
      </c>
      <c r="B7" s="58">
        <f>SUM(B5:B6)</f>
        <v>0</v>
      </c>
      <c r="C7" s="58">
        <f>SUM(C5:C6)</f>
        <v>0</v>
      </c>
      <c r="D7" s="58">
        <f>SUM(D5:D6)</f>
        <v>0</v>
      </c>
      <c r="E7" s="58">
        <f>SUM(E5:E6)</f>
        <v>0</v>
      </c>
      <c r="F7" s="59">
        <f t="shared" ref="F7" si="0">SUM(B7:E7)</f>
        <v>0</v>
      </c>
    </row>
    <row r="8" spans="1:10" ht="15" thickTop="1" x14ac:dyDescent="0.3"/>
    <row r="12" spans="1:10" x14ac:dyDescent="0.3">
      <c r="B12" s="18"/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B5"/>
  <sheetViews>
    <sheetView showGridLines="0" zoomScaleNormal="100" workbookViewId="0">
      <selection activeCell="N20" sqref="N20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2" x14ac:dyDescent="0.3">
      <c r="A1" t="str">
        <f>VYSVETLIVKY!$B$39</f>
        <v>Poznámky Úč POD 3-01</v>
      </c>
      <c r="B1" s="248" t="str">
        <f>VYSVETLIVKY!$B$40</f>
        <v>IČO : 46043381</v>
      </c>
    </row>
    <row r="2" spans="1:2" x14ac:dyDescent="0.3">
      <c r="B2" s="248" t="str">
        <f>VYSVETLIVKY!$B$41</f>
        <v>DIČ : 2023202038</v>
      </c>
    </row>
    <row r="3" spans="1:2" ht="49.5" customHeight="1" thickBot="1" x14ac:dyDescent="0.35">
      <c r="A3" s="268" t="s">
        <v>409</v>
      </c>
      <c r="B3" s="268"/>
    </row>
    <row r="4" spans="1:2" ht="15.6" thickTop="1" thickBot="1" x14ac:dyDescent="0.35">
      <c r="A4" s="52" t="s">
        <v>105</v>
      </c>
      <c r="B4" s="53" t="s">
        <v>26</v>
      </c>
    </row>
    <row r="5" spans="1:2" ht="21.6" thickTop="1" thickBot="1" x14ac:dyDescent="0.35">
      <c r="A5" s="11" t="s">
        <v>139</v>
      </c>
      <c r="B5" s="54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10"/>
  <sheetViews>
    <sheetView showGridLines="0" zoomScaleNormal="100" workbookViewId="0">
      <selection activeCell="N20" sqref="N20"/>
    </sheetView>
  </sheetViews>
  <sheetFormatPr defaultRowHeight="14.4" x14ac:dyDescent="0.3"/>
  <cols>
    <col min="1" max="1" width="26.109375" customWidth="1"/>
    <col min="2" max="4" width="20.109375" customWidth="1"/>
  </cols>
  <sheetData>
    <row r="1" spans="1:4" x14ac:dyDescent="0.3">
      <c r="A1" t="str">
        <f>VYSVETLIVKY!$B$39</f>
        <v>Poznámky Úč POD 3-01</v>
      </c>
      <c r="D1" s="248" t="str">
        <f>VYSVETLIVKY!$B$40</f>
        <v>IČO : 46043381</v>
      </c>
    </row>
    <row r="2" spans="1:4" x14ac:dyDescent="0.3">
      <c r="D2" s="248" t="str">
        <f>VYSVETLIVKY!$B$41</f>
        <v>DIČ : 2023202038</v>
      </c>
    </row>
    <row r="3" spans="1:4" ht="34.5" customHeight="1" thickBot="1" x14ac:dyDescent="0.35">
      <c r="A3" s="268" t="s">
        <v>410</v>
      </c>
      <c r="B3" s="268"/>
      <c r="C3" s="268"/>
      <c r="D3" s="268"/>
    </row>
    <row r="4" spans="1:4" ht="44.25" customHeight="1" thickTop="1" thickBot="1" x14ac:dyDescent="0.35">
      <c r="A4" s="61" t="s">
        <v>135</v>
      </c>
      <c r="B4" s="25" t="s">
        <v>327</v>
      </c>
      <c r="C4" s="25" t="s">
        <v>328</v>
      </c>
      <c r="D4" s="25" t="s">
        <v>329</v>
      </c>
    </row>
    <row r="5" spans="1:4" ht="15.6" thickTop="1" thickBot="1" x14ac:dyDescent="0.35">
      <c r="A5" s="49" t="s">
        <v>128</v>
      </c>
      <c r="B5" s="56"/>
      <c r="C5" s="56"/>
      <c r="D5" s="57"/>
    </row>
    <row r="6" spans="1:4" ht="15" thickBot="1" x14ac:dyDescent="0.35">
      <c r="A6" s="49" t="s">
        <v>129</v>
      </c>
      <c r="B6" s="56"/>
      <c r="C6" s="56"/>
      <c r="D6" s="57"/>
    </row>
    <row r="7" spans="1:4" ht="15" thickBot="1" x14ac:dyDescent="0.35">
      <c r="A7" s="49" t="s">
        <v>140</v>
      </c>
      <c r="B7" s="56"/>
      <c r="C7" s="56"/>
      <c r="D7" s="57"/>
    </row>
    <row r="8" spans="1:4" ht="15" thickBot="1" x14ac:dyDescent="0.35">
      <c r="A8" s="49" t="s">
        <v>132</v>
      </c>
      <c r="B8" s="56"/>
      <c r="C8" s="56"/>
      <c r="D8" s="57"/>
    </row>
    <row r="9" spans="1:4" ht="26.25" customHeight="1" thickBot="1" x14ac:dyDescent="0.35">
      <c r="A9" s="63" t="s">
        <v>134</v>
      </c>
      <c r="B9" s="62"/>
      <c r="C9" s="62"/>
      <c r="D9" s="55"/>
    </row>
    <row r="10" spans="1:4" ht="15" thickTop="1" x14ac:dyDescent="0.3"/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10"/>
  <sheetViews>
    <sheetView showGridLines="0" zoomScaleNormal="100" workbookViewId="0">
      <selection activeCell="N20" sqref="N20"/>
    </sheetView>
  </sheetViews>
  <sheetFormatPr defaultRowHeight="14.4" x14ac:dyDescent="0.3"/>
  <cols>
    <col min="1" max="1" width="14.44140625" customWidth="1"/>
    <col min="2" max="7" width="12" customWidth="1"/>
  </cols>
  <sheetData>
    <row r="1" spans="1:7" x14ac:dyDescent="0.3">
      <c r="A1" t="str">
        <f>VYSVETLIVKY!$B$39</f>
        <v>Poznámky Úč POD 3-01</v>
      </c>
      <c r="G1" s="248" t="str">
        <f>VYSVETLIVKY!$B$40</f>
        <v>IČO : 46043381</v>
      </c>
    </row>
    <row r="2" spans="1:7" x14ac:dyDescent="0.3">
      <c r="G2" s="248" t="str">
        <f>VYSVETLIVKY!$B$41</f>
        <v>DIČ : 2023202038</v>
      </c>
    </row>
    <row r="3" spans="1:7" ht="15" thickBot="1" x14ac:dyDescent="0.35">
      <c r="A3" s="1" t="s">
        <v>411</v>
      </c>
    </row>
    <row r="4" spans="1:7" ht="49.5" customHeight="1" thickTop="1" thickBot="1" x14ac:dyDescent="0.35">
      <c r="A4" s="275" t="s">
        <v>1</v>
      </c>
      <c r="B4" s="272" t="s">
        <v>2</v>
      </c>
      <c r="C4" s="273"/>
      <c r="D4" s="274"/>
      <c r="E4" s="254" t="s">
        <v>348</v>
      </c>
      <c r="F4" s="255"/>
      <c r="G4" s="256"/>
    </row>
    <row r="5" spans="1:7" ht="15.6" thickTop="1" thickBot="1" x14ac:dyDescent="0.35">
      <c r="A5" s="276"/>
      <c r="B5" s="272" t="s">
        <v>141</v>
      </c>
      <c r="C5" s="273"/>
      <c r="D5" s="274"/>
      <c r="E5" s="272" t="s">
        <v>141</v>
      </c>
      <c r="F5" s="273"/>
      <c r="G5" s="274"/>
    </row>
    <row r="6" spans="1:7" s="3" customFormat="1" ht="45" customHeight="1" thickTop="1" thickBot="1" x14ac:dyDescent="0.35">
      <c r="A6" s="277"/>
      <c r="B6" s="19" t="s">
        <v>142</v>
      </c>
      <c r="C6" s="19" t="s">
        <v>143</v>
      </c>
      <c r="D6" s="19" t="s">
        <v>144</v>
      </c>
      <c r="E6" s="19" t="s">
        <v>142</v>
      </c>
      <c r="F6" s="19" t="s">
        <v>143</v>
      </c>
      <c r="G6" s="19" t="s">
        <v>144</v>
      </c>
    </row>
    <row r="7" spans="1:7" ht="15.6" thickTop="1" thickBot="1" x14ac:dyDescent="0.35">
      <c r="A7" s="49" t="s">
        <v>145</v>
      </c>
      <c r="B7" s="56"/>
      <c r="C7" s="56"/>
      <c r="D7" s="56"/>
      <c r="E7" s="56"/>
      <c r="F7" s="56"/>
      <c r="G7" s="57"/>
    </row>
    <row r="8" spans="1:7" ht="15" thickBot="1" x14ac:dyDescent="0.35">
      <c r="A8" s="49" t="s">
        <v>146</v>
      </c>
      <c r="B8" s="56"/>
      <c r="C8" s="56"/>
      <c r="D8" s="56"/>
      <c r="E8" s="56"/>
      <c r="F8" s="56"/>
      <c r="G8" s="57"/>
    </row>
    <row r="9" spans="1:7" ht="15" thickBot="1" x14ac:dyDescent="0.35">
      <c r="A9" s="50" t="s">
        <v>8</v>
      </c>
      <c r="B9" s="62">
        <f>B7+B8</f>
        <v>0</v>
      </c>
      <c r="C9" s="62">
        <f t="shared" ref="C9:G9" si="0">C7+C8</f>
        <v>0</v>
      </c>
      <c r="D9" s="62">
        <f t="shared" si="0"/>
        <v>0</v>
      </c>
      <c r="E9" s="62">
        <f t="shared" si="0"/>
        <v>0</v>
      </c>
      <c r="F9" s="62">
        <f t="shared" si="0"/>
        <v>0</v>
      </c>
      <c r="G9" s="55">
        <f t="shared" si="0"/>
        <v>0</v>
      </c>
    </row>
    <row r="10" spans="1:7" ht="15" thickTop="1" x14ac:dyDescent="0.3"/>
  </sheetData>
  <mergeCells count="5">
    <mergeCell ref="B4:D4"/>
    <mergeCell ref="E4:G4"/>
    <mergeCell ref="B5:D5"/>
    <mergeCell ref="E5:G5"/>
    <mergeCell ref="A4:A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F29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41" customWidth="1"/>
    <col min="2" max="2" width="45.44140625" customWidth="1"/>
    <col min="3" max="3" width="15.6640625" customWidth="1"/>
    <col min="4" max="4" width="14.109375" customWidth="1"/>
    <col min="5" max="5" width="14.44140625" customWidth="1"/>
    <col min="6" max="6" width="15.5546875" customWidth="1"/>
    <col min="7" max="7" width="11.44140625" customWidth="1"/>
  </cols>
  <sheetData>
    <row r="1" spans="1:6" x14ac:dyDescent="0.3">
      <c r="A1" t="str">
        <f>VYSVETLIVKY!$B$39</f>
        <v>Poznámky Úč POD 3-01</v>
      </c>
      <c r="B1" s="248" t="str">
        <f>VYSVETLIVKY!$B$40</f>
        <v>IČO : 46043381</v>
      </c>
    </row>
    <row r="2" spans="1:6" x14ac:dyDescent="0.3">
      <c r="B2" s="248" t="str">
        <f>VYSVETLIVKY!$B$41</f>
        <v>DIČ : 2023202038</v>
      </c>
    </row>
    <row r="3" spans="1:6" ht="34.5" customHeight="1" x14ac:dyDescent="0.3">
      <c r="A3" s="269" t="s">
        <v>412</v>
      </c>
      <c r="B3" s="269"/>
    </row>
    <row r="4" spans="1:6" ht="15" thickBot="1" x14ac:dyDescent="0.35">
      <c r="A4" s="18" t="s">
        <v>7</v>
      </c>
      <c r="B4" s="18"/>
    </row>
    <row r="5" spans="1:6" ht="18.75" customHeight="1" thickTop="1" thickBot="1" x14ac:dyDescent="0.35">
      <c r="A5" s="61" t="s">
        <v>105</v>
      </c>
      <c r="B5" s="35" t="s">
        <v>3</v>
      </c>
    </row>
    <row r="6" spans="1:6" ht="18.75" customHeight="1" thickTop="1" thickBot="1" x14ac:dyDescent="0.35">
      <c r="A6" s="50" t="s">
        <v>147</v>
      </c>
      <c r="B6" s="214">
        <f>IF(SUMIF(SUP!C:C,"100",SUP!E:E)&gt; 0,SUMIF(SUP!C:C,"100",SUP!E:E), 0)</f>
        <v>6103.32</v>
      </c>
      <c r="C6" s="198"/>
      <c r="D6" s="192"/>
      <c r="E6" s="198"/>
      <c r="F6" s="198"/>
    </row>
    <row r="7" spans="1:6" ht="18.75" customHeight="1" thickTop="1" thickBot="1" x14ac:dyDescent="0.35">
      <c r="A7" s="50" t="s">
        <v>148</v>
      </c>
      <c r="B7" s="210" t="s">
        <v>2</v>
      </c>
      <c r="C7" s="198"/>
      <c r="D7" s="198"/>
      <c r="E7" s="198"/>
      <c r="F7" s="198"/>
    </row>
    <row r="8" spans="1:6" ht="18.75" customHeight="1" thickTop="1" thickBot="1" x14ac:dyDescent="0.35">
      <c r="A8" s="49" t="s">
        <v>149</v>
      </c>
      <c r="B8" s="211"/>
      <c r="C8" s="198"/>
      <c r="D8" s="198"/>
      <c r="E8" s="198"/>
      <c r="F8" s="198"/>
    </row>
    <row r="9" spans="1:6" ht="18.75" customHeight="1" thickBot="1" x14ac:dyDescent="0.35">
      <c r="A9" s="49" t="s">
        <v>150</v>
      </c>
      <c r="B9" s="211"/>
      <c r="C9" s="198"/>
      <c r="D9" s="198"/>
      <c r="E9" s="198"/>
      <c r="F9" s="198"/>
    </row>
    <row r="10" spans="1:6" ht="18.75" customHeight="1" thickBot="1" x14ac:dyDescent="0.35">
      <c r="A10" s="49" t="s">
        <v>151</v>
      </c>
      <c r="B10" s="211"/>
      <c r="C10" s="198"/>
      <c r="D10" s="198"/>
      <c r="E10" s="198"/>
      <c r="F10" s="198"/>
    </row>
    <row r="11" spans="1:6" ht="18.75" customHeight="1" thickBot="1" x14ac:dyDescent="0.35">
      <c r="A11" s="49" t="s">
        <v>152</v>
      </c>
      <c r="B11" s="211"/>
      <c r="C11" s="198"/>
      <c r="D11" s="198"/>
      <c r="E11" s="198"/>
      <c r="F11" s="198"/>
    </row>
    <row r="12" spans="1:6" ht="18.75" customHeight="1" thickBot="1" x14ac:dyDescent="0.35">
      <c r="A12" s="49" t="s">
        <v>153</v>
      </c>
      <c r="B12" s="211"/>
      <c r="C12" s="198"/>
      <c r="D12" s="198"/>
      <c r="E12" s="198"/>
      <c r="F12" s="198"/>
    </row>
    <row r="13" spans="1:6" ht="18.75" customHeight="1" thickBot="1" x14ac:dyDescent="0.35">
      <c r="A13" s="49" t="s">
        <v>154</v>
      </c>
      <c r="B13" s="211">
        <v>6103.32</v>
      </c>
      <c r="C13" s="198"/>
      <c r="D13" s="198"/>
      <c r="E13" s="198"/>
      <c r="F13" s="198"/>
    </row>
    <row r="14" spans="1:6" ht="18.75" customHeight="1" thickBot="1" x14ac:dyDescent="0.35">
      <c r="A14" s="49" t="s">
        <v>155</v>
      </c>
      <c r="B14" s="211"/>
      <c r="C14" s="198"/>
      <c r="D14" s="198"/>
      <c r="E14" s="198"/>
      <c r="F14" s="198"/>
    </row>
    <row r="15" spans="1:6" ht="18.75" customHeight="1" thickBot="1" x14ac:dyDescent="0.35">
      <c r="A15" s="49" t="s">
        <v>156</v>
      </c>
      <c r="B15" s="211"/>
      <c r="C15" s="198"/>
      <c r="D15" s="198"/>
      <c r="E15" s="198"/>
      <c r="F15" s="198"/>
    </row>
    <row r="16" spans="1:6" ht="18.75" customHeight="1" thickBot="1" x14ac:dyDescent="0.35">
      <c r="A16" s="50" t="s">
        <v>8</v>
      </c>
      <c r="B16" s="212">
        <f>SUM(B8:B15)</f>
        <v>6103.32</v>
      </c>
      <c r="C16" s="198"/>
      <c r="D16" s="198"/>
      <c r="E16" s="198"/>
      <c r="F16" s="198"/>
    </row>
    <row r="17" spans="1:6" ht="18.75" customHeight="1" thickTop="1" x14ac:dyDescent="0.3">
      <c r="A17" s="18"/>
      <c r="B17" s="177"/>
      <c r="C17" s="198"/>
      <c r="D17" s="198"/>
      <c r="E17" s="198"/>
      <c r="F17" s="198"/>
    </row>
    <row r="18" spans="1:6" ht="18.75" customHeight="1" thickBot="1" x14ac:dyDescent="0.35">
      <c r="A18" s="18" t="s">
        <v>9</v>
      </c>
      <c r="B18" s="177"/>
      <c r="C18" s="198"/>
      <c r="D18" s="198"/>
      <c r="E18" s="198"/>
      <c r="F18" s="198"/>
    </row>
    <row r="19" spans="1:6" ht="18.75" customHeight="1" thickTop="1" thickBot="1" x14ac:dyDescent="0.35">
      <c r="A19" s="61" t="s">
        <v>105</v>
      </c>
      <c r="B19" s="213" t="s">
        <v>3</v>
      </c>
      <c r="C19" s="198"/>
      <c r="D19" s="198"/>
      <c r="E19" s="198"/>
      <c r="F19" s="198"/>
    </row>
    <row r="20" spans="1:6" ht="18.75" customHeight="1" thickTop="1" thickBot="1" x14ac:dyDescent="0.35">
      <c r="A20" s="50" t="s">
        <v>157</v>
      </c>
      <c r="B20" s="214">
        <f>IF(SUMIF(SUP!C:C,"100",SUP!E:E)&gt; 0,0,SUMIF(SUP!C:C,"100",SUP!E:E))</f>
        <v>0</v>
      </c>
      <c r="C20" s="198"/>
      <c r="D20" s="192"/>
      <c r="E20" s="198"/>
      <c r="F20" s="198"/>
    </row>
    <row r="21" spans="1:6" ht="18.75" customHeight="1" thickTop="1" thickBot="1" x14ac:dyDescent="0.35">
      <c r="A21" s="50" t="s">
        <v>158</v>
      </c>
      <c r="B21" s="210" t="s">
        <v>2</v>
      </c>
      <c r="C21" s="198"/>
      <c r="D21" s="198"/>
      <c r="E21" s="198"/>
      <c r="F21" s="198"/>
    </row>
    <row r="22" spans="1:6" ht="18.75" customHeight="1" thickTop="1" thickBot="1" x14ac:dyDescent="0.35">
      <c r="A22" s="49" t="s">
        <v>159</v>
      </c>
      <c r="B22" s="211"/>
      <c r="C22" s="198"/>
      <c r="D22" s="198"/>
      <c r="E22" s="198"/>
      <c r="F22" s="198"/>
    </row>
    <row r="23" spans="1:6" ht="18.75" customHeight="1" thickBot="1" x14ac:dyDescent="0.35">
      <c r="A23" s="49" t="s">
        <v>160</v>
      </c>
      <c r="B23" s="57"/>
    </row>
    <row r="24" spans="1:6" ht="18.75" customHeight="1" thickBot="1" x14ac:dyDescent="0.35">
      <c r="A24" s="49" t="s">
        <v>161</v>
      </c>
      <c r="B24" s="57"/>
    </row>
    <row r="25" spans="1:6" ht="18.75" customHeight="1" thickBot="1" x14ac:dyDescent="0.35">
      <c r="A25" s="49" t="s">
        <v>162</v>
      </c>
      <c r="B25" s="57"/>
    </row>
    <row r="26" spans="1:6" ht="18.75" customHeight="1" thickBot="1" x14ac:dyDescent="0.35">
      <c r="A26" s="49" t="s">
        <v>163</v>
      </c>
      <c r="B26" s="57"/>
    </row>
    <row r="27" spans="1:6" ht="18.75" customHeight="1" thickBot="1" x14ac:dyDescent="0.35">
      <c r="A27" s="49" t="s">
        <v>156</v>
      </c>
      <c r="B27" s="57"/>
    </row>
    <row r="28" spans="1:6" ht="18.75" customHeight="1" thickBot="1" x14ac:dyDescent="0.35">
      <c r="A28" s="50" t="s">
        <v>164</v>
      </c>
      <c r="B28" s="55">
        <f>SUM(B22:B27)</f>
        <v>0</v>
      </c>
    </row>
    <row r="29" spans="1:6" ht="15" thickTop="1" x14ac:dyDescent="0.3">
      <c r="A29" s="1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9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20.6640625" customWidth="1"/>
    <col min="2" max="2" width="16.109375" bestFit="1" customWidth="1"/>
    <col min="3" max="5" width="13.109375" customWidth="1"/>
    <col min="6" max="6" width="16.109375" bestFit="1" customWidth="1"/>
    <col min="7" max="7" width="23.33203125" customWidth="1"/>
  </cols>
  <sheetData>
    <row r="1" spans="1:9" x14ac:dyDescent="0.3">
      <c r="A1" t="str">
        <f>VYSVETLIVKY!$B$39</f>
        <v>Poznámky Úč POD 3-01</v>
      </c>
      <c r="F1" s="248" t="str">
        <f>VYSVETLIVKY!$B$40</f>
        <v>IČO : 46043381</v>
      </c>
    </row>
    <row r="2" spans="1:9" x14ac:dyDescent="0.3">
      <c r="F2" s="248" t="str">
        <f>VYSVETLIVKY!$B$41</f>
        <v>DIČ : 2023202038</v>
      </c>
    </row>
    <row r="3" spans="1:9" ht="16.5" customHeight="1" x14ac:dyDescent="0.3">
      <c r="A3" s="269" t="s">
        <v>413</v>
      </c>
      <c r="B3" s="269"/>
      <c r="C3" s="269"/>
      <c r="D3" s="269"/>
      <c r="E3" s="269"/>
      <c r="F3" s="269"/>
    </row>
    <row r="4" spans="1:9" ht="15" thickBot="1" x14ac:dyDescent="0.35">
      <c r="A4" s="18" t="s">
        <v>7</v>
      </c>
      <c r="B4" s="18"/>
      <c r="C4" s="18"/>
      <c r="D4" s="18"/>
      <c r="E4" s="18"/>
      <c r="F4" s="18"/>
    </row>
    <row r="5" spans="1:9" ht="15.6" thickTop="1" thickBot="1" x14ac:dyDescent="0.35">
      <c r="A5" s="275" t="s">
        <v>105</v>
      </c>
      <c r="B5" s="272" t="s">
        <v>2</v>
      </c>
      <c r="C5" s="273"/>
      <c r="D5" s="273"/>
      <c r="E5" s="273"/>
      <c r="F5" s="274"/>
    </row>
    <row r="6" spans="1:9" s="3" customFormat="1" ht="33" customHeight="1" thickTop="1" thickBot="1" x14ac:dyDescent="0.35">
      <c r="A6" s="277"/>
      <c r="B6" s="19" t="s">
        <v>23</v>
      </c>
      <c r="C6" s="19" t="s">
        <v>99</v>
      </c>
      <c r="D6" s="73" t="s">
        <v>165</v>
      </c>
      <c r="E6" s="23" t="s">
        <v>166</v>
      </c>
      <c r="F6" s="19" t="s">
        <v>21</v>
      </c>
    </row>
    <row r="7" spans="1:9" ht="21" customHeight="1" thickTop="1" thickBot="1" x14ac:dyDescent="0.35">
      <c r="A7" s="63" t="s">
        <v>167</v>
      </c>
      <c r="B7" s="209">
        <f>SUMIF(HK!A:A,"459*",HK!D:D)-SUMIF(HK!A:A,"459*",HK!C:C)</f>
        <v>0</v>
      </c>
      <c r="C7" s="217">
        <f>SUM(C8:C12)</f>
        <v>0</v>
      </c>
      <c r="D7" s="217">
        <f t="shared" ref="D7:E7" si="0">SUM(D8:D12)</f>
        <v>0</v>
      </c>
      <c r="E7" s="217">
        <f t="shared" si="0"/>
        <v>0</v>
      </c>
      <c r="F7" s="224">
        <f>SUMIF(HK!A:A,"459*",HK!L:L)-SUMIF(HK!A:A,"459*",HK!K:K)</f>
        <v>0</v>
      </c>
      <c r="G7" s="200"/>
      <c r="H7" s="196"/>
      <c r="I7" s="200"/>
    </row>
    <row r="8" spans="1:9" ht="21" customHeight="1" thickTop="1" thickBot="1" x14ac:dyDescent="0.35">
      <c r="A8" s="79"/>
      <c r="B8" s="207"/>
      <c r="C8" s="205"/>
      <c r="D8" s="218"/>
      <c r="E8" s="218"/>
      <c r="F8" s="219">
        <f t="shared" ref="F8:F12" si="1">SUM(B8:E8)</f>
        <v>0</v>
      </c>
      <c r="G8" s="200"/>
      <c r="H8" s="200"/>
      <c r="I8" s="200"/>
    </row>
    <row r="9" spans="1:9" ht="21" customHeight="1" thickBot="1" x14ac:dyDescent="0.35">
      <c r="A9" s="79"/>
      <c r="B9" s="207"/>
      <c r="C9" s="205"/>
      <c r="D9" s="220"/>
      <c r="E9" s="220"/>
      <c r="F9" s="219">
        <f t="shared" si="1"/>
        <v>0</v>
      </c>
      <c r="G9" s="200"/>
      <c r="H9" s="200"/>
      <c r="I9" s="200"/>
    </row>
    <row r="10" spans="1:9" ht="21" customHeight="1" thickBot="1" x14ac:dyDescent="0.35">
      <c r="A10" s="79"/>
      <c r="B10" s="207"/>
      <c r="C10" s="205"/>
      <c r="D10" s="220"/>
      <c r="E10" s="220"/>
      <c r="F10" s="219">
        <f t="shared" si="1"/>
        <v>0</v>
      </c>
      <c r="G10" s="200"/>
      <c r="H10" s="200"/>
      <c r="I10" s="200"/>
    </row>
    <row r="11" spans="1:9" ht="21" customHeight="1" thickBot="1" x14ac:dyDescent="0.35">
      <c r="A11" s="79"/>
      <c r="B11" s="207"/>
      <c r="C11" s="205"/>
      <c r="D11" s="220"/>
      <c r="E11" s="220"/>
      <c r="F11" s="219">
        <f t="shared" si="1"/>
        <v>0</v>
      </c>
      <c r="G11" s="200"/>
      <c r="H11" s="200"/>
      <c r="I11" s="200"/>
    </row>
    <row r="12" spans="1:9" ht="21" customHeight="1" thickBot="1" x14ac:dyDescent="0.35">
      <c r="A12" s="101"/>
      <c r="B12" s="208"/>
      <c r="C12" s="221"/>
      <c r="D12" s="222"/>
      <c r="E12" s="222"/>
      <c r="F12" s="223">
        <f t="shared" si="1"/>
        <v>0</v>
      </c>
      <c r="G12" s="200"/>
      <c r="H12" s="200"/>
      <c r="I12" s="200"/>
    </row>
    <row r="13" spans="1:9" ht="21" customHeight="1" thickTop="1" thickBot="1" x14ac:dyDescent="0.35">
      <c r="A13" s="63" t="s">
        <v>168</v>
      </c>
      <c r="B13" s="225">
        <f>SUMIF(HK!A:A,"323*",HK!D:D)-SUMIF(HK!A:A,"323*",HK!C:C)</f>
        <v>6268.7800000000007</v>
      </c>
      <c r="C13" s="221">
        <f>SUMIF(HK!A:A,"323*",HK!J:J)</f>
        <v>10658.560000000001</v>
      </c>
      <c r="D13" s="221">
        <f>SUMIF(HK!A:A,"323*",HK!I:I)</f>
        <v>9817.2800000000007</v>
      </c>
      <c r="E13" s="221">
        <f t="shared" ref="E13" si="2">SUM(E14:E18)</f>
        <v>0</v>
      </c>
      <c r="F13" s="226">
        <f>SUMIF(HK!A:A,"323*",HK!L:L)-SUMIF(HK!A:A,"323*",HK!K:K)</f>
        <v>7110.06</v>
      </c>
      <c r="G13" s="200"/>
      <c r="H13" s="196"/>
      <c r="I13" s="200"/>
    </row>
    <row r="14" spans="1:9" ht="21" customHeight="1" thickTop="1" thickBot="1" x14ac:dyDescent="0.35">
      <c r="A14" s="79" t="s">
        <v>427</v>
      </c>
      <c r="B14" s="207">
        <f>SUMIF(HK!A:A,"323100",HK!D:D)-SUMIF(HK!A:A,"323100",HK!C:C)</f>
        <v>2003.88</v>
      </c>
      <c r="C14" s="205">
        <f>SUMIF(HK!A:A,"323100",HK!J:J)</f>
        <v>-581.24</v>
      </c>
      <c r="D14" s="218">
        <f>SUMIF(HK!A:A,"323100",HK!I:I)</f>
        <v>0</v>
      </c>
      <c r="E14" s="218"/>
      <c r="F14" s="219">
        <f>B14+C14-D14</f>
        <v>1422.64</v>
      </c>
      <c r="G14" s="200"/>
      <c r="H14" s="200"/>
      <c r="I14" s="200"/>
    </row>
    <row r="15" spans="1:9" ht="21" customHeight="1" thickBot="1" x14ac:dyDescent="0.35">
      <c r="A15" s="79" t="s">
        <v>428</v>
      </c>
      <c r="B15" s="107">
        <f>SUMIF(HK!A:A,"323200",HK!D:D)-SUMIF(HK!A:A,"323200",HK!C:C)</f>
        <v>0</v>
      </c>
      <c r="C15" s="56">
        <v>10603.28</v>
      </c>
      <c r="D15" s="90">
        <v>9047.2800000000007</v>
      </c>
      <c r="E15" s="90"/>
      <c r="F15" s="219">
        <f>B15+C15-D15</f>
        <v>1556</v>
      </c>
    </row>
    <row r="16" spans="1:9" ht="21" customHeight="1" thickBot="1" x14ac:dyDescent="0.35">
      <c r="A16" s="79" t="s">
        <v>429</v>
      </c>
      <c r="B16" s="107">
        <f>SUMIF(HK!A:A,"323210",HK!D:D)-SUMIF(HK!A:A,"323210",HK!C:C)</f>
        <v>1269.8</v>
      </c>
      <c r="C16" s="56">
        <f>SUMIF(HK!A:A,"323210",HK!J:J)</f>
        <v>-409.8</v>
      </c>
      <c r="D16" s="90">
        <f>SUMIF(HK!A:A,"323210",HK!I:I)</f>
        <v>770</v>
      </c>
      <c r="E16" s="90"/>
      <c r="F16" s="219">
        <f>B16+C16-D16</f>
        <v>90</v>
      </c>
    </row>
    <row r="17" spans="1:9" ht="21" customHeight="1" thickBot="1" x14ac:dyDescent="0.35">
      <c r="A17" s="79" t="s">
        <v>430</v>
      </c>
      <c r="B17" s="107">
        <v>1757.6</v>
      </c>
      <c r="C17" s="56">
        <v>924</v>
      </c>
      <c r="D17" s="90"/>
      <c r="E17" s="90"/>
      <c r="F17" s="219">
        <f t="shared" ref="F17" si="3">B17+C17-D17</f>
        <v>2681.6</v>
      </c>
    </row>
    <row r="18" spans="1:9" ht="21" customHeight="1" thickBot="1" x14ac:dyDescent="0.35">
      <c r="A18" s="79" t="s">
        <v>431</v>
      </c>
      <c r="B18" s="107">
        <f>SUMIF(HK!A:A,"323240",HK!D:D)+SUMIF(HK!A:A,"323241",HK!D:D)-SUMIF(HK!A:A,"323240",HK!C:C)-SUMIF(HK!A:A,"323241",HK!C:C)</f>
        <v>1237.5</v>
      </c>
      <c r="C18" s="56">
        <f>SUMIF(HK!A:A,"323240",HK!J:J)+SUMIF(HK!A:A,"323241",HK!J:J)</f>
        <v>122.51999999999998</v>
      </c>
      <c r="D18" s="90">
        <f>SUMIF(HK!A:A,"323240",HK!I:I)+SUMIF(HK!A:A,"323241",HK!I:I)</f>
        <v>0</v>
      </c>
      <c r="E18" s="90"/>
      <c r="F18" s="219">
        <f>B18+C18-D18</f>
        <v>1360.02</v>
      </c>
    </row>
    <row r="19" spans="1:9" ht="21" customHeight="1" thickBot="1" x14ac:dyDescent="0.35">
      <c r="A19" s="101"/>
      <c r="B19" s="117"/>
      <c r="C19" s="58"/>
      <c r="D19" s="100"/>
      <c r="E19" s="100"/>
      <c r="F19" s="219"/>
    </row>
    <row r="20" spans="1:9" ht="15" thickTop="1" x14ac:dyDescent="0.3">
      <c r="A20" s="3"/>
      <c r="B20" s="3"/>
      <c r="C20" s="3"/>
      <c r="D20" s="3"/>
      <c r="E20" s="3"/>
      <c r="F20" s="3"/>
    </row>
    <row r="21" spans="1:9" x14ac:dyDescent="0.3">
      <c r="A21" t="str">
        <f>VYSVETLIVKY!$B$39</f>
        <v>Poznámky Úč POD 3-01</v>
      </c>
      <c r="F21" s="248" t="str">
        <f>VYSVETLIVKY!$B$40</f>
        <v>IČO : 46043381</v>
      </c>
    </row>
    <row r="22" spans="1:9" x14ac:dyDescent="0.3">
      <c r="F22" s="248" t="str">
        <f>VYSVETLIVKY!$B$41</f>
        <v>DIČ : 2023202038</v>
      </c>
    </row>
    <row r="23" spans="1:9" ht="15" thickBot="1" x14ac:dyDescent="0.35">
      <c r="A23" s="18" t="s">
        <v>9</v>
      </c>
      <c r="B23" s="18"/>
      <c r="C23" s="18"/>
      <c r="D23" s="18"/>
      <c r="E23" s="18"/>
      <c r="F23" s="18"/>
    </row>
    <row r="24" spans="1:9" ht="15.6" thickTop="1" thickBot="1" x14ac:dyDescent="0.35">
      <c r="A24" s="275" t="s">
        <v>105</v>
      </c>
      <c r="B24" s="272" t="s">
        <v>3</v>
      </c>
      <c r="C24" s="273"/>
      <c r="D24" s="273"/>
      <c r="E24" s="273"/>
      <c r="F24" s="274"/>
    </row>
    <row r="25" spans="1:9" s="3" customFormat="1" ht="21.6" thickTop="1" thickBot="1" x14ac:dyDescent="0.35">
      <c r="A25" s="277"/>
      <c r="B25" s="19" t="s">
        <v>23</v>
      </c>
      <c r="C25" s="19" t="s">
        <v>99</v>
      </c>
      <c r="D25" s="73" t="s">
        <v>165</v>
      </c>
      <c r="E25" s="23" t="s">
        <v>166</v>
      </c>
      <c r="F25" s="19" t="s">
        <v>21</v>
      </c>
    </row>
    <row r="26" spans="1:9" ht="21" customHeight="1" thickTop="1" thickBot="1" x14ac:dyDescent="0.35">
      <c r="A26" s="101" t="s">
        <v>167</v>
      </c>
      <c r="B26" s="209">
        <f>SUMIF(HKM!A:A,"459*",HKM!D:D)-SUMIF(HKM!A:A,"459*",HKM!C:C)</f>
        <v>0</v>
      </c>
      <c r="C26" s="217">
        <f>SUM(C27:C31)</f>
        <v>0</v>
      </c>
      <c r="D26" s="217">
        <f t="shared" ref="D26:E26" si="4">SUM(D27:D31)</f>
        <v>0</v>
      </c>
      <c r="E26" s="217">
        <f t="shared" si="4"/>
        <v>0</v>
      </c>
      <c r="F26" s="224">
        <f>SUMIF(HKM!A:A,"459*",HKM!L:L)-SUMIF(HKM!A:A,"459*",HKM!K:K)</f>
        <v>0</v>
      </c>
      <c r="G26" s="200"/>
      <c r="H26" s="196"/>
      <c r="I26" s="200"/>
    </row>
    <row r="27" spans="1:9" ht="21" customHeight="1" thickTop="1" thickBot="1" x14ac:dyDescent="0.35">
      <c r="A27" s="79"/>
      <c r="B27" s="207"/>
      <c r="C27" s="205"/>
      <c r="D27" s="218"/>
      <c r="E27" s="218"/>
      <c r="F27" s="219">
        <f t="shared" ref="F27:F31" si="5">SUM(B27:E27)</f>
        <v>0</v>
      </c>
      <c r="G27" s="200"/>
      <c r="H27" s="200"/>
      <c r="I27" s="200"/>
    </row>
    <row r="28" spans="1:9" ht="21" customHeight="1" thickBot="1" x14ac:dyDescent="0.35">
      <c r="A28" s="79"/>
      <c r="B28" s="207"/>
      <c r="C28" s="205"/>
      <c r="D28" s="220"/>
      <c r="E28" s="220"/>
      <c r="F28" s="219">
        <f t="shared" si="5"/>
        <v>0</v>
      </c>
      <c r="G28" s="200"/>
      <c r="H28" s="200"/>
      <c r="I28" s="200"/>
    </row>
    <row r="29" spans="1:9" ht="21" customHeight="1" thickBot="1" x14ac:dyDescent="0.35">
      <c r="A29" s="79"/>
      <c r="B29" s="207"/>
      <c r="C29" s="205"/>
      <c r="D29" s="220"/>
      <c r="E29" s="220"/>
      <c r="F29" s="219">
        <f t="shared" si="5"/>
        <v>0</v>
      </c>
      <c r="G29" s="200"/>
      <c r="H29" s="200"/>
      <c r="I29" s="200"/>
    </row>
    <row r="30" spans="1:9" ht="21" customHeight="1" thickBot="1" x14ac:dyDescent="0.35">
      <c r="A30" s="79"/>
      <c r="B30" s="207"/>
      <c r="C30" s="205"/>
      <c r="D30" s="220"/>
      <c r="E30" s="220"/>
      <c r="F30" s="219">
        <f t="shared" si="5"/>
        <v>0</v>
      </c>
      <c r="G30" s="200"/>
      <c r="H30" s="200"/>
      <c r="I30" s="200"/>
    </row>
    <row r="31" spans="1:9" ht="21" customHeight="1" thickBot="1" x14ac:dyDescent="0.35">
      <c r="A31" s="101"/>
      <c r="B31" s="208"/>
      <c r="C31" s="221"/>
      <c r="D31" s="222"/>
      <c r="E31" s="222"/>
      <c r="F31" s="223">
        <f t="shared" si="5"/>
        <v>0</v>
      </c>
      <c r="G31" s="200"/>
      <c r="H31" s="200"/>
      <c r="I31" s="200"/>
    </row>
    <row r="32" spans="1:9" ht="21" customHeight="1" thickTop="1" thickBot="1" x14ac:dyDescent="0.35">
      <c r="A32" s="101" t="s">
        <v>168</v>
      </c>
      <c r="B32" s="225">
        <f>SUMIF(HKM!A:A,"323*",HKM!D:D)-SUMIF(HKM!A:A,"323*",HKM!C:C)</f>
        <v>4863.12</v>
      </c>
      <c r="C32" s="221">
        <f>SUMIF(HKM!A:A,"323*",HKM!J:J)</f>
        <v>10267.11</v>
      </c>
      <c r="D32" s="221">
        <f>SUMIF(HKM!A:A,"323*",HKM!I:I)</f>
        <v>8861.4500000000007</v>
      </c>
      <c r="E32" s="221">
        <f t="shared" ref="E32" si="6">SUM(E33:E37)</f>
        <v>0</v>
      </c>
      <c r="F32" s="226">
        <f>SUMIF(HKM!A:A,"323*",HKM!L:L)-SUMIF(HKM!A:A,"323*",HKM!K:K)</f>
        <v>6268.7800000000007</v>
      </c>
      <c r="G32" s="200"/>
      <c r="H32" s="196"/>
      <c r="I32" s="200"/>
    </row>
    <row r="33" spans="1:9" ht="21" customHeight="1" thickTop="1" thickBot="1" x14ac:dyDescent="0.35">
      <c r="A33" s="79" t="s">
        <v>427</v>
      </c>
      <c r="B33" s="207">
        <f>SUMIF(HKM!A:A,"323100",HKM!D:D)-SUMIF(HKM!A:A,"323100",HKM!C:C)</f>
        <v>2732.52</v>
      </c>
      <c r="C33" s="205">
        <f>SUMIF(HKM!A:A,"323100",HKM!J:J)</f>
        <v>2221.0100000000002</v>
      </c>
      <c r="D33" s="218">
        <f>SUMIF(HKM!A:A,"323100",HKM!I:I)</f>
        <v>2949.65</v>
      </c>
      <c r="E33" s="218"/>
      <c r="F33" s="219">
        <f>B33+C33-D33</f>
        <v>2003.8800000000006</v>
      </c>
      <c r="G33" s="200"/>
      <c r="H33" s="200"/>
      <c r="I33" s="200"/>
    </row>
    <row r="34" spans="1:9" ht="21" customHeight="1" thickBot="1" x14ac:dyDescent="0.35">
      <c r="A34" s="79" t="s">
        <v>428</v>
      </c>
      <c r="B34" s="107">
        <f>SUMIF(HKM!A:A,"323200",HKM!D:D)-SUMIF(HKM!A:A,"323200",HKM!C:C)</f>
        <v>0</v>
      </c>
      <c r="C34" s="56">
        <v>5182</v>
      </c>
      <c r="D34" s="90">
        <v>5182</v>
      </c>
      <c r="E34" s="90"/>
      <c r="F34" s="219">
        <f t="shared" ref="F34:F37" si="7">B34+C34-D34</f>
        <v>0</v>
      </c>
    </row>
    <row r="35" spans="1:9" ht="21" customHeight="1" thickBot="1" x14ac:dyDescent="0.35">
      <c r="A35" s="79" t="s">
        <v>429</v>
      </c>
      <c r="B35" s="107">
        <f>SUMIF(HKM!A:A,"323210",HKM!D:D)-SUMIF(HKM!A:A,"323210",HKM!C:C)</f>
        <v>90</v>
      </c>
      <c r="C35" s="56">
        <f>SUMIF(HKM!A:A,"323210",HKM!J:J)</f>
        <v>1909.8</v>
      </c>
      <c r="D35" s="90">
        <f>SUMIF(HKM!A:A,"323210",HKM!I:I)</f>
        <v>730</v>
      </c>
      <c r="E35" s="90"/>
      <c r="F35" s="219">
        <f t="shared" si="7"/>
        <v>1269.8</v>
      </c>
    </row>
    <row r="36" spans="1:9" ht="21" customHeight="1" thickBot="1" x14ac:dyDescent="0.35">
      <c r="A36" s="79" t="s">
        <v>430</v>
      </c>
      <c r="B36" s="107">
        <v>811</v>
      </c>
      <c r="C36" s="56">
        <v>946</v>
      </c>
      <c r="D36" s="90">
        <f>SUMIF(HKM!A:A,"323230",HKM!I:I)</f>
        <v>0</v>
      </c>
      <c r="E36" s="90"/>
      <c r="F36" s="219">
        <f t="shared" si="7"/>
        <v>1757</v>
      </c>
    </row>
    <row r="37" spans="1:9" ht="21" customHeight="1" thickBot="1" x14ac:dyDescent="0.35">
      <c r="A37" s="79" t="s">
        <v>431</v>
      </c>
      <c r="B37" s="107">
        <f>SUMIF(HKM!A:A,"323240",HKM!D:D)+SUMIF(HKM!A:A,"323241",HKM!D:D)-SUMIF(HKM!A:A,"323240",HKM!C:C)-SUMIF(HKM!A:A,"323241",HKM!C:C)</f>
        <v>931.78</v>
      </c>
      <c r="C37" s="56">
        <f>SUMIF(HKM!A:A,"323240",HKM!J:J)+SUMIF(HKM!A:A,"323241",HKM!J:J)</f>
        <v>305.71999999999997</v>
      </c>
      <c r="D37" s="90">
        <f>SUMIF(HKM!A:A,"323240",HKM!I:I)+SUMIF(HKM!A:A,"323241",HKM!I:I)</f>
        <v>0</v>
      </c>
      <c r="E37" s="90"/>
      <c r="F37" s="219">
        <f t="shared" si="7"/>
        <v>1237.5</v>
      </c>
    </row>
    <row r="38" spans="1:9" ht="21" customHeight="1" thickBot="1" x14ac:dyDescent="0.35">
      <c r="A38" s="101"/>
      <c r="B38" s="117"/>
      <c r="C38" s="58"/>
      <c r="D38" s="100"/>
      <c r="E38" s="100"/>
      <c r="F38" s="219"/>
    </row>
    <row r="39" spans="1:9" ht="15" thickTop="1" x14ac:dyDescent="0.3"/>
  </sheetData>
  <mergeCells count="5">
    <mergeCell ref="A3:F3"/>
    <mergeCell ref="B24:F24"/>
    <mergeCell ref="A24:A25"/>
    <mergeCell ref="A5:A6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0" max="16383" man="1"/>
  </rowBreaks>
  <ignoredErrors>
    <ignoredError sqref="F32 F13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11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</cols>
  <sheetData>
    <row r="1" spans="1:3" x14ac:dyDescent="0.3">
      <c r="A1" t="str">
        <f>VYSVETLIVKY!$B$39</f>
        <v>Poznámky Úč POD 3-01</v>
      </c>
      <c r="C1" s="248" t="str">
        <f>VYSVETLIVKY!$B$40</f>
        <v>IČO : 46043381</v>
      </c>
    </row>
    <row r="2" spans="1:3" x14ac:dyDescent="0.3">
      <c r="C2" s="248" t="str">
        <f>VYSVETLIVKY!$B$41</f>
        <v>DIČ : 2023202038</v>
      </c>
    </row>
    <row r="3" spans="1:3" ht="15" thickBot="1" x14ac:dyDescent="0.35">
      <c r="A3" s="1" t="s">
        <v>414</v>
      </c>
    </row>
    <row r="4" spans="1:3" ht="26.25" customHeight="1" thickTop="1" thickBot="1" x14ac:dyDescent="0.35">
      <c r="A4" s="61" t="s">
        <v>105</v>
      </c>
      <c r="B4" s="25" t="s">
        <v>2</v>
      </c>
      <c r="C4" s="25" t="s">
        <v>3</v>
      </c>
    </row>
    <row r="5" spans="1:3" ht="20.25" customHeight="1" thickTop="1" thickBot="1" x14ac:dyDescent="0.35">
      <c r="A5" s="13" t="s">
        <v>169</v>
      </c>
      <c r="B5" s="118"/>
      <c r="C5" s="119"/>
    </row>
    <row r="6" spans="1:3" ht="20.25" customHeight="1" thickBot="1" x14ac:dyDescent="0.35">
      <c r="A6" s="13" t="s">
        <v>338</v>
      </c>
      <c r="B6" s="120">
        <v>130298</v>
      </c>
      <c r="C6" s="102">
        <v>120980</v>
      </c>
    </row>
    <row r="7" spans="1:3" ht="20.25" customHeight="1" thickBot="1" x14ac:dyDescent="0.35">
      <c r="A7" s="30" t="s">
        <v>170</v>
      </c>
      <c r="B7" s="120">
        <v>130298</v>
      </c>
      <c r="C7" s="102">
        <v>120980</v>
      </c>
    </row>
    <row r="8" spans="1:3" ht="20.25" customHeight="1" thickBot="1" x14ac:dyDescent="0.35">
      <c r="A8" s="13" t="s">
        <v>171</v>
      </c>
      <c r="B8" s="107">
        <v>283</v>
      </c>
      <c r="C8" s="57">
        <v>193</v>
      </c>
    </row>
    <row r="9" spans="1:3" ht="20.25" customHeight="1" thickBot="1" x14ac:dyDescent="0.35">
      <c r="A9" s="13" t="s">
        <v>172</v>
      </c>
      <c r="B9" s="107"/>
      <c r="C9" s="57"/>
    </row>
    <row r="10" spans="1:3" ht="20.25" customHeight="1" thickBot="1" x14ac:dyDescent="0.35">
      <c r="A10" s="21" t="s">
        <v>173</v>
      </c>
      <c r="B10" s="120">
        <v>283</v>
      </c>
      <c r="C10" s="102">
        <v>193</v>
      </c>
    </row>
    <row r="11" spans="1:3" ht="15" thickTop="1" x14ac:dyDescent="0.3"/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2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</cols>
  <sheetData>
    <row r="1" spans="1:5" x14ac:dyDescent="0.3">
      <c r="A1" t="str">
        <f>VYSVETLIVKY!$B$39</f>
        <v>Poznámky Úč POD 3-01</v>
      </c>
      <c r="C1" s="248" t="str">
        <f>VYSVETLIVKY!$B$40</f>
        <v>IČO : 46043381</v>
      </c>
    </row>
    <row r="2" spans="1:5" x14ac:dyDescent="0.3">
      <c r="C2" s="248" t="str">
        <f>VYSVETLIVKY!$B$41</f>
        <v>DIČ : 2023202038</v>
      </c>
    </row>
    <row r="3" spans="1:5" ht="34.5" customHeight="1" thickBot="1" x14ac:dyDescent="0.35">
      <c r="A3" s="268" t="s">
        <v>418</v>
      </c>
      <c r="B3" s="268"/>
      <c r="C3" s="268"/>
    </row>
    <row r="4" spans="1:5" ht="21.6" thickTop="1" thickBot="1" x14ac:dyDescent="0.35">
      <c r="A4" s="61" t="s">
        <v>105</v>
      </c>
      <c r="B4" s="25" t="s">
        <v>2</v>
      </c>
      <c r="C4" s="25" t="s">
        <v>3</v>
      </c>
    </row>
    <row r="5" spans="1:5" ht="31.8" thickTop="1" thickBot="1" x14ac:dyDescent="0.35">
      <c r="A5" s="30" t="s">
        <v>174</v>
      </c>
      <c r="B5" s="56"/>
      <c r="C5" s="57"/>
    </row>
    <row r="6" spans="1:5" ht="23.25" customHeight="1" thickBot="1" x14ac:dyDescent="0.35">
      <c r="A6" s="13" t="s">
        <v>175</v>
      </c>
      <c r="B6" s="56"/>
      <c r="C6" s="57"/>
    </row>
    <row r="7" spans="1:5" ht="23.25" customHeight="1" thickBot="1" x14ac:dyDescent="0.35">
      <c r="A7" s="13" t="s">
        <v>176</v>
      </c>
      <c r="B7" s="56"/>
      <c r="C7" s="57"/>
    </row>
    <row r="8" spans="1:5" ht="31.2" thickBot="1" x14ac:dyDescent="0.35">
      <c r="A8" s="30" t="s">
        <v>177</v>
      </c>
      <c r="B8" s="56"/>
      <c r="C8" s="57"/>
    </row>
    <row r="9" spans="1:5" ht="23.25" customHeight="1" thickBot="1" x14ac:dyDescent="0.35">
      <c r="A9" s="13" t="s">
        <v>175</v>
      </c>
      <c r="B9" s="56"/>
      <c r="C9" s="57"/>
    </row>
    <row r="10" spans="1:5" ht="23.25" customHeight="1" thickBot="1" x14ac:dyDescent="0.35">
      <c r="A10" s="13" t="s">
        <v>176</v>
      </c>
      <c r="B10" s="56"/>
      <c r="C10" s="57"/>
    </row>
    <row r="11" spans="1:5" ht="23.25" customHeight="1" thickBot="1" x14ac:dyDescent="0.35">
      <c r="A11" s="30" t="s">
        <v>178</v>
      </c>
      <c r="B11" s="56"/>
      <c r="C11" s="57"/>
    </row>
    <row r="12" spans="1:5" ht="23.25" customHeight="1" thickBot="1" x14ac:dyDescent="0.35">
      <c r="A12" s="30" t="s">
        <v>179</v>
      </c>
      <c r="B12" s="56"/>
      <c r="C12" s="57"/>
    </row>
    <row r="13" spans="1:5" ht="23.25" customHeight="1" thickBot="1" x14ac:dyDescent="0.35">
      <c r="A13" s="30" t="s">
        <v>180</v>
      </c>
      <c r="B13" s="84">
        <v>0.21</v>
      </c>
      <c r="C13" s="88">
        <v>0.21</v>
      </c>
    </row>
    <row r="14" spans="1:5" ht="23.25" customHeight="1" thickBot="1" x14ac:dyDescent="0.35">
      <c r="A14" s="30" t="s">
        <v>181</v>
      </c>
      <c r="B14" s="228">
        <f>SUMIF(SUA!C:C,"052",SUA!F:F)</f>
        <v>1803.26</v>
      </c>
      <c r="C14" s="206">
        <f>SUMIF(SUA!C:C,"052",SUA!G:G)</f>
        <v>1357.8</v>
      </c>
      <c r="D14" s="200"/>
      <c r="E14" s="231"/>
    </row>
    <row r="15" spans="1:5" ht="23.25" customHeight="1" thickBot="1" x14ac:dyDescent="0.35">
      <c r="A15" s="30" t="s">
        <v>182</v>
      </c>
      <c r="B15" s="205"/>
      <c r="C15" s="211"/>
      <c r="D15" s="200"/>
      <c r="E15" s="200"/>
    </row>
    <row r="16" spans="1:5" ht="23.25" customHeight="1" thickBot="1" x14ac:dyDescent="0.35">
      <c r="A16" s="13" t="s">
        <v>183</v>
      </c>
      <c r="B16" s="205"/>
      <c r="C16" s="211"/>
      <c r="D16" s="200"/>
      <c r="E16" s="200"/>
    </row>
    <row r="17" spans="1:5" ht="23.25" customHeight="1" thickBot="1" x14ac:dyDescent="0.35">
      <c r="A17" s="13" t="s">
        <v>184</v>
      </c>
      <c r="B17" s="205"/>
      <c r="C17" s="211"/>
      <c r="D17" s="200"/>
      <c r="E17" s="200"/>
    </row>
    <row r="18" spans="1:5" ht="23.25" customHeight="1" thickBot="1" x14ac:dyDescent="0.35">
      <c r="A18" s="75" t="s">
        <v>185</v>
      </c>
      <c r="B18" s="228">
        <f>SUMIF(SUA!C:C,"117",SUA!F:F)</f>
        <v>0</v>
      </c>
      <c r="C18" s="206">
        <f>SUMIF(SUA!C:C,"117",SUA!G:G)</f>
        <v>0</v>
      </c>
      <c r="D18" s="200"/>
      <c r="E18" s="231"/>
    </row>
    <row r="19" spans="1:5" ht="23.25" customHeight="1" thickBot="1" x14ac:dyDescent="0.35">
      <c r="A19" s="76" t="s">
        <v>186</v>
      </c>
      <c r="B19" s="56"/>
      <c r="C19" s="57"/>
    </row>
    <row r="20" spans="1:5" ht="23.25" customHeight="1" thickBot="1" x14ac:dyDescent="0.35">
      <c r="A20" s="13" t="s">
        <v>187</v>
      </c>
      <c r="B20" s="56"/>
      <c r="C20" s="57"/>
    </row>
    <row r="21" spans="1:5" ht="23.25" customHeight="1" thickBot="1" x14ac:dyDescent="0.35">
      <c r="A21" s="15" t="s">
        <v>184</v>
      </c>
      <c r="B21" s="62"/>
      <c r="C21" s="55"/>
    </row>
    <row r="22" spans="1:5" ht="15" thickTop="1" x14ac:dyDescent="0.3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M54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29.44140625" customWidth="1"/>
    <col min="2" max="9" width="12.5546875" customWidth="1"/>
  </cols>
  <sheetData>
    <row r="1" spans="1:12" x14ac:dyDescent="0.3">
      <c r="A1" t="str">
        <f>VYSVETLIVKY!$B$39</f>
        <v>Poznámky Úč POD 3-01</v>
      </c>
      <c r="I1" s="248" t="str">
        <f>VYSVETLIVKY!$B$40</f>
        <v>IČO : 46043381</v>
      </c>
    </row>
    <row r="2" spans="1:12" x14ac:dyDescent="0.3">
      <c r="I2" s="248" t="str">
        <f>VYSVETLIVKY!$B$41</f>
        <v>DIČ : 2023202038</v>
      </c>
    </row>
    <row r="3" spans="1:12" x14ac:dyDescent="0.3">
      <c r="A3" s="1" t="s">
        <v>392</v>
      </c>
    </row>
    <row r="4" spans="1:12" ht="15" thickBot="1" x14ac:dyDescent="0.35">
      <c r="A4" s="2" t="s">
        <v>7</v>
      </c>
    </row>
    <row r="5" spans="1:12" ht="15" customHeight="1" thickTop="1" thickBot="1" x14ac:dyDescent="0.35">
      <c r="A5" s="249" t="s">
        <v>11</v>
      </c>
      <c r="B5" s="254" t="s">
        <v>2</v>
      </c>
      <c r="C5" s="255"/>
      <c r="D5" s="255"/>
      <c r="E5" s="255"/>
      <c r="F5" s="255"/>
      <c r="G5" s="255"/>
      <c r="H5" s="255"/>
      <c r="I5" s="256"/>
    </row>
    <row r="6" spans="1:12" ht="35.25" customHeight="1" thickTop="1" thickBot="1" x14ac:dyDescent="0.35">
      <c r="A6" s="250"/>
      <c r="B6" s="26" t="s">
        <v>309</v>
      </c>
      <c r="C6" s="10" t="s">
        <v>12</v>
      </c>
      <c r="D6" s="10" t="s">
        <v>310</v>
      </c>
      <c r="E6" s="9" t="s">
        <v>13</v>
      </c>
      <c r="F6" s="26" t="s">
        <v>14</v>
      </c>
      <c r="G6" s="10" t="s">
        <v>311</v>
      </c>
      <c r="H6" s="10" t="s">
        <v>15</v>
      </c>
      <c r="I6" s="10" t="s">
        <v>8</v>
      </c>
    </row>
    <row r="7" spans="1:12" ht="15" customHeight="1" thickTop="1" thickBot="1" x14ac:dyDescent="0.35">
      <c r="A7" s="27" t="s">
        <v>16</v>
      </c>
      <c r="B7" s="28"/>
      <c r="C7" s="28"/>
      <c r="D7" s="28"/>
      <c r="E7" s="28"/>
      <c r="F7" s="28"/>
      <c r="G7" s="28"/>
      <c r="H7" s="28"/>
      <c r="I7" s="29"/>
    </row>
    <row r="8" spans="1:12" ht="15.6" thickTop="1" thickBot="1" x14ac:dyDescent="0.35">
      <c r="A8" s="30" t="s">
        <v>17</v>
      </c>
      <c r="B8" s="164">
        <f>SUMIF(HK!A:A,"012*",HK!C:C)-SUMIF(HK!A:A,"012*",HK!D:D)</f>
        <v>0</v>
      </c>
      <c r="C8" s="164">
        <f>SUMIF(HK!A:A,"013*",HK!C:C)-SUMIF(HK!A:A,"013*",HK!D:D)</f>
        <v>0</v>
      </c>
      <c r="D8" s="164">
        <f>SUMIF(HK!A:A,"014*",HK!C:C)-SUMIF(HK!A:A,"014*",HK!D:D)</f>
        <v>0</v>
      </c>
      <c r="E8" s="164">
        <f>SUMIF(HK!A:A,"015*",HK!C:C)-SUMIF(HK!A:A,"015*",HK!D:D)</f>
        <v>0</v>
      </c>
      <c r="F8" s="164">
        <f>SUMIF(HK!A:A,"019*",HK!C:C)-SUMIF(HK!A:A,"019*",HK!D:D)</f>
        <v>948</v>
      </c>
      <c r="G8" s="164">
        <f>SUMIF(HK!A:A,"041*",HK!C:C)-SUMIF(HK!A:A,"041*",HK!D:D)</f>
        <v>0</v>
      </c>
      <c r="H8" s="164">
        <f>SUMIF(HK!A:A,"051*",HK!C:C)-SUMIF(HK!A:A,"051*",HK!D:D)</f>
        <v>0</v>
      </c>
      <c r="I8" s="149">
        <f>SUM(B8:H8)</f>
        <v>948</v>
      </c>
      <c r="J8" s="135"/>
      <c r="K8" s="150"/>
      <c r="L8" s="135"/>
    </row>
    <row r="9" spans="1:12" ht="25.5" customHeight="1" thickBot="1" x14ac:dyDescent="0.35">
      <c r="A9" s="13" t="s">
        <v>18</v>
      </c>
      <c r="B9" s="131">
        <f>SUMIF(HK!A:A,"012*",HK!I:I)</f>
        <v>0</v>
      </c>
      <c r="C9" s="164">
        <f>SUMIF(HK!A:A,"013*",HK!I:I)</f>
        <v>0</v>
      </c>
      <c r="D9" s="164">
        <f>SUMIF(HK!A:A,"014*",HK!I:I)</f>
        <v>0</v>
      </c>
      <c r="E9" s="164">
        <f>SUMIF(HK!A:A,"015*",HK!I:I)</f>
        <v>0</v>
      </c>
      <c r="F9" s="164">
        <f>SUMIF(HK!A:A,"019*",HK!I:I)</f>
        <v>560</v>
      </c>
      <c r="G9" s="164">
        <f>SUMIF(HK!A:A,"041*",HK!I:I)</f>
        <v>560</v>
      </c>
      <c r="H9" s="164">
        <f>SUMIF(HK!A:A,"051*",HK!I:I)</f>
        <v>0</v>
      </c>
      <c r="I9" s="149">
        <f>SUM(B9:H9)</f>
        <v>1120</v>
      </c>
      <c r="J9" s="135"/>
      <c r="K9" s="135"/>
      <c r="L9" s="135"/>
    </row>
    <row r="10" spans="1:12" ht="15" customHeight="1" thickBot="1" x14ac:dyDescent="0.35">
      <c r="A10" s="13" t="s">
        <v>19</v>
      </c>
      <c r="B10" s="131">
        <f>SUMIF(HK!A:A,"012*",HK!J:J)</f>
        <v>0</v>
      </c>
      <c r="C10" s="131">
        <f>SUMIF(HK!A:A,"013*",HK!J:J)</f>
        <v>0</v>
      </c>
      <c r="D10" s="131">
        <f>SUMIF(HK!A:A,"014*",HK!J:J)</f>
        <v>0</v>
      </c>
      <c r="E10" s="131">
        <f>SUMIF(HK!A:A,"015*",HK!J:J)</f>
        <v>0</v>
      </c>
      <c r="F10" s="132">
        <f>SUMIF(HK!A:A,"019*",HK!J:J)</f>
        <v>0</v>
      </c>
      <c r="G10" s="131">
        <f>SUMIF(HK!A:A,"041*",HK!J:J)</f>
        <v>560</v>
      </c>
      <c r="H10" s="131">
        <f>SUMIF(HK!A:A,"051*",HK!J:J)</f>
        <v>0</v>
      </c>
      <c r="I10" s="149">
        <f t="shared" ref="I10:I11" si="0">SUM(B10:H10)</f>
        <v>560</v>
      </c>
      <c r="J10" s="135"/>
      <c r="K10" s="135"/>
      <c r="L10" s="135"/>
    </row>
    <row r="11" spans="1:12" ht="23.25" customHeight="1" thickBot="1" x14ac:dyDescent="0.35">
      <c r="A11" s="13" t="s">
        <v>20</v>
      </c>
      <c r="B11" s="131"/>
      <c r="C11" s="164"/>
      <c r="D11" s="164"/>
      <c r="E11" s="164"/>
      <c r="F11" s="164"/>
      <c r="G11" s="164"/>
      <c r="H11" s="164"/>
      <c r="I11" s="149">
        <f t="shared" si="0"/>
        <v>0</v>
      </c>
      <c r="J11" s="135"/>
      <c r="K11" s="135"/>
      <c r="L11" s="135"/>
    </row>
    <row r="12" spans="1:12" ht="15" thickBot="1" x14ac:dyDescent="0.35">
      <c r="A12" s="21" t="s">
        <v>21</v>
      </c>
      <c r="B12" s="164">
        <f>SUMIF(HK!A:A,"012*",HK!K:K)-SUMIF(HK!A:A,"012*",HK!L:L)</f>
        <v>0</v>
      </c>
      <c r="C12" s="164">
        <f>SUMIF(HK!A:A,"013*",HK!K:K)-SUMIF(HK!A:A,"013*",HK!L:L)</f>
        <v>0</v>
      </c>
      <c r="D12" s="164">
        <f>SUMIF(HK!A:A,"014*",HK!K:K)-SUMIF(HK!A:A,"014*",HK!L:L)</f>
        <v>0</v>
      </c>
      <c r="E12" s="164">
        <f>SUMIF(HK!A:A,"015*",HK!K:K)-SUMIF(HK!A:A,"015*",HK!L:L)</f>
        <v>0</v>
      </c>
      <c r="F12" s="164">
        <f>SUMIF(HK!A:A,"019*",HK!K:K)-SUMIF(HK!A:A,"019*",HK!L:L)</f>
        <v>1508</v>
      </c>
      <c r="G12" s="164">
        <f>SUMIF(HK!A:A,"041*",HK!K:K)-SUMIF(HK!A:A,"041*",HK!L:L)</f>
        <v>0</v>
      </c>
      <c r="H12" s="164">
        <f>SUMIF(HK!A:A,"051*",HK!K:K)-SUMIF(HK!A:A,"051*",HK!L:L)</f>
        <v>0</v>
      </c>
      <c r="I12" s="151">
        <f>I8+I9-I10+I11</f>
        <v>1508</v>
      </c>
      <c r="J12" s="135"/>
      <c r="K12" s="150"/>
      <c r="L12" s="135"/>
    </row>
    <row r="13" spans="1:12" ht="15" customHeight="1" thickTop="1" thickBot="1" x14ac:dyDescent="0.35">
      <c r="A13" s="27" t="s">
        <v>22</v>
      </c>
      <c r="B13" s="165"/>
      <c r="C13" s="165"/>
      <c r="D13" s="166"/>
      <c r="E13" s="165"/>
      <c r="F13" s="165"/>
      <c r="G13" s="165"/>
      <c r="H13" s="165"/>
      <c r="I13" s="153"/>
      <c r="J13" s="135"/>
      <c r="K13" s="135"/>
      <c r="L13" s="135"/>
    </row>
    <row r="14" spans="1:12" ht="15.6" thickTop="1" thickBot="1" x14ac:dyDescent="0.35">
      <c r="A14" s="30" t="s">
        <v>23</v>
      </c>
      <c r="B14" s="164">
        <f>SUMIF(HK!A:A,"071*",HK!D:D)-SUMIF(HK!A:A,"071*",HK!C:C)</f>
        <v>0</v>
      </c>
      <c r="C14" s="164">
        <f>SUMIF(HK!A:A,"073*",HK!D:D)-SUMIF(HK!A:A,"073*",HK!C:C)</f>
        <v>0</v>
      </c>
      <c r="D14" s="167">
        <f>SUMIF(HK!A:A,"074*",HK!D:D)-SUMIF(HK!A:A,"074*",HK!C:C)</f>
        <v>0</v>
      </c>
      <c r="E14" s="164">
        <f>SUMIF(HK!A:A,"075*",HK!D:D)-SUMIF(HK!A:A,"075*",HK!C:C)</f>
        <v>0</v>
      </c>
      <c r="F14" s="164">
        <f>SUMIF(HK!A:A,"079*",HK!D:D)-SUMIF(HK!A:A,"079*",HK!C:C)</f>
        <v>948</v>
      </c>
      <c r="G14" s="168"/>
      <c r="H14" s="168"/>
      <c r="I14" s="149">
        <f>SUM(B14:H14)</f>
        <v>948</v>
      </c>
      <c r="J14" s="135"/>
      <c r="K14" s="150"/>
      <c r="L14" s="135"/>
    </row>
    <row r="15" spans="1:12" ht="22.5" customHeight="1" thickBot="1" x14ac:dyDescent="0.35">
      <c r="A15" s="13" t="s">
        <v>18</v>
      </c>
      <c r="B15" s="131">
        <f>SUMIF(HK!A:A,"071*",HK!J:J)</f>
        <v>0</v>
      </c>
      <c r="C15" s="164">
        <f>SUMIF(HK!A:A,"073*",HK!J:J)</f>
        <v>0</v>
      </c>
      <c r="D15" s="164">
        <f>SUMIF(HK!A:A,"074*",HK!J:J)</f>
        <v>0</v>
      </c>
      <c r="E15" s="164">
        <f>SUMIF(HK!A:A,"075*",HK!J:J)</f>
        <v>0</v>
      </c>
      <c r="F15" s="164">
        <f>SUMIF(HK!A:A,"079*",HK!J:J)</f>
        <v>140.04</v>
      </c>
      <c r="G15" s="154"/>
      <c r="H15" s="154"/>
      <c r="I15" s="149">
        <f t="shared" ref="I15:I16" si="1">SUM(B15:H15)</f>
        <v>140.04</v>
      </c>
      <c r="J15" s="135"/>
      <c r="K15" s="135"/>
      <c r="L15" s="135"/>
    </row>
    <row r="16" spans="1:12" ht="21.75" customHeight="1" thickBot="1" x14ac:dyDescent="0.35">
      <c r="A16" s="13" t="s">
        <v>19</v>
      </c>
      <c r="B16" s="164">
        <f>SUMIF(HK!A:A,"071*",HK!I:I)</f>
        <v>0</v>
      </c>
      <c r="C16" s="164">
        <f>SUMIF(HK!A:A,"073*",HK!I:I)</f>
        <v>0</v>
      </c>
      <c r="D16" s="164">
        <f>SUMIF(HK!A:A,"074*",HK!I:I)</f>
        <v>0</v>
      </c>
      <c r="E16" s="164">
        <f>SUMIF(HK!A:A,"075*",HK!I:I)</f>
        <v>0</v>
      </c>
      <c r="F16" s="164">
        <f>SUMIF(HK!A:A,"079*",HK!I:I)</f>
        <v>0</v>
      </c>
      <c r="G16" s="154"/>
      <c r="H16" s="154"/>
      <c r="I16" s="149">
        <f t="shared" si="1"/>
        <v>0</v>
      </c>
      <c r="J16" s="135"/>
      <c r="K16" s="135"/>
      <c r="L16" s="135"/>
    </row>
    <row r="17" spans="1:13" ht="23.25" customHeight="1" thickBot="1" x14ac:dyDescent="0.35">
      <c r="A17" s="13" t="s">
        <v>20</v>
      </c>
      <c r="B17" s="131"/>
      <c r="C17" s="164"/>
      <c r="D17" s="164"/>
      <c r="E17" s="164"/>
      <c r="F17" s="164"/>
      <c r="G17" s="164"/>
      <c r="H17" s="164"/>
      <c r="I17" s="149">
        <f t="shared" ref="I17" si="2">SUM(B17:H17)</f>
        <v>0</v>
      </c>
      <c r="J17" s="135"/>
      <c r="K17" s="135"/>
      <c r="L17" s="135"/>
    </row>
    <row r="18" spans="1:13" ht="15" thickBot="1" x14ac:dyDescent="0.35">
      <c r="A18" s="21" t="s">
        <v>21</v>
      </c>
      <c r="B18" s="164">
        <f>SUMIF(HK!A:A,"071*",HK!L:L)-SUMIF(HK!A:A,"071*",HK!K:K)</f>
        <v>0</v>
      </c>
      <c r="C18" s="164">
        <f>SUMIF(HK!A:A,"073*",HK!L:L)-SUMIF(HK!A:A,"073*",HK!K:K)</f>
        <v>0</v>
      </c>
      <c r="D18" s="164">
        <f>SUMIF(HK!A:A,"074*",HK!L:L)-SUMIF(HK!A:A,"074*",HK!K:K)</f>
        <v>0</v>
      </c>
      <c r="E18" s="164">
        <f>SUMIF(HK!A:A,"075*",HK!L:L)-SUMIF(HK!A:A,"075*",HK!K:K)</f>
        <v>0</v>
      </c>
      <c r="F18" s="164">
        <f>SUMIF(HK!A:A,"079*",HK!L:L)-SUMIF(HK!A:A,"079*",HK!K:K)</f>
        <v>1088.04</v>
      </c>
      <c r="G18" s="155"/>
      <c r="H18" s="155"/>
      <c r="I18" s="151">
        <f>I14+I15-I16</f>
        <v>1088.04</v>
      </c>
      <c r="J18" s="135"/>
      <c r="K18" s="150"/>
      <c r="L18" s="135"/>
    </row>
    <row r="19" spans="1:13" ht="15" customHeight="1" thickTop="1" thickBot="1" x14ac:dyDescent="0.35">
      <c r="A19" s="27" t="s">
        <v>24</v>
      </c>
      <c r="B19" s="165"/>
      <c r="C19" s="165"/>
      <c r="D19" s="165"/>
      <c r="E19" s="165"/>
      <c r="F19" s="165"/>
      <c r="G19" s="165"/>
      <c r="H19" s="165"/>
      <c r="I19" s="153"/>
      <c r="J19" s="135"/>
      <c r="K19" s="135"/>
      <c r="L19" s="135"/>
    </row>
    <row r="20" spans="1:13" ht="15.6" thickTop="1" thickBot="1" x14ac:dyDescent="0.35">
      <c r="A20" s="30" t="s">
        <v>23</v>
      </c>
      <c r="B20" s="164"/>
      <c r="C20" s="164"/>
      <c r="D20" s="164"/>
      <c r="E20" s="164"/>
      <c r="F20" s="164"/>
      <c r="G20" s="164">
        <f>SUMIF(HK!A:A,"093*",HK!D:D)-SUMIF(HK!A:A,"093*",HK!C:C)</f>
        <v>0</v>
      </c>
      <c r="H20" s="164">
        <f>SUMIF(SUAM!C:C,"010",SUAM!E:E)</f>
        <v>0</v>
      </c>
      <c r="I20" s="149">
        <f>SUM(B20:H20)</f>
        <v>0</v>
      </c>
      <c r="J20" s="135"/>
      <c r="K20" s="150"/>
      <c r="L20" s="156"/>
      <c r="M20" s="109"/>
    </row>
    <row r="21" spans="1:13" ht="15" customHeight="1" thickBot="1" x14ac:dyDescent="0.35">
      <c r="A21" s="13" t="s">
        <v>18</v>
      </c>
      <c r="B21" s="131"/>
      <c r="C21" s="131"/>
      <c r="D21" s="131"/>
      <c r="E21" s="131"/>
      <c r="F21" s="131"/>
      <c r="G21" s="131">
        <f>SUMIF(HK!A:A,"093*",HK!J:J)</f>
        <v>0</v>
      </c>
      <c r="H21" s="131"/>
      <c r="I21" s="149">
        <f t="shared" ref="I21:I23" si="3">SUM(B21:H21)</f>
        <v>0</v>
      </c>
      <c r="J21" s="135"/>
      <c r="K21" s="157"/>
      <c r="L21" s="135"/>
    </row>
    <row r="22" spans="1:13" ht="15" customHeight="1" thickBot="1" x14ac:dyDescent="0.35">
      <c r="A22" s="13" t="s">
        <v>19</v>
      </c>
      <c r="B22" s="131"/>
      <c r="C22" s="131"/>
      <c r="D22" s="131"/>
      <c r="E22" s="131"/>
      <c r="F22" s="131"/>
      <c r="G22" s="131">
        <f>SUMIF(HK!A:A,"093*",HK!I:I)</f>
        <v>0</v>
      </c>
      <c r="H22" s="131"/>
      <c r="I22" s="149">
        <f t="shared" si="3"/>
        <v>0</v>
      </c>
      <c r="J22" s="135"/>
      <c r="K22" s="157"/>
      <c r="L22" s="135"/>
    </row>
    <row r="23" spans="1:13" ht="23.25" customHeight="1" thickBot="1" x14ac:dyDescent="0.35">
      <c r="A23" s="13" t="s">
        <v>20</v>
      </c>
      <c r="B23" s="131"/>
      <c r="C23" s="164"/>
      <c r="D23" s="164"/>
      <c r="E23" s="164"/>
      <c r="F23" s="164"/>
      <c r="G23" s="164"/>
      <c r="H23" s="164"/>
      <c r="I23" s="149">
        <f t="shared" si="3"/>
        <v>0</v>
      </c>
      <c r="J23" s="135"/>
      <c r="K23" s="135"/>
      <c r="L23" s="135"/>
    </row>
    <row r="24" spans="1:13" ht="15" thickBot="1" x14ac:dyDescent="0.35">
      <c r="A24" s="21" t="s">
        <v>21</v>
      </c>
      <c r="B24" s="164"/>
      <c r="C24" s="164"/>
      <c r="D24" s="164"/>
      <c r="E24" s="164"/>
      <c r="F24" s="164"/>
      <c r="G24" s="164">
        <f>SUMIF(HK!A:A,"093*",HK!L:L)-SUMIF(HK!A:A,"093*",HK!K:K)</f>
        <v>0</v>
      </c>
      <c r="H24" s="164">
        <f>SUMIF(SUA!C:C,"010",SUA!E:E)</f>
        <v>0</v>
      </c>
      <c r="I24" s="151">
        <f>I20+I21-I22</f>
        <v>0</v>
      </c>
      <c r="J24" s="135"/>
      <c r="K24" s="150"/>
      <c r="L24" s="156"/>
      <c r="M24" s="109"/>
    </row>
    <row r="25" spans="1:13" ht="15" customHeight="1" thickTop="1" thickBot="1" x14ac:dyDescent="0.35">
      <c r="A25" s="27" t="s">
        <v>25</v>
      </c>
      <c r="B25" s="165"/>
      <c r="C25" s="165"/>
      <c r="D25" s="165"/>
      <c r="E25" s="165"/>
      <c r="F25" s="165"/>
      <c r="G25" s="165"/>
      <c r="H25" s="165"/>
      <c r="I25" s="153"/>
      <c r="J25" s="135"/>
      <c r="K25" s="135"/>
      <c r="L25" s="135"/>
    </row>
    <row r="26" spans="1:13" ht="15" customHeight="1" thickTop="1" thickBot="1" x14ac:dyDescent="0.35">
      <c r="A26" s="30" t="s">
        <v>23</v>
      </c>
      <c r="B26" s="154"/>
      <c r="C26" s="154"/>
      <c r="D26" s="154"/>
      <c r="E26" s="154"/>
      <c r="F26" s="154"/>
      <c r="G26" s="154"/>
      <c r="H26" s="154"/>
      <c r="I26" s="149">
        <f>I8-I14-I20</f>
        <v>0</v>
      </c>
      <c r="J26" s="135"/>
      <c r="K26" s="135"/>
      <c r="L26" s="135"/>
    </row>
    <row r="27" spans="1:13" ht="15" customHeight="1" thickBot="1" x14ac:dyDescent="0.35">
      <c r="A27" s="21" t="s">
        <v>21</v>
      </c>
      <c r="B27" s="155"/>
      <c r="C27" s="155"/>
      <c r="D27" s="155"/>
      <c r="E27" s="155"/>
      <c r="F27" s="155"/>
      <c r="G27" s="155"/>
      <c r="H27" s="155"/>
      <c r="I27" s="151">
        <f>I12-I18-I24</f>
        <v>419.96000000000004</v>
      </c>
      <c r="J27" s="135"/>
      <c r="K27" s="135"/>
      <c r="L27" s="135"/>
    </row>
    <row r="28" spans="1:13" ht="15" thickTop="1" x14ac:dyDescent="0.3">
      <c r="A28" s="33"/>
      <c r="B28" s="158"/>
      <c r="C28" s="158"/>
      <c r="D28" s="158"/>
      <c r="E28" s="158"/>
      <c r="F28" s="158"/>
      <c r="G28" s="158"/>
      <c r="H28" s="158"/>
      <c r="I28" s="158"/>
      <c r="J28" s="135"/>
      <c r="K28" s="135"/>
      <c r="L28" s="135"/>
    </row>
    <row r="29" spans="1:13" x14ac:dyDescent="0.3">
      <c r="A29" t="str">
        <f>VYSVETLIVKY!$B$39</f>
        <v>Poznámky Úč POD 3-01</v>
      </c>
      <c r="I29" s="248" t="str">
        <f>VYSVETLIVKY!$B$40</f>
        <v>IČO : 46043381</v>
      </c>
      <c r="J29" s="135"/>
      <c r="K29" s="135"/>
      <c r="L29" s="135"/>
    </row>
    <row r="30" spans="1:13" x14ac:dyDescent="0.3">
      <c r="I30" s="248" t="str">
        <f>VYSVETLIVKY!$B$41</f>
        <v>DIČ : 2023202038</v>
      </c>
      <c r="J30" s="135"/>
      <c r="K30" s="135"/>
      <c r="L30" s="135"/>
    </row>
    <row r="31" spans="1:13" x14ac:dyDescent="0.3">
      <c r="A31" s="34" t="s">
        <v>9</v>
      </c>
      <c r="B31" s="159"/>
      <c r="C31" s="159"/>
      <c r="D31" s="159"/>
      <c r="E31" s="159"/>
      <c r="F31" s="159"/>
      <c r="G31" s="159"/>
      <c r="H31" s="159"/>
      <c r="I31" s="159"/>
      <c r="J31" s="135"/>
      <c r="K31" s="135"/>
      <c r="L31" s="135"/>
    </row>
    <row r="32" spans="1:13" ht="15" thickBot="1" x14ac:dyDescent="0.35">
      <c r="A32" s="33"/>
      <c r="B32" s="158"/>
      <c r="C32" s="158"/>
      <c r="D32" s="158"/>
      <c r="E32" s="158"/>
      <c r="F32" s="158"/>
      <c r="G32" s="158"/>
      <c r="H32" s="158"/>
      <c r="I32" s="159"/>
      <c r="J32" s="135"/>
      <c r="K32" s="135"/>
      <c r="L32" s="135"/>
    </row>
    <row r="33" spans="1:13" ht="15" customHeight="1" thickTop="1" thickBot="1" x14ac:dyDescent="0.35">
      <c r="A33" s="249" t="s">
        <v>11</v>
      </c>
      <c r="B33" s="251" t="s">
        <v>3</v>
      </c>
      <c r="C33" s="252"/>
      <c r="D33" s="252"/>
      <c r="E33" s="252"/>
      <c r="F33" s="252"/>
      <c r="G33" s="252"/>
      <c r="H33" s="252"/>
      <c r="I33" s="253"/>
      <c r="J33" s="135"/>
      <c r="K33" s="135"/>
      <c r="L33" s="135"/>
    </row>
    <row r="34" spans="1:13" ht="31.8" thickTop="1" thickBot="1" x14ac:dyDescent="0.35">
      <c r="A34" s="250"/>
      <c r="B34" s="160" t="s">
        <v>309</v>
      </c>
      <c r="C34" s="161" t="s">
        <v>12</v>
      </c>
      <c r="D34" s="161" t="s">
        <v>310</v>
      </c>
      <c r="E34" s="162" t="s">
        <v>13</v>
      </c>
      <c r="F34" s="160" t="s">
        <v>14</v>
      </c>
      <c r="G34" s="161" t="s">
        <v>311</v>
      </c>
      <c r="H34" s="161" t="s">
        <v>15</v>
      </c>
      <c r="I34" s="161" t="s">
        <v>8</v>
      </c>
      <c r="J34" s="135"/>
      <c r="K34" s="135"/>
      <c r="L34" s="135"/>
    </row>
    <row r="35" spans="1:13" ht="15" customHeight="1" thickTop="1" thickBot="1" x14ac:dyDescent="0.35">
      <c r="A35" s="27" t="s">
        <v>16</v>
      </c>
      <c r="B35" s="152"/>
      <c r="C35" s="152"/>
      <c r="D35" s="152"/>
      <c r="E35" s="152"/>
      <c r="F35" s="152"/>
      <c r="G35" s="152"/>
      <c r="H35" s="152"/>
      <c r="I35" s="153"/>
      <c r="J35" s="135"/>
      <c r="K35" s="135"/>
      <c r="L35" s="135"/>
    </row>
    <row r="36" spans="1:13" ht="15.6" thickTop="1" thickBot="1" x14ac:dyDescent="0.35">
      <c r="A36" s="30" t="s">
        <v>17</v>
      </c>
      <c r="B36" s="164">
        <f>SUMIF(HKM!A:A,"012*",HKM!C:C)-SUMIF(HKM!A:A,"012*",HKM!D:D)</f>
        <v>0</v>
      </c>
      <c r="C36" s="164">
        <f>SUMIF(HKM!A:A,"013*",HKM!C:C)-SUMIF(HKM!A:A,"013*",HKM!D:D)</f>
        <v>0</v>
      </c>
      <c r="D36" s="164">
        <f>SUMIF(HKM!A:A,"014*",HKM!C:C)-SUMIF(HKM!A:A,"014*",HKM!D:D)</f>
        <v>0</v>
      </c>
      <c r="E36" s="164">
        <f>SUMIF(HKM!A:A,"015*",HKM!C:C)-SUMIF(HKM!A:A,"015*",HKM!D:D)</f>
        <v>0</v>
      </c>
      <c r="F36" s="164">
        <f>SUMIF(HKM!A:A,"019*",HKM!C:C)-SUMIF(HKM!A:A,"019*",HKM!D:D)</f>
        <v>948</v>
      </c>
      <c r="G36" s="164">
        <f>SUMIF(HKM!A:A,"041*",HKM!C:C)-SUMIF(HKM!A:A,"041*",HKM!D:D)</f>
        <v>0</v>
      </c>
      <c r="H36" s="164">
        <f>SUMIF(HKM!A:A,"051*",HKM!C:C)-SUMIF(HKM!A:A,"051*",HKM!D:D)</f>
        <v>0</v>
      </c>
      <c r="I36" s="149">
        <f>SUM(B36:H36)</f>
        <v>948</v>
      </c>
      <c r="J36" s="135"/>
      <c r="K36" s="150"/>
      <c r="L36" s="135"/>
    </row>
    <row r="37" spans="1:13" ht="15" customHeight="1" thickBot="1" x14ac:dyDescent="0.35">
      <c r="A37" s="13" t="s">
        <v>18</v>
      </c>
      <c r="B37" s="131">
        <f>SUMIF(HKM!A:A,"012*",HKM!I:I)</f>
        <v>0</v>
      </c>
      <c r="C37" s="131">
        <f>SUMIF(HKM!A:A,"013*",HKM!I:I)</f>
        <v>0</v>
      </c>
      <c r="D37" s="131">
        <f>SUMIF(HKM!A:A,"014*",HKM!I:I)</f>
        <v>0</v>
      </c>
      <c r="E37" s="131">
        <f>SUMIF(HKM!A:A,"015*",HKM!I:I)</f>
        <v>0</v>
      </c>
      <c r="F37" s="132">
        <f>SUMIF(HKM!A:A,"019*",HKM!I:I)</f>
        <v>0</v>
      </c>
      <c r="G37" s="131">
        <f>SUMIF(HKM!A:A,"041*",HKM!I:I)</f>
        <v>0</v>
      </c>
      <c r="H37" s="131">
        <f>SUMIF(HKM!A:A,"051*",HKM!I:I)</f>
        <v>0</v>
      </c>
      <c r="I37" s="149">
        <f>SUM(B37:H37)</f>
        <v>0</v>
      </c>
      <c r="J37" s="135"/>
      <c r="K37" s="135"/>
      <c r="L37" s="135"/>
    </row>
    <row r="38" spans="1:13" ht="15" customHeight="1" thickBot="1" x14ac:dyDescent="0.35">
      <c r="A38" s="13" t="s">
        <v>19</v>
      </c>
      <c r="B38" s="131">
        <f>SUMIF(HKM!A:A,"012*",HKM!J:J)</f>
        <v>0</v>
      </c>
      <c r="C38" s="131">
        <f>SUMIF(HKM!A:A,"013*",HKM!J:J)</f>
        <v>0</v>
      </c>
      <c r="D38" s="131">
        <f>SUMIF(HKM!A:A,"014*",HKM!J:J)</f>
        <v>0</v>
      </c>
      <c r="E38" s="131">
        <f>SUMIF(HKM!A:A,"015*",HKM!J:J)</f>
        <v>0</v>
      </c>
      <c r="F38" s="132">
        <f>SUMIF(HKM!A:A,"019*",HKM!J:J)</f>
        <v>0</v>
      </c>
      <c r="G38" s="131">
        <f>SUMIF(HKM!A:A,"041*",HKM!J:J)</f>
        <v>0</v>
      </c>
      <c r="H38" s="131">
        <f>SUMIF(HKM!A:A,"051*",HKM!J:J)</f>
        <v>0</v>
      </c>
      <c r="I38" s="149">
        <f t="shared" ref="I38:I39" si="4">SUM(B38:H38)</f>
        <v>0</v>
      </c>
      <c r="J38" s="135"/>
      <c r="K38" s="135"/>
      <c r="L38" s="135"/>
    </row>
    <row r="39" spans="1:13" ht="15" customHeight="1" thickBot="1" x14ac:dyDescent="0.35">
      <c r="A39" s="13" t="s">
        <v>20</v>
      </c>
      <c r="B39" s="131"/>
      <c r="C39" s="131"/>
      <c r="D39" s="131"/>
      <c r="E39" s="131"/>
      <c r="F39" s="132"/>
      <c r="G39" s="131"/>
      <c r="H39" s="131"/>
      <c r="I39" s="149">
        <f t="shared" si="4"/>
        <v>0</v>
      </c>
      <c r="J39" s="135"/>
      <c r="K39" s="135"/>
      <c r="L39" s="135"/>
    </row>
    <row r="40" spans="1:13" ht="15" thickBot="1" x14ac:dyDescent="0.35">
      <c r="A40" s="21" t="s">
        <v>21</v>
      </c>
      <c r="B40" s="164">
        <f>SUMIF(HKM!A:A,"012*",HKM!K:K)-SUMIF(HKM!A:A,"012*",HKM!L:L)</f>
        <v>0</v>
      </c>
      <c r="C40" s="164">
        <f>SUMIF(HKM!A:A,"013*",HKM!K:K)-SUMIF(HKM!A:A,"013*",HKM!L:L)</f>
        <v>0</v>
      </c>
      <c r="D40" s="164">
        <f>SUMIF(HKM!A:A,"014*",HKM!K:K)-SUMIF(HKM!A:A,"014*",HKM!L:L)</f>
        <v>0</v>
      </c>
      <c r="E40" s="164">
        <f>SUMIF(HKM!A:A,"015*",HKM!K:K)-SUMIF(HKM!A:A,"015*",HKM!L:L)</f>
        <v>0</v>
      </c>
      <c r="F40" s="164">
        <f>SUMIF(HKM!A:A,"019*",HKM!K:K)-SUMIF(HKM!A:A,"019*",HKM!L:L)</f>
        <v>948</v>
      </c>
      <c r="G40" s="164">
        <f>SUMIF(HKM!A:A,"041*",HKM!K:K)-SUMIF(HKM!A:A,"041*",HKM!L:L)</f>
        <v>0</v>
      </c>
      <c r="H40" s="164">
        <f>SUMIF(HKM!A:A,"051*",HKM!K:K)-SUMIF(HKM!A:A,"051*",HKM!L:L)</f>
        <v>0</v>
      </c>
      <c r="I40" s="151">
        <f>I36+I37-I38+I39</f>
        <v>948</v>
      </c>
      <c r="J40" s="135"/>
      <c r="K40" s="150"/>
      <c r="L40" s="135"/>
    </row>
    <row r="41" spans="1:13" ht="15" customHeight="1" thickTop="1" thickBot="1" x14ac:dyDescent="0.35">
      <c r="A41" s="27" t="s">
        <v>22</v>
      </c>
      <c r="B41" s="169"/>
      <c r="C41" s="169"/>
      <c r="D41" s="169"/>
      <c r="E41" s="169"/>
      <c r="F41" s="169"/>
      <c r="G41" s="169"/>
      <c r="H41" s="169"/>
      <c r="I41" s="153"/>
      <c r="J41" s="135"/>
      <c r="K41" s="135"/>
      <c r="L41" s="135"/>
    </row>
    <row r="42" spans="1:13" ht="15.6" thickTop="1" thickBot="1" x14ac:dyDescent="0.35">
      <c r="A42" s="30" t="s">
        <v>23</v>
      </c>
      <c r="B42" s="164">
        <f>SUMIF(HKM!A:A,"071*",HKM!D:D)-SUMIF(HKM!A:A,"071*",HKM!C:C)</f>
        <v>0</v>
      </c>
      <c r="C42" s="164">
        <f>SUMIF(HKM!A:A,"073*",HKM!D:D)-SUMIF(HKM!A:A,"073*",HKM!C:C)</f>
        <v>0</v>
      </c>
      <c r="D42" s="164">
        <f>SUMIF(HKM!A:A,"074*",HKM!D:D)-SUMIF(HKM!A:A,"074*",HKM!C:C)</f>
        <v>0</v>
      </c>
      <c r="E42" s="164">
        <f>SUMIF(HKM!A:A,"075*",HKM!D:D)-SUMIF(HKM!A:A,"075*",HKM!C:C)</f>
        <v>0</v>
      </c>
      <c r="F42" s="164">
        <f>SUMIF(HKM!A:A,"079*",HKM!D:D)-SUMIF(HKM!A:A,"079*",HKM!C:C)</f>
        <v>948</v>
      </c>
      <c r="G42" s="164"/>
      <c r="H42" s="164"/>
      <c r="I42" s="149">
        <f>SUM(B42:H42)</f>
        <v>948</v>
      </c>
      <c r="J42" s="135"/>
      <c r="K42" s="150"/>
      <c r="L42" s="135"/>
    </row>
    <row r="43" spans="1:13" ht="15" customHeight="1" thickBot="1" x14ac:dyDescent="0.35">
      <c r="A43" s="13" t="s">
        <v>18</v>
      </c>
      <c r="B43" s="131">
        <f>SUMIF(HKM!A:A,"071*",HKM!J:J)</f>
        <v>0</v>
      </c>
      <c r="C43" s="131">
        <f>SUMIF(HKM!A:A,"073*",HKM!J:J)</f>
        <v>0</v>
      </c>
      <c r="D43" s="131">
        <f>SUMIF(HKM!A:A,"074*",HKM!J:J)</f>
        <v>0</v>
      </c>
      <c r="E43" s="131">
        <f>SUMIF(HKM!A:A,"075*",HKM!J:J)</f>
        <v>0</v>
      </c>
      <c r="F43" s="131">
        <f>SUMIF(HKM!A:A,"079*",HKM!J:J)</f>
        <v>0</v>
      </c>
      <c r="G43" s="131"/>
      <c r="H43" s="131"/>
      <c r="I43" s="149">
        <f t="shared" ref="I43:I44" si="5">SUM(B43:H43)</f>
        <v>0</v>
      </c>
      <c r="J43" s="135"/>
      <c r="K43" s="135"/>
      <c r="L43" s="135"/>
    </row>
    <row r="44" spans="1:13" ht="15" customHeight="1" thickBot="1" x14ac:dyDescent="0.35">
      <c r="A44" s="13" t="s">
        <v>19</v>
      </c>
      <c r="B44" s="131">
        <f>SUMIF(HKM!A:A,"071*",HKM!I:I)</f>
        <v>0</v>
      </c>
      <c r="C44" s="131">
        <f>SUMIF(HKM!A:A,"073*",HKM!I:I)</f>
        <v>0</v>
      </c>
      <c r="D44" s="131">
        <f>SUMIF(HKM!A:A,"074*",HKM!I:I)</f>
        <v>0</v>
      </c>
      <c r="E44" s="131">
        <f>SUMIF(HKM!A:A,"075*",HKM!I:I)</f>
        <v>0</v>
      </c>
      <c r="F44" s="131">
        <f>SUMIF(HKM!A:A,"079*",HKM!I:I)</f>
        <v>0</v>
      </c>
      <c r="G44" s="131"/>
      <c r="H44" s="131"/>
      <c r="I44" s="149">
        <f t="shared" si="5"/>
        <v>0</v>
      </c>
      <c r="J44" s="135"/>
      <c r="K44" s="135"/>
      <c r="L44" s="135"/>
    </row>
    <row r="45" spans="1:13" ht="15" thickBot="1" x14ac:dyDescent="0.35">
      <c r="A45" s="21" t="s">
        <v>21</v>
      </c>
      <c r="B45" s="164">
        <f>SUMIF(HKM!A:A,"071*",HKM!L:L)-SUMIF(HKM!A:A,"071*",HKM!K:K)</f>
        <v>0</v>
      </c>
      <c r="C45" s="164">
        <f>SUMIF(HKM!A:A,"073*",HKM!L:L)-SUMIF(HKM!A:A,"073*",HKM!K:K)</f>
        <v>0</v>
      </c>
      <c r="D45" s="164">
        <f>SUMIF(HKM!A:A,"074*",HKM!L:L)-SUMIF(HKM!A:A,"074*",HKM!K:K)</f>
        <v>0</v>
      </c>
      <c r="E45" s="164">
        <f>SUMIF(HKM!A:A,"075*",HKM!L:L)-SUMIF(HKM!A:A,"075*",HKM!K:K)</f>
        <v>0</v>
      </c>
      <c r="F45" s="164">
        <f>SUMIF(HKM!A:A,"079*",HKM!L:L)-SUMIF(HKM!A:A,"079*",HKM!K:K)</f>
        <v>948</v>
      </c>
      <c r="G45" s="134"/>
      <c r="H45" s="134"/>
      <c r="I45" s="151">
        <f>I42+I43-I44</f>
        <v>948</v>
      </c>
      <c r="J45" s="135"/>
      <c r="K45" s="150"/>
      <c r="L45" s="135"/>
    </row>
    <row r="46" spans="1:13" ht="15" customHeight="1" thickTop="1" thickBot="1" x14ac:dyDescent="0.35">
      <c r="A46" s="27" t="s">
        <v>24</v>
      </c>
      <c r="B46" s="169"/>
      <c r="C46" s="169"/>
      <c r="D46" s="169"/>
      <c r="E46" s="169"/>
      <c r="F46" s="169"/>
      <c r="G46" s="169"/>
      <c r="H46" s="169"/>
      <c r="I46" s="153"/>
      <c r="J46" s="135"/>
      <c r="K46" s="135"/>
      <c r="L46" s="135"/>
    </row>
    <row r="47" spans="1:13" ht="15.6" thickTop="1" thickBot="1" x14ac:dyDescent="0.35">
      <c r="A47" s="30" t="s">
        <v>23</v>
      </c>
      <c r="B47" s="164"/>
      <c r="C47" s="164"/>
      <c r="D47" s="164"/>
      <c r="E47" s="164"/>
      <c r="F47" s="164"/>
      <c r="G47" s="164">
        <f>SUMIF(HKM!A:A,"093*",HKM!D:D)-SUMIF(HKM!A:A,"093*",HKM!C:C)</f>
        <v>0</v>
      </c>
      <c r="H47" s="164"/>
      <c r="I47" s="149">
        <f>SUM(B47:H47)</f>
        <v>0</v>
      </c>
      <c r="J47" s="135"/>
      <c r="K47" s="150"/>
      <c r="L47" s="163"/>
      <c r="M47" s="109"/>
    </row>
    <row r="48" spans="1:13" ht="15" customHeight="1" thickBot="1" x14ac:dyDescent="0.35">
      <c r="A48" s="13" t="s">
        <v>18</v>
      </c>
      <c r="B48" s="131"/>
      <c r="C48" s="131"/>
      <c r="D48" s="131"/>
      <c r="E48" s="131"/>
      <c r="F48" s="131"/>
      <c r="G48" s="131">
        <f>SUMIF(HKM!A:A,"093*",HKM!J:J)</f>
        <v>0</v>
      </c>
      <c r="H48" s="131"/>
      <c r="I48" s="149">
        <f t="shared" ref="I48:I49" si="6">SUM(B48:H48)</f>
        <v>0</v>
      </c>
      <c r="J48" s="135"/>
      <c r="K48" s="157"/>
      <c r="L48" s="135"/>
    </row>
    <row r="49" spans="1:13" ht="15" customHeight="1" thickBot="1" x14ac:dyDescent="0.35">
      <c r="A49" s="13" t="s">
        <v>19</v>
      </c>
      <c r="B49" s="131"/>
      <c r="C49" s="131"/>
      <c r="D49" s="131"/>
      <c r="E49" s="131"/>
      <c r="F49" s="131"/>
      <c r="G49" s="131">
        <f>SUMIF(HKM!A:A,"093*",HKM!I:I)</f>
        <v>0</v>
      </c>
      <c r="H49" s="131"/>
      <c r="I49" s="149">
        <f t="shared" si="6"/>
        <v>0</v>
      </c>
      <c r="J49" s="135"/>
      <c r="K49" s="157"/>
      <c r="L49" s="135"/>
    </row>
    <row r="50" spans="1:13" ht="15" thickBot="1" x14ac:dyDescent="0.35">
      <c r="A50" s="21" t="s">
        <v>21</v>
      </c>
      <c r="B50" s="164"/>
      <c r="C50" s="164"/>
      <c r="D50" s="164"/>
      <c r="E50" s="164"/>
      <c r="F50" s="164"/>
      <c r="G50" s="164">
        <f>SUMIF(HKM!A:A,"093*",HKM!L:L)-SUMIF(HKM!A:A,"093*",HKM!K:K)</f>
        <v>0</v>
      </c>
      <c r="H50" s="164">
        <f>SUMIF(SUAM!C:C,"010",SUAM!E:E)</f>
        <v>0</v>
      </c>
      <c r="I50" s="151">
        <f>I47+I48-I49</f>
        <v>0</v>
      </c>
      <c r="J50" s="135"/>
      <c r="K50" s="150"/>
      <c r="L50" s="156"/>
      <c r="M50" s="109"/>
    </row>
    <row r="51" spans="1:13" ht="15" customHeight="1" thickTop="1" thickBot="1" x14ac:dyDescent="0.35">
      <c r="A51" s="27" t="s">
        <v>25</v>
      </c>
      <c r="B51" s="169"/>
      <c r="C51" s="169"/>
      <c r="D51" s="169"/>
      <c r="E51" s="169"/>
      <c r="F51" s="169"/>
      <c r="G51" s="169"/>
      <c r="H51" s="169"/>
      <c r="I51" s="153"/>
      <c r="J51" s="135"/>
      <c r="K51" s="135"/>
      <c r="L51" s="135"/>
    </row>
    <row r="52" spans="1:13" ht="15" customHeight="1" thickTop="1" thickBot="1" x14ac:dyDescent="0.35">
      <c r="A52" s="30" t="s">
        <v>23</v>
      </c>
      <c r="B52" s="131"/>
      <c r="C52" s="131"/>
      <c r="D52" s="131"/>
      <c r="E52" s="131"/>
      <c r="F52" s="131"/>
      <c r="G52" s="131"/>
      <c r="H52" s="131"/>
      <c r="I52" s="149">
        <f t="shared" ref="I52" si="7">I36-I42-I47</f>
        <v>0</v>
      </c>
      <c r="J52" s="135"/>
      <c r="K52" s="135"/>
      <c r="L52" s="135"/>
    </row>
    <row r="53" spans="1:13" ht="15" customHeight="1" thickBot="1" x14ac:dyDescent="0.35">
      <c r="A53" s="21" t="s">
        <v>21</v>
      </c>
      <c r="B53" s="134"/>
      <c r="C53" s="134"/>
      <c r="D53" s="134"/>
      <c r="E53" s="134"/>
      <c r="F53" s="134"/>
      <c r="G53" s="134"/>
      <c r="H53" s="134"/>
      <c r="I53" s="151">
        <f t="shared" ref="I53" si="8">I40-I45-I50</f>
        <v>0</v>
      </c>
      <c r="J53" s="135"/>
      <c r="K53" s="135"/>
      <c r="L53" s="135"/>
    </row>
    <row r="54" spans="1:13" ht="15" thickTop="1" x14ac:dyDescent="0.3"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</sheetData>
  <mergeCells count="4">
    <mergeCell ref="A33:A34"/>
    <mergeCell ref="B33:I33"/>
    <mergeCell ref="A5:A6"/>
    <mergeCell ref="B5:I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8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2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</cols>
  <sheetData>
    <row r="1" spans="1:6" x14ac:dyDescent="0.3">
      <c r="A1" t="str">
        <f>VYSVETLIVKY!$B$39</f>
        <v>Poznámky Úč POD 3-01</v>
      </c>
      <c r="C1" s="248" t="str">
        <f>VYSVETLIVKY!$B$40</f>
        <v>IČO : 46043381</v>
      </c>
    </row>
    <row r="2" spans="1:6" x14ac:dyDescent="0.3">
      <c r="C2" s="248" t="str">
        <f>VYSVETLIVKY!$B$41</f>
        <v>DIČ : 2023202038</v>
      </c>
    </row>
    <row r="3" spans="1:6" ht="15" thickBot="1" x14ac:dyDescent="0.35">
      <c r="A3" s="1" t="s">
        <v>415</v>
      </c>
    </row>
    <row r="4" spans="1:6" ht="21.75" customHeight="1" thickTop="1" thickBot="1" x14ac:dyDescent="0.35">
      <c r="A4" s="43" t="s">
        <v>105</v>
      </c>
      <c r="B4" s="25" t="s">
        <v>2</v>
      </c>
      <c r="C4" s="25" t="s">
        <v>3</v>
      </c>
    </row>
    <row r="5" spans="1:6" ht="21.75" customHeight="1" thickTop="1" thickBot="1" x14ac:dyDescent="0.35">
      <c r="A5" s="74" t="s">
        <v>188</v>
      </c>
      <c r="B5" s="228">
        <f>SUMIF(HK!A:A,"472*",HK!D:D)-SUMIF(HK!A:A,"472*",HK!C:C)</f>
        <v>192.67000000000007</v>
      </c>
      <c r="C5" s="206">
        <f>SUMIF(HKM!A:A,"472*",HKM!D:D)-SUMIF(HKM!A:A,"472*",HKM!C:C)</f>
        <v>156.25</v>
      </c>
      <c r="D5" s="200"/>
      <c r="E5" s="229"/>
      <c r="F5" s="200"/>
    </row>
    <row r="6" spans="1:6" ht="21.75" customHeight="1" thickBot="1" x14ac:dyDescent="0.35">
      <c r="A6" s="49" t="s">
        <v>189</v>
      </c>
      <c r="B6" s="205">
        <f>SUMIF(HK!A:A,"472100",HK!J:J)</f>
        <v>195.29</v>
      </c>
      <c r="C6" s="211">
        <f>SUMIF(HKM!A:A,"472100",HKM!J:J)</f>
        <v>206.57</v>
      </c>
      <c r="D6" s="200"/>
      <c r="E6" s="200"/>
      <c r="F6" s="200"/>
    </row>
    <row r="7" spans="1:6" ht="21.75" customHeight="1" thickBot="1" x14ac:dyDescent="0.35">
      <c r="A7" s="49" t="s">
        <v>190</v>
      </c>
      <c r="B7" s="205"/>
      <c r="C7" s="211"/>
      <c r="D7" s="200"/>
      <c r="E7" s="200"/>
      <c r="F7" s="200"/>
    </row>
    <row r="8" spans="1:6" ht="21.75" customHeight="1" thickBot="1" x14ac:dyDescent="0.35">
      <c r="A8" s="49" t="s">
        <v>191</v>
      </c>
      <c r="B8" s="205"/>
      <c r="C8" s="211"/>
      <c r="D8" s="200"/>
      <c r="E8" s="200"/>
      <c r="F8" s="200"/>
    </row>
    <row r="9" spans="1:6" ht="21.75" customHeight="1" thickBot="1" x14ac:dyDescent="0.35">
      <c r="A9" s="74" t="s">
        <v>192</v>
      </c>
      <c r="B9" s="205">
        <f>SUM(B6:B8)</f>
        <v>195.29</v>
      </c>
      <c r="C9" s="211">
        <f>SUM(C6:C8)</f>
        <v>206.57</v>
      </c>
      <c r="D9" s="200"/>
      <c r="E9" s="200"/>
      <c r="F9" s="200"/>
    </row>
    <row r="10" spans="1:6" ht="21.75" customHeight="1" thickBot="1" x14ac:dyDescent="0.35">
      <c r="A10" s="74" t="s">
        <v>193</v>
      </c>
      <c r="B10" s="205">
        <f>SUMIF(HK!A:A,"472200",HK!I:I)+SUMIF(HK!A:A,"472300",HK!I:I)</f>
        <v>105.13</v>
      </c>
      <c r="C10" s="211">
        <f>SUMIF(HKM!A:A,"472200",HKM!I:I)+SUMIF(HKM!A:A,"472300",HKM!I:I)</f>
        <v>170.15</v>
      </c>
      <c r="D10" s="200"/>
      <c r="E10" s="200"/>
      <c r="F10" s="200"/>
    </row>
    <row r="11" spans="1:6" ht="21.75" customHeight="1" thickBot="1" x14ac:dyDescent="0.35">
      <c r="A11" s="50" t="s">
        <v>194</v>
      </c>
      <c r="B11" s="230">
        <f>SUMIF(HK!A:A,"472*",HK!L:L)-SUMIF(HK!A:A,"472*",HK!K:K)</f>
        <v>282.82999999999993</v>
      </c>
      <c r="C11" s="226">
        <f>SUMIF(HKM!A:A,"472*",HKM!L:L)-SUMIF(HKM!A:A,"472*",HKM!K:K)</f>
        <v>192.67000000000007</v>
      </c>
      <c r="D11" s="200"/>
      <c r="E11" s="229"/>
      <c r="F11" s="200"/>
    </row>
    <row r="12" spans="1:6" ht="15" thickTop="1" x14ac:dyDescent="0.3">
      <c r="A1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9"/>
  <sheetViews>
    <sheetView showGridLines="0" zoomScaleNormal="100" workbookViewId="0">
      <selection sqref="A1:F9"/>
    </sheetView>
  </sheetViews>
  <sheetFormatPr defaultRowHeight="14.4" x14ac:dyDescent="0.3"/>
  <cols>
    <col min="1" max="6" width="14.44140625" customWidth="1"/>
    <col min="7" max="7" width="23.33203125" customWidth="1"/>
  </cols>
  <sheetData>
    <row r="1" spans="1:6" x14ac:dyDescent="0.3">
      <c r="A1" t="str">
        <f>VYSVETLIVKY!$B$39</f>
        <v>Poznámky Úč POD 3-01</v>
      </c>
      <c r="F1" s="248" t="str">
        <f>VYSVETLIVKY!$B$40</f>
        <v>IČO : 46043381</v>
      </c>
    </row>
    <row r="2" spans="1:6" x14ac:dyDescent="0.3">
      <c r="F2" s="248" t="str">
        <f>VYSVETLIVKY!$B$41</f>
        <v>DIČ : 2023202038</v>
      </c>
    </row>
    <row r="3" spans="1:6" ht="15" thickBot="1" x14ac:dyDescent="0.35">
      <c r="A3" s="1" t="s">
        <v>416</v>
      </c>
    </row>
    <row r="4" spans="1:6" s="3" customFormat="1" ht="21.75" customHeight="1" thickTop="1" thickBot="1" x14ac:dyDescent="0.35">
      <c r="A4" s="43" t="s">
        <v>195</v>
      </c>
      <c r="B4" s="25" t="s">
        <v>196</v>
      </c>
      <c r="C4" s="25" t="s">
        <v>197</v>
      </c>
      <c r="D4" s="25" t="s">
        <v>198</v>
      </c>
      <c r="E4" s="25" t="s">
        <v>199</v>
      </c>
      <c r="F4" s="25" t="s">
        <v>141</v>
      </c>
    </row>
    <row r="5" spans="1:6" ht="21.75" customHeight="1" thickTop="1" thickBot="1" x14ac:dyDescent="0.35">
      <c r="A5" s="79"/>
      <c r="B5" s="77"/>
      <c r="C5" s="56"/>
      <c r="D5" s="56"/>
      <c r="E5" s="56"/>
      <c r="F5" s="57"/>
    </row>
    <row r="6" spans="1:6" ht="21.75" customHeight="1" thickBot="1" x14ac:dyDescent="0.35">
      <c r="A6" s="79"/>
      <c r="B6" s="77"/>
      <c r="C6" s="56"/>
      <c r="D6" s="56"/>
      <c r="E6" s="56"/>
      <c r="F6" s="57"/>
    </row>
    <row r="7" spans="1:6" ht="21.75" customHeight="1" thickBot="1" x14ac:dyDescent="0.35">
      <c r="A7" s="79"/>
      <c r="B7" s="77"/>
      <c r="C7" s="56"/>
      <c r="D7" s="56"/>
      <c r="E7" s="56"/>
      <c r="F7" s="57"/>
    </row>
    <row r="8" spans="1:6" ht="21.75" customHeight="1" thickBot="1" x14ac:dyDescent="0.35">
      <c r="A8" s="80"/>
      <c r="B8" s="78"/>
      <c r="C8" s="62"/>
      <c r="D8" s="62"/>
      <c r="E8" s="62"/>
      <c r="F8" s="55"/>
    </row>
    <row r="9" spans="1:6" ht="15" thickTop="1" x14ac:dyDescent="0.3"/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E17"/>
  <sheetViews>
    <sheetView showGridLines="0" zoomScaleNormal="100" workbookViewId="0">
      <selection sqref="A1:F9"/>
    </sheetView>
  </sheetViews>
  <sheetFormatPr defaultRowHeight="14.4" x14ac:dyDescent="0.3"/>
  <cols>
    <col min="1" max="1" width="27.5546875" customWidth="1"/>
    <col min="2" max="5" width="19.5546875" customWidth="1"/>
  </cols>
  <sheetData>
    <row r="1" spans="1:5" x14ac:dyDescent="0.3">
      <c r="A1" t="str">
        <f>VYSVETLIVKY!$B$39</f>
        <v>Poznámky Úč POD 3-01</v>
      </c>
      <c r="D1" s="248" t="str">
        <f>VYSVETLIVKY!$B$40</f>
        <v>IČO : 46043381</v>
      </c>
    </row>
    <row r="2" spans="1:5" x14ac:dyDescent="0.3">
      <c r="D2" s="248" t="str">
        <f>VYSVETLIVKY!$B$41</f>
        <v>DIČ : 2023202038</v>
      </c>
    </row>
    <row r="3" spans="1:5" ht="34.5" customHeight="1" x14ac:dyDescent="0.3">
      <c r="A3" s="269" t="s">
        <v>419</v>
      </c>
      <c r="B3" s="269"/>
      <c r="C3" s="269"/>
      <c r="D3" s="269"/>
    </row>
    <row r="4" spans="1:5" ht="15" thickBot="1" x14ac:dyDescent="0.35">
      <c r="A4" s="18" t="s">
        <v>7</v>
      </c>
      <c r="B4" s="18"/>
      <c r="C4" s="18"/>
      <c r="D4" s="18"/>
      <c r="E4" s="18"/>
    </row>
    <row r="5" spans="1:5" ht="15.6" thickTop="1" thickBot="1" x14ac:dyDescent="0.35">
      <c r="A5" s="275" t="s">
        <v>105</v>
      </c>
      <c r="B5" s="254" t="s">
        <v>206</v>
      </c>
      <c r="C5" s="255"/>
      <c r="D5" s="249" t="s">
        <v>207</v>
      </c>
      <c r="E5" s="18"/>
    </row>
    <row r="6" spans="1:5" ht="15.6" thickTop="1" thickBot="1" x14ac:dyDescent="0.35">
      <c r="A6" s="277"/>
      <c r="B6" s="19" t="s">
        <v>208</v>
      </c>
      <c r="C6" s="48" t="s">
        <v>209</v>
      </c>
      <c r="D6" s="264"/>
      <c r="E6" s="18"/>
    </row>
    <row r="7" spans="1:5" ht="18.75" customHeight="1" thickTop="1" thickBot="1" x14ac:dyDescent="0.35">
      <c r="A7" s="21" t="s">
        <v>210</v>
      </c>
      <c r="B7" s="42"/>
      <c r="C7" s="42"/>
      <c r="D7" s="44"/>
      <c r="E7" s="18"/>
    </row>
    <row r="8" spans="1:5" ht="18.75" customHeight="1" thickTop="1" thickBot="1" x14ac:dyDescent="0.35">
      <c r="A8" s="13"/>
      <c r="B8" s="56"/>
      <c r="C8" s="56"/>
      <c r="D8" s="57"/>
      <c r="E8" s="18"/>
    </row>
    <row r="9" spans="1:5" ht="18.75" customHeight="1" thickBot="1" x14ac:dyDescent="0.35">
      <c r="A9" s="13"/>
      <c r="B9" s="56"/>
      <c r="C9" s="56"/>
      <c r="D9" s="57"/>
      <c r="E9" s="18"/>
    </row>
    <row r="10" spans="1:5" ht="18.75" customHeight="1" thickBot="1" x14ac:dyDescent="0.35">
      <c r="A10" s="13"/>
      <c r="B10" s="56"/>
      <c r="C10" s="56"/>
      <c r="D10" s="57"/>
      <c r="E10" s="18"/>
    </row>
    <row r="11" spans="1:5" ht="18.75" customHeight="1" thickBot="1" x14ac:dyDescent="0.35">
      <c r="A11" s="15"/>
      <c r="B11" s="62"/>
      <c r="C11" s="103"/>
      <c r="D11" s="55"/>
      <c r="E11" s="18"/>
    </row>
    <row r="12" spans="1:5" ht="18.75" customHeight="1" thickTop="1" thickBot="1" x14ac:dyDescent="0.35">
      <c r="A12" s="21" t="s">
        <v>211</v>
      </c>
      <c r="B12" s="62"/>
      <c r="C12" s="104"/>
      <c r="D12" s="55"/>
      <c r="E12" s="18"/>
    </row>
    <row r="13" spans="1:5" ht="18.75" customHeight="1" thickTop="1" thickBot="1" x14ac:dyDescent="0.35">
      <c r="A13" s="13"/>
      <c r="B13" s="56"/>
      <c r="C13" s="56"/>
      <c r="D13" s="57"/>
      <c r="E13" s="18"/>
    </row>
    <row r="14" spans="1:5" ht="18.75" customHeight="1" thickBot="1" x14ac:dyDescent="0.35">
      <c r="A14" s="13"/>
      <c r="B14" s="56"/>
      <c r="C14" s="56"/>
      <c r="D14" s="57"/>
      <c r="E14" s="18"/>
    </row>
    <row r="15" spans="1:5" ht="18.75" customHeight="1" thickBot="1" x14ac:dyDescent="0.35">
      <c r="A15" s="13"/>
      <c r="B15" s="56"/>
      <c r="C15" s="56"/>
      <c r="D15" s="57"/>
      <c r="E15" s="18"/>
    </row>
    <row r="16" spans="1:5" ht="18.75" customHeight="1" thickBot="1" x14ac:dyDescent="0.35">
      <c r="A16" s="21"/>
      <c r="B16" s="62"/>
      <c r="C16" s="62"/>
      <c r="D16" s="55"/>
      <c r="E16" s="18"/>
    </row>
    <row r="17" spans="1:5" ht="15" thickTop="1" x14ac:dyDescent="0.3">
      <c r="A17" s="18"/>
      <c r="B17" s="18"/>
      <c r="C17" s="18"/>
      <c r="D17" s="18"/>
      <c r="E17" s="18"/>
    </row>
  </sheetData>
  <mergeCells count="4">
    <mergeCell ref="A5:A6"/>
    <mergeCell ref="B5:C5"/>
    <mergeCell ref="D5:D6"/>
    <mergeCell ref="A3:D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A1:I30"/>
  <sheetViews>
    <sheetView showGridLines="0" topLeftCell="A14" zoomScaleNormal="100" workbookViewId="0">
      <selection sqref="A1:F9"/>
    </sheetView>
  </sheetViews>
  <sheetFormatPr defaultColWidth="9.109375" defaultRowHeight="10.199999999999999" x14ac:dyDescent="0.3"/>
  <cols>
    <col min="1" max="1" width="23" style="18" customWidth="1"/>
    <col min="2" max="2" width="8.33203125" style="18" customWidth="1"/>
    <col min="3" max="6" width="13.88671875" style="18" customWidth="1"/>
    <col min="7" max="7" width="23.33203125" style="18" customWidth="1"/>
    <col min="8" max="16384" width="9.109375" style="18"/>
  </cols>
  <sheetData>
    <row r="1" spans="1:9" ht="14.4" x14ac:dyDescent="0.3">
      <c r="A1" t="str">
        <f>VYSVETLIVKY!$B$39</f>
        <v>Poznámky Úč POD 3-01</v>
      </c>
      <c r="F1" s="248" t="str">
        <f>VYSVETLIVKY!$B$40</f>
        <v>IČO : 46043381</v>
      </c>
    </row>
    <row r="2" spans="1:9" ht="14.4" x14ac:dyDescent="0.3">
      <c r="F2" s="248" t="str">
        <f>VYSVETLIVKY!$B$41</f>
        <v>DIČ : 2023202038</v>
      </c>
    </row>
    <row r="3" spans="1:9" ht="35.25" customHeight="1" thickBot="1" x14ac:dyDescent="0.3">
      <c r="A3" s="268" t="s">
        <v>417</v>
      </c>
      <c r="B3" s="268"/>
      <c r="C3" s="268"/>
      <c r="D3" s="268"/>
      <c r="E3" s="268"/>
      <c r="F3" s="268"/>
    </row>
    <row r="4" spans="1:9" ht="11.4" thickTop="1" thickBot="1" x14ac:dyDescent="0.35">
      <c r="A4" s="18" t="s">
        <v>7</v>
      </c>
    </row>
    <row r="5" spans="1:9" ht="66.75" customHeight="1" thickTop="1" thickBot="1" x14ac:dyDescent="0.35">
      <c r="A5" s="9" t="s">
        <v>105</v>
      </c>
      <c r="B5" s="9" t="s">
        <v>200</v>
      </c>
      <c r="C5" s="10" t="s">
        <v>342</v>
      </c>
      <c r="D5" s="9" t="s">
        <v>201</v>
      </c>
      <c r="E5" s="9" t="s">
        <v>202</v>
      </c>
      <c r="F5" s="9" t="s">
        <v>203</v>
      </c>
    </row>
    <row r="6" spans="1:9" ht="21.75" customHeight="1" thickTop="1" thickBot="1" x14ac:dyDescent="0.35">
      <c r="A6" s="36" t="s">
        <v>204</v>
      </c>
      <c r="B6" s="64"/>
      <c r="C6" s="64"/>
      <c r="D6" s="64"/>
      <c r="E6" s="64"/>
      <c r="F6" s="60"/>
    </row>
    <row r="7" spans="1:9" ht="21.75" customHeight="1" thickTop="1" thickBot="1" x14ac:dyDescent="0.35">
      <c r="A7" s="51"/>
      <c r="B7" s="121"/>
      <c r="C7" s="122"/>
      <c r="D7" s="123"/>
      <c r="E7" s="99"/>
      <c r="F7" s="54"/>
    </row>
    <row r="8" spans="1:9" ht="21.75" customHeight="1" thickBot="1" x14ac:dyDescent="0.35">
      <c r="A8" s="49"/>
      <c r="B8" s="81"/>
      <c r="C8" s="84"/>
      <c r="D8" s="68"/>
      <c r="E8" s="56"/>
      <c r="F8" s="57"/>
    </row>
    <row r="9" spans="1:9" ht="21.75" customHeight="1" thickBot="1" x14ac:dyDescent="0.35">
      <c r="A9" s="49"/>
      <c r="B9" s="81"/>
      <c r="C9" s="84"/>
      <c r="D9" s="68"/>
      <c r="E9" s="228">
        <f>SUMIF(SUP!C:C,"121",SUP!D:D)</f>
        <v>0</v>
      </c>
      <c r="F9" s="206">
        <f>SUMIF(SUP!C:C,"121",SUP!E:E)</f>
        <v>0</v>
      </c>
      <c r="G9" s="186"/>
      <c r="H9" s="231"/>
      <c r="I9" s="186"/>
    </row>
    <row r="10" spans="1:9" ht="21.75" customHeight="1" thickBot="1" x14ac:dyDescent="0.35">
      <c r="A10" s="72" t="s">
        <v>205</v>
      </c>
      <c r="B10" s="82"/>
      <c r="C10" s="85"/>
      <c r="D10" s="85"/>
      <c r="E10" s="232"/>
      <c r="F10" s="233"/>
      <c r="G10" s="186"/>
      <c r="H10" s="186"/>
      <c r="I10" s="186"/>
    </row>
    <row r="11" spans="1:9" ht="21.75" customHeight="1" thickTop="1" thickBot="1" x14ac:dyDescent="0.35">
      <c r="A11" s="49"/>
      <c r="B11" s="81"/>
      <c r="C11" s="84"/>
      <c r="D11" s="68"/>
      <c r="E11" s="205"/>
      <c r="F11" s="211"/>
      <c r="G11" s="186"/>
      <c r="H11" s="186"/>
      <c r="I11" s="186"/>
    </row>
    <row r="12" spans="1:9" ht="21.75" customHeight="1" thickBot="1" x14ac:dyDescent="0.35">
      <c r="A12" s="49"/>
      <c r="B12" s="81"/>
      <c r="C12" s="84"/>
      <c r="D12" s="68"/>
      <c r="E12" s="205"/>
      <c r="F12" s="211"/>
      <c r="G12" s="186"/>
      <c r="H12" s="186"/>
      <c r="I12" s="186"/>
    </row>
    <row r="13" spans="1:9" ht="21.75" customHeight="1" thickBot="1" x14ac:dyDescent="0.35">
      <c r="A13" s="50"/>
      <c r="B13" s="83"/>
      <c r="C13" s="87"/>
      <c r="D13" s="69"/>
      <c r="E13" s="230">
        <f>SUMIF(SUP!C:C,"139",SUP!D:D)</f>
        <v>0</v>
      </c>
      <c r="F13" s="226">
        <f>SUMIF(SUP!C:C,"139",SUP!E:E)</f>
        <v>0</v>
      </c>
      <c r="G13" s="186"/>
      <c r="H13" s="231"/>
      <c r="I13" s="186"/>
    </row>
    <row r="14" spans="1:9" ht="10.8" thickTop="1" x14ac:dyDescent="0.3">
      <c r="A14" s="71"/>
    </row>
    <row r="15" spans="1:9" ht="14.4" x14ac:dyDescent="0.3">
      <c r="A15" t="str">
        <f>VYSVETLIVKY!$B$39</f>
        <v>Poznámky Úč POD 3-01</v>
      </c>
      <c r="F15" s="248" t="str">
        <f>VYSVETLIVKY!$B$40</f>
        <v>IČO : 46043381</v>
      </c>
    </row>
    <row r="16" spans="1:9" ht="14.4" x14ac:dyDescent="0.3">
      <c r="F16" s="248" t="str">
        <f>VYSVETLIVKY!$B$41</f>
        <v>DIČ : 2023202038</v>
      </c>
    </row>
    <row r="17" spans="1:8" ht="10.8" thickBot="1" x14ac:dyDescent="0.35">
      <c r="A17" s="18" t="s">
        <v>9</v>
      </c>
    </row>
    <row r="18" spans="1:8" ht="66.75" customHeight="1" thickTop="1" thickBot="1" x14ac:dyDescent="0.35">
      <c r="A18" s="9" t="s">
        <v>105</v>
      </c>
      <c r="B18" s="9" t="s">
        <v>200</v>
      </c>
      <c r="C18" s="10" t="s">
        <v>342</v>
      </c>
      <c r="D18" s="9" t="s">
        <v>201</v>
      </c>
      <c r="E18" s="9" t="s">
        <v>202</v>
      </c>
      <c r="F18" s="9" t="s">
        <v>203</v>
      </c>
    </row>
    <row r="19" spans="1:8" ht="21.75" customHeight="1" thickTop="1" thickBot="1" x14ac:dyDescent="0.35">
      <c r="A19" s="36" t="s">
        <v>339</v>
      </c>
      <c r="B19" s="64"/>
      <c r="C19" s="64"/>
      <c r="D19" s="64"/>
      <c r="E19" s="64"/>
      <c r="F19" s="60"/>
    </row>
    <row r="20" spans="1:8" ht="21.75" customHeight="1" thickTop="1" thickBot="1" x14ac:dyDescent="0.35">
      <c r="A20" s="49"/>
      <c r="B20" s="81"/>
      <c r="C20" s="84"/>
      <c r="D20" s="68"/>
      <c r="E20" s="56"/>
      <c r="F20" s="57"/>
    </row>
    <row r="21" spans="1:8" ht="21.75" customHeight="1" thickBot="1" x14ac:dyDescent="0.35">
      <c r="A21" s="49"/>
      <c r="B21" s="81"/>
      <c r="C21" s="84"/>
      <c r="D21" s="68"/>
      <c r="E21" s="56"/>
      <c r="F21" s="57"/>
    </row>
    <row r="22" spans="1:8" ht="21.75" customHeight="1" thickBot="1" x14ac:dyDescent="0.35">
      <c r="A22" s="49"/>
      <c r="B22" s="81"/>
      <c r="C22" s="84"/>
      <c r="D22" s="68"/>
      <c r="E22" s="56"/>
      <c r="F22" s="57"/>
    </row>
    <row r="23" spans="1:8" ht="21.75" customHeight="1" thickBot="1" x14ac:dyDescent="0.35">
      <c r="A23" s="72" t="s">
        <v>340</v>
      </c>
      <c r="B23" s="82"/>
      <c r="C23" s="85"/>
      <c r="D23" s="85"/>
      <c r="E23" s="85"/>
      <c r="F23" s="86"/>
    </row>
    <row r="24" spans="1:8" ht="21.75" customHeight="1" thickTop="1" thickBot="1" x14ac:dyDescent="0.35">
      <c r="A24" s="49"/>
      <c r="B24" s="81"/>
      <c r="C24" s="84"/>
      <c r="D24" s="68"/>
      <c r="E24" s="56"/>
      <c r="F24" s="57"/>
    </row>
    <row r="25" spans="1:8" ht="21.75" customHeight="1" thickBot="1" x14ac:dyDescent="0.35">
      <c r="A25" s="49"/>
      <c r="B25" s="81"/>
      <c r="C25" s="84"/>
      <c r="D25" s="68"/>
      <c r="E25" s="56"/>
      <c r="F25" s="57"/>
    </row>
    <row r="26" spans="1:8" ht="21.75" customHeight="1" thickBot="1" x14ac:dyDescent="0.35">
      <c r="A26" s="49"/>
      <c r="B26" s="81"/>
      <c r="C26" s="84"/>
      <c r="D26" s="68"/>
      <c r="E26" s="56"/>
      <c r="F26" s="57"/>
    </row>
    <row r="27" spans="1:8" ht="21.75" customHeight="1" thickBot="1" x14ac:dyDescent="0.35">
      <c r="A27" s="72" t="s">
        <v>341</v>
      </c>
      <c r="B27" s="82"/>
      <c r="C27" s="85"/>
      <c r="D27" s="85"/>
      <c r="E27" s="85"/>
      <c r="F27" s="86"/>
    </row>
    <row r="28" spans="1:8" ht="21.75" customHeight="1" thickTop="1" thickBot="1" x14ac:dyDescent="0.35">
      <c r="A28" s="49"/>
      <c r="B28" s="81"/>
      <c r="C28" s="84"/>
      <c r="D28" s="68"/>
      <c r="E28" s="56"/>
      <c r="F28" s="57"/>
    </row>
    <row r="29" spans="1:8" ht="21.75" customHeight="1" thickBot="1" x14ac:dyDescent="0.35">
      <c r="A29" s="50"/>
      <c r="B29" s="83"/>
      <c r="C29" s="87"/>
      <c r="D29" s="69"/>
      <c r="E29" s="230">
        <f>SUMIF(SUP!C:C,"140",SUP!D:D)</f>
        <v>0</v>
      </c>
      <c r="F29" s="226">
        <f>SUMIF(SUP!C:C,"140",SUP!E:E)</f>
        <v>0</v>
      </c>
      <c r="G29" s="186"/>
      <c r="H29" s="231"/>
    </row>
    <row r="30" spans="1:8" ht="10.8" thickTop="1" x14ac:dyDescent="0.3">
      <c r="E30" s="186"/>
      <c r="F30" s="186"/>
      <c r="G30" s="186"/>
      <c r="H30" s="186"/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9"/>
  <sheetViews>
    <sheetView showGridLines="0" zoomScaleNormal="100" workbookViewId="0">
      <selection sqref="A1:F9"/>
    </sheetView>
  </sheetViews>
  <sheetFormatPr defaultRowHeight="14.4" x14ac:dyDescent="0.3"/>
  <cols>
    <col min="1" max="1" width="18.5546875" customWidth="1"/>
    <col min="2" max="5" width="17" customWidth="1"/>
  </cols>
  <sheetData>
    <row r="1" spans="1:5" x14ac:dyDescent="0.3">
      <c r="A1" t="str">
        <f>VYSVETLIVKY!$B$39</f>
        <v>Poznámky Úč POD 3-01</v>
      </c>
      <c r="E1" s="248" t="str">
        <f>VYSVETLIVKY!$B$40</f>
        <v>IČO : 46043381</v>
      </c>
    </row>
    <row r="2" spans="1:5" x14ac:dyDescent="0.3">
      <c r="E2" s="248" t="str">
        <f>VYSVETLIVKY!$B$41</f>
        <v>DIČ : 2023202038</v>
      </c>
    </row>
    <row r="3" spans="1:5" ht="33.75" customHeight="1" x14ac:dyDescent="0.3">
      <c r="A3" s="269" t="s">
        <v>419</v>
      </c>
      <c r="B3" s="269"/>
      <c r="C3" s="269"/>
      <c r="D3" s="269"/>
      <c r="E3" s="269"/>
    </row>
    <row r="4" spans="1:5" x14ac:dyDescent="0.3">
      <c r="A4" s="18"/>
      <c r="B4" s="18"/>
      <c r="C4" s="18"/>
      <c r="D4" s="18"/>
      <c r="E4" s="18"/>
    </row>
    <row r="5" spans="1:5" ht="15" thickBot="1" x14ac:dyDescent="0.35">
      <c r="A5" s="18" t="s">
        <v>9</v>
      </c>
      <c r="B5" s="18"/>
      <c r="C5" s="18"/>
      <c r="D5" s="18"/>
      <c r="E5" s="18"/>
    </row>
    <row r="6" spans="1:5" ht="28.5" customHeight="1" thickTop="1" thickBot="1" x14ac:dyDescent="0.35">
      <c r="A6" s="275" t="s">
        <v>105</v>
      </c>
      <c r="B6" s="254" t="s">
        <v>2</v>
      </c>
      <c r="C6" s="256"/>
      <c r="D6" s="254" t="s">
        <v>3</v>
      </c>
      <c r="E6" s="256"/>
    </row>
    <row r="7" spans="1:5" ht="17.25" customHeight="1" thickTop="1" thickBot="1" x14ac:dyDescent="0.35">
      <c r="A7" s="276"/>
      <c r="B7" s="254" t="s">
        <v>212</v>
      </c>
      <c r="C7" s="256"/>
      <c r="D7" s="254" t="s">
        <v>212</v>
      </c>
      <c r="E7" s="256"/>
    </row>
    <row r="8" spans="1:5" ht="21.6" thickTop="1" thickBot="1" x14ac:dyDescent="0.35">
      <c r="A8" s="277"/>
      <c r="B8" s="19" t="s">
        <v>213</v>
      </c>
      <c r="C8" s="19" t="s">
        <v>214</v>
      </c>
      <c r="D8" s="19" t="s">
        <v>213</v>
      </c>
      <c r="E8" s="19" t="s">
        <v>214</v>
      </c>
    </row>
    <row r="9" spans="1:5" ht="21.6" thickTop="1" thickBot="1" x14ac:dyDescent="0.35">
      <c r="A9" s="21" t="s">
        <v>210</v>
      </c>
      <c r="B9" s="42"/>
      <c r="C9" s="42"/>
      <c r="D9" s="44"/>
      <c r="E9" s="44"/>
    </row>
    <row r="10" spans="1:5" ht="18.75" customHeight="1" thickTop="1" thickBot="1" x14ac:dyDescent="0.35">
      <c r="A10" s="13"/>
      <c r="B10" s="56"/>
      <c r="C10" s="56"/>
      <c r="D10" s="57"/>
      <c r="E10" s="57"/>
    </row>
    <row r="11" spans="1:5" ht="18.75" customHeight="1" thickBot="1" x14ac:dyDescent="0.35">
      <c r="A11" s="13"/>
      <c r="B11" s="56"/>
      <c r="C11" s="56"/>
      <c r="D11" s="57"/>
      <c r="E11" s="57"/>
    </row>
    <row r="12" spans="1:5" ht="18.75" customHeight="1" thickBot="1" x14ac:dyDescent="0.35">
      <c r="A12" s="13"/>
      <c r="B12" s="56"/>
      <c r="C12" s="56"/>
      <c r="D12" s="57"/>
      <c r="E12" s="57"/>
    </row>
    <row r="13" spans="1:5" ht="18.75" customHeight="1" thickBot="1" x14ac:dyDescent="0.35">
      <c r="A13" s="15"/>
      <c r="B13" s="62"/>
      <c r="C13" s="103"/>
      <c r="D13" s="55"/>
      <c r="E13" s="55"/>
    </row>
    <row r="14" spans="1:5" ht="21.6" thickTop="1" thickBot="1" x14ac:dyDescent="0.35">
      <c r="A14" s="21" t="s">
        <v>211</v>
      </c>
      <c r="B14" s="62"/>
      <c r="C14" s="104"/>
      <c r="D14" s="55"/>
      <c r="E14" s="55"/>
    </row>
    <row r="15" spans="1:5" ht="18.75" customHeight="1" thickTop="1" thickBot="1" x14ac:dyDescent="0.35">
      <c r="A15" s="13"/>
      <c r="B15" s="56"/>
      <c r="C15" s="56"/>
      <c r="D15" s="57"/>
      <c r="E15" s="57"/>
    </row>
    <row r="16" spans="1:5" ht="18.75" customHeight="1" thickBot="1" x14ac:dyDescent="0.35">
      <c r="A16" s="13"/>
      <c r="B16" s="56"/>
      <c r="C16" s="56"/>
      <c r="D16" s="57"/>
      <c r="E16" s="57"/>
    </row>
    <row r="17" spans="1:5" ht="18.75" customHeight="1" thickBot="1" x14ac:dyDescent="0.35">
      <c r="A17" s="13"/>
      <c r="B17" s="56"/>
      <c r="C17" s="56"/>
      <c r="D17" s="57"/>
      <c r="E17" s="57"/>
    </row>
    <row r="18" spans="1:5" ht="18.75" customHeight="1" thickBot="1" x14ac:dyDescent="0.35">
      <c r="A18" s="21"/>
      <c r="B18" s="62"/>
      <c r="C18" s="62"/>
      <c r="D18" s="55"/>
      <c r="E18" s="55"/>
    </row>
    <row r="19" spans="1:5" ht="15" thickTop="1" x14ac:dyDescent="0.3">
      <c r="A19" s="18"/>
      <c r="B19" s="18"/>
      <c r="C19" s="18"/>
      <c r="D19" s="18"/>
      <c r="E19" s="18"/>
    </row>
  </sheetData>
  <mergeCells count="6">
    <mergeCell ref="A3:E3"/>
    <mergeCell ref="A6:A8"/>
    <mergeCell ref="B6:C6"/>
    <mergeCell ref="D6:E6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11"/>
  <sheetViews>
    <sheetView showGridLines="0" zoomScaleNormal="100" workbookViewId="0">
      <selection sqref="A1:F9"/>
    </sheetView>
  </sheetViews>
  <sheetFormatPr defaultRowHeight="14.4" x14ac:dyDescent="0.3"/>
  <cols>
    <col min="1" max="1" width="31.6640625" customWidth="1"/>
    <col min="2" max="3" width="27.33203125" customWidth="1"/>
    <col min="4" max="4" width="21.88671875" customWidth="1"/>
    <col min="5" max="5" width="19.5546875" customWidth="1"/>
  </cols>
  <sheetData>
    <row r="1" spans="1:3" x14ac:dyDescent="0.3">
      <c r="A1" t="str">
        <f>VYSVETLIVKY!$B$39</f>
        <v>Poznámky Úč POD 3-01</v>
      </c>
      <c r="C1" s="248" t="str">
        <f>VYSVETLIVKY!$B$40</f>
        <v>IČO : 46043381</v>
      </c>
    </row>
    <row r="2" spans="1:3" x14ac:dyDescent="0.3">
      <c r="C2" s="248" t="str">
        <f>VYSVETLIVKY!$B$41</f>
        <v>DIČ : 2023202038</v>
      </c>
    </row>
    <row r="3" spans="1:3" ht="15" thickBot="1" x14ac:dyDescent="0.35">
      <c r="A3" s="1" t="s">
        <v>420</v>
      </c>
    </row>
    <row r="4" spans="1:3" ht="15.6" thickTop="1" thickBot="1" x14ac:dyDescent="0.35">
      <c r="A4" s="275" t="s">
        <v>215</v>
      </c>
      <c r="B4" s="254" t="s">
        <v>216</v>
      </c>
      <c r="C4" s="256"/>
    </row>
    <row r="5" spans="1:3" ht="21.6" thickTop="1" thickBot="1" x14ac:dyDescent="0.35">
      <c r="A5" s="277"/>
      <c r="B5" s="25" t="s">
        <v>2</v>
      </c>
      <c r="C5" s="25" t="s">
        <v>3</v>
      </c>
    </row>
    <row r="6" spans="1:3" ht="20.25" customHeight="1" thickTop="1" thickBot="1" x14ac:dyDescent="0.35">
      <c r="A6" s="13" t="s">
        <v>217</v>
      </c>
      <c r="B6" s="56"/>
      <c r="C6" s="57"/>
    </row>
    <row r="7" spans="1:3" ht="20.25" customHeight="1" thickBot="1" x14ac:dyDescent="0.35">
      <c r="A7" s="13" t="s">
        <v>218</v>
      </c>
      <c r="B7" s="56"/>
      <c r="C7" s="57"/>
    </row>
    <row r="8" spans="1:3" ht="20.25" customHeight="1" thickBot="1" x14ac:dyDescent="0.35">
      <c r="A8" s="13" t="s">
        <v>219</v>
      </c>
      <c r="B8" s="56"/>
      <c r="C8" s="57"/>
    </row>
    <row r="9" spans="1:3" ht="20.25" customHeight="1" thickBot="1" x14ac:dyDescent="0.35">
      <c r="A9" s="13" t="s">
        <v>220</v>
      </c>
      <c r="B9" s="56"/>
      <c r="C9" s="57"/>
    </row>
    <row r="10" spans="1:3" ht="20.25" customHeight="1" thickBot="1" x14ac:dyDescent="0.35">
      <c r="A10" s="21" t="s">
        <v>8</v>
      </c>
      <c r="B10" s="62">
        <f>SUM(B6:B9)</f>
        <v>0</v>
      </c>
      <c r="C10" s="55">
        <f>SUM(C6:C9)</f>
        <v>0</v>
      </c>
    </row>
    <row r="11" spans="1:3" ht="15" thickTop="1" x14ac:dyDescent="0.3">
      <c r="A11" s="1"/>
    </row>
  </sheetData>
  <mergeCells count="2">
    <mergeCell ref="B4:C4"/>
    <mergeCell ref="A4:A5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10"/>
  <sheetViews>
    <sheetView showGridLines="0" zoomScaleNormal="100" workbookViewId="0">
      <selection sqref="A1:F9"/>
    </sheetView>
  </sheetViews>
  <sheetFormatPr defaultRowHeight="14.4" x14ac:dyDescent="0.3"/>
  <cols>
    <col min="1" max="1" width="18.88671875" customWidth="1"/>
    <col min="2" max="7" width="11.33203125" customWidth="1"/>
  </cols>
  <sheetData>
    <row r="1" spans="1:7" x14ac:dyDescent="0.3">
      <c r="A1" t="str">
        <f>VYSVETLIVKY!$B$39</f>
        <v>Poznámky Úč POD 3-01</v>
      </c>
      <c r="G1" s="248" t="str">
        <f>VYSVETLIVKY!$B$40</f>
        <v>IČO : 46043381</v>
      </c>
    </row>
    <row r="2" spans="1:7" x14ac:dyDescent="0.3">
      <c r="G2" s="248" t="str">
        <f>VYSVETLIVKY!$B$41</f>
        <v>DIČ : 2023202038</v>
      </c>
    </row>
    <row r="3" spans="1:7" ht="15" thickBot="1" x14ac:dyDescent="0.35">
      <c r="A3" s="1" t="s">
        <v>421</v>
      </c>
    </row>
    <row r="4" spans="1:7" ht="24.75" customHeight="1" thickTop="1" thickBot="1" x14ac:dyDescent="0.35">
      <c r="A4" s="275" t="s">
        <v>1</v>
      </c>
      <c r="B4" s="272" t="s">
        <v>2</v>
      </c>
      <c r="C4" s="273"/>
      <c r="D4" s="274"/>
      <c r="E4" s="254" t="s">
        <v>3</v>
      </c>
      <c r="F4" s="255"/>
      <c r="G4" s="256"/>
    </row>
    <row r="5" spans="1:7" ht="16.5" customHeight="1" thickTop="1" thickBot="1" x14ac:dyDescent="0.35">
      <c r="A5" s="276"/>
      <c r="B5" s="272" t="s">
        <v>141</v>
      </c>
      <c r="C5" s="273"/>
      <c r="D5" s="274"/>
      <c r="E5" s="272" t="s">
        <v>141</v>
      </c>
      <c r="F5" s="273"/>
      <c r="G5" s="274"/>
    </row>
    <row r="6" spans="1:7" s="3" customFormat="1" ht="45" customHeight="1" thickTop="1" thickBot="1" x14ac:dyDescent="0.35">
      <c r="A6" s="277"/>
      <c r="B6" s="19" t="s">
        <v>142</v>
      </c>
      <c r="C6" s="19" t="s">
        <v>143</v>
      </c>
      <c r="D6" s="19" t="s">
        <v>144</v>
      </c>
      <c r="E6" s="19" t="s">
        <v>142</v>
      </c>
      <c r="F6" s="19" t="s">
        <v>143</v>
      </c>
      <c r="G6" s="19" t="s">
        <v>144</v>
      </c>
    </row>
    <row r="7" spans="1:7" ht="18.75" customHeight="1" thickTop="1" thickBot="1" x14ac:dyDescent="0.35">
      <c r="A7" s="51" t="s">
        <v>145</v>
      </c>
      <c r="B7" s="99"/>
      <c r="C7" s="99"/>
      <c r="D7" s="99"/>
      <c r="E7" s="99"/>
      <c r="F7" s="99"/>
      <c r="G7" s="54"/>
    </row>
    <row r="8" spans="1:7" ht="18.75" customHeight="1" thickBot="1" x14ac:dyDescent="0.35">
      <c r="A8" s="49" t="s">
        <v>221</v>
      </c>
      <c r="B8" s="56"/>
      <c r="C8" s="56"/>
      <c r="D8" s="56"/>
      <c r="E8" s="56"/>
      <c r="F8" s="56"/>
      <c r="G8" s="57"/>
    </row>
    <row r="9" spans="1:7" ht="18.75" customHeight="1" thickBot="1" x14ac:dyDescent="0.35">
      <c r="A9" s="50" t="s">
        <v>8</v>
      </c>
      <c r="B9" s="62">
        <f>B7+B8</f>
        <v>0</v>
      </c>
      <c r="C9" s="62">
        <f t="shared" ref="C9:G9" si="0">C7+C8</f>
        <v>0</v>
      </c>
      <c r="D9" s="62">
        <f t="shared" si="0"/>
        <v>0</v>
      </c>
      <c r="E9" s="62">
        <f t="shared" si="0"/>
        <v>0</v>
      </c>
      <c r="F9" s="62">
        <f t="shared" si="0"/>
        <v>0</v>
      </c>
      <c r="G9" s="55">
        <f t="shared" si="0"/>
        <v>0</v>
      </c>
    </row>
    <row r="10" spans="1:7" ht="15" thickTop="1" x14ac:dyDescent="0.3"/>
  </sheetData>
  <mergeCells count="5">
    <mergeCell ref="B4:D4"/>
    <mergeCell ref="E4:G4"/>
    <mergeCell ref="B5:D5"/>
    <mergeCell ref="E5:G5"/>
    <mergeCell ref="A4:A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5"/>
  <sheetViews>
    <sheetView showGridLines="0" zoomScaleNormal="100" workbookViewId="0">
      <selection sqref="A1:F9"/>
    </sheetView>
  </sheetViews>
  <sheetFormatPr defaultRowHeight="14.4" x14ac:dyDescent="0.3"/>
  <cols>
    <col min="1" max="1" width="24.5546875" customWidth="1"/>
    <col min="2" max="6" width="12.33203125" customWidth="1"/>
    <col min="7" max="7" width="13" customWidth="1"/>
  </cols>
  <sheetData>
    <row r="1" spans="1:10" x14ac:dyDescent="0.3">
      <c r="A1" t="str">
        <f>VYSVETLIVKY!$B$39</f>
        <v>Poznámky Úč POD 3-01</v>
      </c>
      <c r="F1" s="248" t="str">
        <f>VYSVETLIVKY!$B$40</f>
        <v>IČO : 46043381</v>
      </c>
    </row>
    <row r="2" spans="1:10" x14ac:dyDescent="0.3">
      <c r="F2" s="248" t="str">
        <f>VYSVETLIVKY!$B$41</f>
        <v>DIČ : 2023202038</v>
      </c>
    </row>
    <row r="3" spans="1:10" ht="15" thickBot="1" x14ac:dyDescent="0.35">
      <c r="A3" s="1" t="s">
        <v>422</v>
      </c>
    </row>
    <row r="4" spans="1:10" ht="33" customHeight="1" thickTop="1" thickBot="1" x14ac:dyDescent="0.35">
      <c r="A4" s="275" t="s">
        <v>105</v>
      </c>
      <c r="B4" s="25" t="s">
        <v>2</v>
      </c>
      <c r="C4" s="254" t="s">
        <v>3</v>
      </c>
      <c r="D4" s="256"/>
      <c r="E4" s="254" t="s">
        <v>222</v>
      </c>
      <c r="F4" s="256"/>
    </row>
    <row r="5" spans="1:10" ht="45" customHeight="1" thickTop="1" thickBot="1" x14ac:dyDescent="0.35">
      <c r="A5" s="277"/>
      <c r="B5" s="19" t="s">
        <v>223</v>
      </c>
      <c r="C5" s="19" t="s">
        <v>223</v>
      </c>
      <c r="D5" s="19" t="s">
        <v>224</v>
      </c>
      <c r="E5" s="19" t="s">
        <v>2</v>
      </c>
      <c r="F5" s="19" t="s">
        <v>344</v>
      </c>
    </row>
    <row r="6" spans="1:10" ht="21.6" thickTop="1" thickBot="1" x14ac:dyDescent="0.35">
      <c r="A6" s="91" t="s">
        <v>343</v>
      </c>
      <c r="B6" s="199">
        <f>SUMIF(HK!A:A,"121*",HK!K:K)-SUMIF(HK!A:A,"121*",HK!L:L)+SUMIF(HK!A:A,"122*",HK!K:K)-SUMIF(HK!A:A,"122*",HK!L:L)</f>
        <v>0</v>
      </c>
      <c r="C6" s="199">
        <f>SUMIF(HKM!A:A,"121*",HKM!K:K)-SUMIF(HKM!A:A,"121*",HKM!L:L)+SUMIF(HKM!A:A,"122*",HKM!K:K)-SUMIF(HKM!A:A,"122*",HKM!L:L)</f>
        <v>0</v>
      </c>
      <c r="D6" s="199">
        <f>SUMIF(HKM!A:A,"121*",HKM!C:C)-SUMIF(HKM!A:A,"121*",HKM!D:D)+SUMIF(HKM!A:A,"122*",HKM!C:C)-SUMIF(HKM!A:A,"122*",HKM!D:D)</f>
        <v>0</v>
      </c>
      <c r="E6" s="199">
        <f>SUMIF(HK!A:A,"611*",HK!L:L)-SUMIF(HK!A:A,"611*",HK!K:K)+SUMIF(HK!A:A,"612*",HK!L:L)-SUMIF(HK!A:A,"611*",HK!K:K)</f>
        <v>0</v>
      </c>
      <c r="F6" s="199">
        <f>SUMIF(HKM!A:A,"611*",HKM!L:L)-SUMIF(HKM!A:A,"611*",HKM!K:K)+SUMIF(HKM!A:A,"612*",HKM!L:L)-SUMIF(HKM!A:A,"612*",HKM!K:K)</f>
        <v>0</v>
      </c>
      <c r="G6" s="200"/>
      <c r="H6" s="196"/>
      <c r="I6" s="200"/>
      <c r="J6" s="200"/>
    </row>
    <row r="7" spans="1:10" ht="15" thickBot="1" x14ac:dyDescent="0.35">
      <c r="A7" s="89" t="s">
        <v>70</v>
      </c>
      <c r="B7" s="199">
        <f>SUMIF(HK!A:A,"123*",HK!K:K)-SUMIF(HK!A:A,"123*",HK!L:L)</f>
        <v>0</v>
      </c>
      <c r="C7" s="199">
        <f>SUMIF(HKM!A:A,"123*",HKM!K:K)-SUMIF(HKM!A:A,"123*",HKM!L:L)</f>
        <v>0</v>
      </c>
      <c r="D7" s="199">
        <f>SUMIF(HKM!A:A,"123*",HKM!C:C)</f>
        <v>0</v>
      </c>
      <c r="E7" s="199">
        <f>SUMIF(HK!A:A,"613*",HK!L:L)-SUMIF(HK!A:A,"613*",HK!K:K)</f>
        <v>0</v>
      </c>
      <c r="F7" s="199">
        <f>SUMIF(HKM!A:A,"613*",HKM!L:L)-SUMIF(HKM!A:A,"613*",HKM!K:K)</f>
        <v>0</v>
      </c>
      <c r="G7" s="200"/>
      <c r="H7" s="196"/>
      <c r="I7" s="200"/>
      <c r="J7" s="200"/>
    </row>
    <row r="8" spans="1:10" ht="15" thickBot="1" x14ac:dyDescent="0.35">
      <c r="A8" s="13" t="s">
        <v>225</v>
      </c>
      <c r="B8" s="199">
        <f>SUMIF(HK!A:A,"124*",HK!K:K)-SUMIF(HK!A:A,"124*",HK!L:L)</f>
        <v>0</v>
      </c>
      <c r="C8" s="199">
        <f>SUMIF(HKM!A:A,"124*",HKM!K:K)-SUMIF(HKM!A:A,"124*",HKM!L:L)</f>
        <v>0</v>
      </c>
      <c r="D8" s="199">
        <f>SUMIF(HKM!A:A,"124*",HKM!C:C)-SUMIF(HKM!A:A,"124*",HKM!D:D)</f>
        <v>0</v>
      </c>
      <c r="E8" s="199">
        <f>SUMIF(HK!A:A,"614*",HK!L:L)-SUMIF(HK!A:A,"614*",HK!K:K)</f>
        <v>0</v>
      </c>
      <c r="F8" s="199">
        <f>SUMIF(HKM!A:A,"614*",HKM!L:L)-SUMIF(HKM!A:A,"614*",HKM!K:K)</f>
        <v>0</v>
      </c>
      <c r="G8" s="200"/>
      <c r="H8" s="196"/>
      <c r="I8" s="200"/>
      <c r="J8" s="200"/>
    </row>
    <row r="9" spans="1:10" ht="19.5" customHeight="1" thickBot="1" x14ac:dyDescent="0.35">
      <c r="A9" s="13" t="s">
        <v>8</v>
      </c>
      <c r="B9" s="215"/>
      <c r="C9" s="215"/>
      <c r="D9" s="234"/>
      <c r="E9" s="211"/>
      <c r="F9" s="211"/>
      <c r="G9" s="200"/>
      <c r="H9" s="235"/>
      <c r="I9" s="200"/>
      <c r="J9" s="200"/>
    </row>
    <row r="10" spans="1:10" ht="15" thickBot="1" x14ac:dyDescent="0.35">
      <c r="A10" s="13" t="s">
        <v>226</v>
      </c>
      <c r="B10" s="240" t="s">
        <v>10</v>
      </c>
      <c r="C10" s="240" t="s">
        <v>10</v>
      </c>
      <c r="D10" s="241" t="s">
        <v>10</v>
      </c>
      <c r="E10" s="199">
        <f>SUMIF(HK!A:A,"549*",HK!K:K)-SUMIF(HK!A:A,"549*",HK!L:L)</f>
        <v>53.88</v>
      </c>
      <c r="F10" s="199">
        <f>SUMIF(HKM!A:A,"549*",HKM!K:K)-SUMIF(HKM!A:A,"549*",HKM!L:L)</f>
        <v>37.44</v>
      </c>
      <c r="G10" s="200"/>
      <c r="H10" s="196"/>
      <c r="I10" s="200"/>
      <c r="J10" s="200"/>
    </row>
    <row r="11" spans="1:10" ht="15" thickBot="1" x14ac:dyDescent="0.35">
      <c r="A11" s="13" t="s">
        <v>227</v>
      </c>
      <c r="B11" s="240" t="s">
        <v>10</v>
      </c>
      <c r="C11" s="240" t="s">
        <v>10</v>
      </c>
      <c r="D11" s="241" t="s">
        <v>10</v>
      </c>
      <c r="E11" s="199">
        <f>SUMIF(HK!A:A,"513*",HK!K:K)-SUMIF(HK!A:A,"513*",HK!L:L)</f>
        <v>0</v>
      </c>
      <c r="F11" s="199">
        <f>SUMIF(HKM!A:A,"513*",HKM!K:K)-SUMIF(HKM!A:A,"513*",HKM!L:L)</f>
        <v>0</v>
      </c>
      <c r="G11" s="200"/>
      <c r="H11" s="196"/>
      <c r="I11" s="200"/>
      <c r="J11" s="200"/>
    </row>
    <row r="12" spans="1:10" ht="15" thickBot="1" x14ac:dyDescent="0.35">
      <c r="A12" s="13" t="s">
        <v>228</v>
      </c>
      <c r="B12" s="240" t="s">
        <v>10</v>
      </c>
      <c r="C12" s="240" t="s">
        <v>10</v>
      </c>
      <c r="D12" s="241" t="s">
        <v>10</v>
      </c>
      <c r="E12" s="199">
        <f>SUMIF(HK!A:A,"543*",HK!K:K)-SUMIF(HK!A:A,"543*",HK!L:L)</f>
        <v>0</v>
      </c>
      <c r="F12" s="199">
        <f>SUMIF(HKM!A:A,"543*",HKM!K:K)-SUMIF(HKM!A:A,"543*",HKM!L:L)</f>
        <v>0</v>
      </c>
      <c r="G12" s="200"/>
      <c r="H12" s="196"/>
      <c r="I12" s="200"/>
      <c r="J12" s="200"/>
    </row>
    <row r="13" spans="1:10" ht="19.5" customHeight="1" thickBot="1" x14ac:dyDescent="0.35">
      <c r="A13" s="15" t="s">
        <v>229</v>
      </c>
      <c r="B13" s="242" t="s">
        <v>10</v>
      </c>
      <c r="C13" s="242" t="s">
        <v>10</v>
      </c>
      <c r="D13" s="243" t="s">
        <v>10</v>
      </c>
      <c r="E13" s="212"/>
      <c r="F13" s="212"/>
      <c r="G13" s="200"/>
      <c r="H13" s="235"/>
      <c r="I13" s="200"/>
      <c r="J13" s="200"/>
    </row>
    <row r="14" spans="1:10" ht="31.8" thickTop="1" thickBot="1" x14ac:dyDescent="0.35">
      <c r="A14" s="21" t="s">
        <v>230</v>
      </c>
      <c r="B14" s="242" t="s">
        <v>10</v>
      </c>
      <c r="C14" s="242" t="s">
        <v>10</v>
      </c>
      <c r="D14" s="243" t="s">
        <v>10</v>
      </c>
      <c r="E14" s="206">
        <f>SUMIF(VZaS!C:C,"06",VZaS!D:D)</f>
        <v>0</v>
      </c>
      <c r="F14" s="206">
        <f>SUMIF(VZaS!C:C,"06",VZaS!E:E)</f>
        <v>0</v>
      </c>
      <c r="G14" s="200"/>
      <c r="H14" s="236"/>
      <c r="I14" s="200"/>
      <c r="J14" s="200"/>
    </row>
    <row r="15" spans="1:10" ht="15" thickTop="1" x14ac:dyDescent="0.3"/>
  </sheetData>
  <mergeCells count="3"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2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7" x14ac:dyDescent="0.3">
      <c r="A1" t="str">
        <f>VYSVETLIVKY!$B$39</f>
        <v>Poznámky Úč POD 3-01</v>
      </c>
      <c r="C1" s="248" t="str">
        <f>VYSVETLIVKY!$B$40</f>
        <v>IČO : 46043381</v>
      </c>
    </row>
    <row r="2" spans="1:7" x14ac:dyDescent="0.3">
      <c r="C2" s="248" t="str">
        <f>VYSVETLIVKY!$B$41</f>
        <v>DIČ : 2023202038</v>
      </c>
    </row>
    <row r="3" spans="1:7" ht="15" thickBot="1" x14ac:dyDescent="0.35">
      <c r="A3" s="1" t="s">
        <v>423</v>
      </c>
    </row>
    <row r="4" spans="1:7" ht="26.25" customHeight="1" thickTop="1" thickBot="1" x14ac:dyDescent="0.35">
      <c r="A4" s="43" t="s">
        <v>105</v>
      </c>
      <c r="B4" s="25" t="s">
        <v>2</v>
      </c>
      <c r="C4" s="25" t="s">
        <v>3</v>
      </c>
    </row>
    <row r="5" spans="1:7" ht="18.75" customHeight="1" thickTop="1" thickBot="1" x14ac:dyDescent="0.35">
      <c r="A5" s="49" t="s">
        <v>231</v>
      </c>
      <c r="B5" s="206">
        <f>SUMIF(HK!A:A,"601*",HK!L:L)-SUMIF(HK!A:A,"601*",HK!K:K)</f>
        <v>0</v>
      </c>
      <c r="C5" s="206">
        <f>SUMIF(HKM!A:A,"601*",HKM!L:L)-SUMIF(HKM!A:A,"601*",HKM!K:K)</f>
        <v>0</v>
      </c>
      <c r="D5" s="200"/>
      <c r="E5" s="229"/>
      <c r="G5" s="115"/>
    </row>
    <row r="6" spans="1:7" ht="18.75" customHeight="1" thickBot="1" x14ac:dyDescent="0.35">
      <c r="A6" s="49" t="s">
        <v>232</v>
      </c>
      <c r="B6" s="206">
        <f>SUMIF(HK!A:A,"602*",HK!L:L)-SUMIF(HK!A:A,"602*",HK!K:K)</f>
        <v>167.07</v>
      </c>
      <c r="C6" s="206">
        <f>SUMIF(HKM!A:A,"602*",HKM!L:L)-SUMIF(HKM!A:A,"602*",HKM!K:K)</f>
        <v>313.02</v>
      </c>
      <c r="D6" s="200"/>
      <c r="E6" s="229"/>
      <c r="G6" s="115"/>
    </row>
    <row r="7" spans="1:7" ht="18.75" customHeight="1" thickBot="1" x14ac:dyDescent="0.35">
      <c r="A7" s="49" t="s">
        <v>233</v>
      </c>
      <c r="B7" s="206">
        <f>SUMIF(HK!A:A,"604*",HK!L:L)-SUMIF(HK!A:A,"604*",HK!K:K)</f>
        <v>468743.69999999995</v>
      </c>
      <c r="C7" s="206">
        <f>SUMIF(HKM!A:A,"604*",HKM!L:L)-SUMIF(HKM!A:A,"604*",HKM!K:K)</f>
        <v>466726.66</v>
      </c>
      <c r="D7" s="200"/>
      <c r="E7" s="229"/>
      <c r="G7" s="115"/>
    </row>
    <row r="8" spans="1:7" ht="18.75" customHeight="1" thickBot="1" x14ac:dyDescent="0.35">
      <c r="A8" s="49" t="s">
        <v>234</v>
      </c>
      <c r="B8" s="206">
        <f>SUMIF(HK!A:A,"606*",HK!L:L)-SUMIF(HK!A:A,"606*",HK!K:K)</f>
        <v>0</v>
      </c>
      <c r="C8" s="206">
        <f>SUMIF(HKM!A:A,"606*",HKM!L:L)-SUMIF(HKM!A:A,"606*",HKM!K:K)</f>
        <v>0</v>
      </c>
      <c r="D8" s="200"/>
      <c r="E8" s="229"/>
      <c r="G8" s="115"/>
    </row>
    <row r="9" spans="1:7" ht="18.75" customHeight="1" thickBot="1" x14ac:dyDescent="0.35">
      <c r="A9" s="49" t="s">
        <v>235</v>
      </c>
      <c r="B9" s="206"/>
      <c r="C9" s="206"/>
      <c r="D9" s="200"/>
      <c r="E9" s="229"/>
      <c r="G9" s="130"/>
    </row>
    <row r="10" spans="1:7" ht="15" thickBot="1" x14ac:dyDescent="0.35">
      <c r="A10" s="13" t="s">
        <v>236</v>
      </c>
      <c r="B10" s="211"/>
      <c r="C10" s="211"/>
      <c r="D10" s="200"/>
      <c r="E10" s="200"/>
      <c r="G10" s="115"/>
    </row>
    <row r="11" spans="1:7" ht="18.75" customHeight="1" thickBot="1" x14ac:dyDescent="0.35">
      <c r="A11" s="50" t="s">
        <v>237</v>
      </c>
      <c r="B11" s="55">
        <f>SUM(B5:B10)</f>
        <v>468910.76999999996</v>
      </c>
      <c r="C11" s="55">
        <f>SUM(C5:C10)</f>
        <v>467039.68</v>
      </c>
    </row>
    <row r="12" spans="1:7" ht="15" thickTop="1" x14ac:dyDescent="0.3"/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E26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27.88671875" customWidth="1"/>
    <col min="2" max="2" width="29.5546875" customWidth="1"/>
    <col min="3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5" x14ac:dyDescent="0.3">
      <c r="A1" t="str">
        <f>VYSVETLIVKY!$B$39</f>
        <v>Poznámky Úč POD 3-01</v>
      </c>
      <c r="C1" s="248" t="str">
        <f>VYSVETLIVKY!$B$40</f>
        <v>IČO : 46043381</v>
      </c>
    </row>
    <row r="2" spans="1:5" x14ac:dyDescent="0.3">
      <c r="C2" s="248" t="str">
        <f>VYSVETLIVKY!$B$41</f>
        <v>DIČ : 2023202038</v>
      </c>
    </row>
    <row r="3" spans="1:5" ht="15" thickBot="1" x14ac:dyDescent="0.35">
      <c r="A3" s="1" t="s">
        <v>435</v>
      </c>
    </row>
    <row r="4" spans="1:5" ht="30.75" customHeight="1" thickTop="1" thickBot="1" x14ac:dyDescent="0.35">
      <c r="A4" s="43" t="s">
        <v>105</v>
      </c>
      <c r="B4" s="25" t="s">
        <v>2</v>
      </c>
      <c r="C4" s="25" t="s">
        <v>3</v>
      </c>
    </row>
    <row r="5" spans="1:5" ht="24" customHeight="1" thickTop="1" thickBot="1" x14ac:dyDescent="0.35">
      <c r="A5" s="30" t="s">
        <v>444</v>
      </c>
      <c r="B5" s="206">
        <f>SUMIF(VZaS!C:C,"14",VZaS!D:D)</f>
        <v>29192.29</v>
      </c>
      <c r="C5" s="206">
        <f>SUMIF(VZaS!C:C,"14",VZaS!E:E)</f>
        <v>23304.799999999999</v>
      </c>
    </row>
    <row r="6" spans="1:5" ht="21" thickBot="1" x14ac:dyDescent="0.35">
      <c r="A6" s="13" t="s">
        <v>437</v>
      </c>
      <c r="B6" s="206"/>
      <c r="C6" s="206"/>
      <c r="D6" s="200"/>
      <c r="E6" s="229"/>
    </row>
    <row r="7" spans="1:5" ht="21" thickBot="1" x14ac:dyDescent="0.35">
      <c r="A7" s="13" t="s">
        <v>238</v>
      </c>
      <c r="B7" s="211"/>
      <c r="C7" s="211"/>
      <c r="D7" s="200"/>
      <c r="E7" s="200"/>
    </row>
    <row r="8" spans="1:5" ht="20.25" customHeight="1" thickBot="1" x14ac:dyDescent="0.35">
      <c r="A8" s="13" t="s">
        <v>239</v>
      </c>
      <c r="B8" s="211"/>
      <c r="C8" s="211"/>
      <c r="D8" s="200"/>
      <c r="E8" s="200"/>
    </row>
    <row r="9" spans="1:5" ht="20.25" customHeight="1" thickBot="1" x14ac:dyDescent="0.35">
      <c r="A9" s="13" t="s">
        <v>240</v>
      </c>
      <c r="B9" s="211"/>
      <c r="C9" s="211"/>
      <c r="D9" s="200"/>
      <c r="E9" s="200"/>
    </row>
    <row r="10" spans="1:5" ht="20.25" customHeight="1" thickBot="1" x14ac:dyDescent="0.35">
      <c r="A10" s="13" t="s">
        <v>241</v>
      </c>
      <c r="B10" s="211"/>
      <c r="C10" s="211"/>
      <c r="D10" s="200"/>
      <c r="E10" s="200"/>
    </row>
    <row r="11" spans="1:5" ht="20.25" customHeight="1" thickBot="1" x14ac:dyDescent="0.35">
      <c r="A11" s="13" t="s">
        <v>242</v>
      </c>
      <c r="B11" s="211"/>
      <c r="C11" s="211"/>
      <c r="D11" s="200"/>
      <c r="E11" s="200"/>
    </row>
    <row r="12" spans="1:5" ht="21" thickBot="1" x14ac:dyDescent="0.35">
      <c r="A12" s="13" t="s">
        <v>438</v>
      </c>
      <c r="B12" s="211"/>
      <c r="C12" s="211"/>
      <c r="D12" s="200"/>
      <c r="E12" s="200"/>
    </row>
    <row r="13" spans="1:5" ht="15" thickBot="1" x14ac:dyDescent="0.35">
      <c r="A13" s="13"/>
      <c r="B13" s="211"/>
      <c r="C13" s="211"/>
      <c r="D13" s="200"/>
      <c r="E13" s="200"/>
    </row>
    <row r="14" spans="1:5" ht="15" thickBot="1" x14ac:dyDescent="0.35">
      <c r="A14" s="13"/>
      <c r="B14" s="211"/>
      <c r="C14" s="211"/>
    </row>
    <row r="15" spans="1:5" ht="21" thickBot="1" x14ac:dyDescent="0.35">
      <c r="A15" s="30" t="s">
        <v>439</v>
      </c>
      <c r="B15" s="211"/>
      <c r="C15" s="211"/>
    </row>
    <row r="16" spans="1:5" ht="15" thickBot="1" x14ac:dyDescent="0.35">
      <c r="A16" s="13"/>
      <c r="B16" s="211"/>
      <c r="C16" s="211"/>
    </row>
    <row r="17" spans="1:3" ht="15" thickBot="1" x14ac:dyDescent="0.35">
      <c r="A17" s="13"/>
      <c r="B17" s="211"/>
      <c r="C17" s="211"/>
    </row>
    <row r="18" spans="1:3" ht="15" thickBot="1" x14ac:dyDescent="0.35">
      <c r="A18" s="30" t="s">
        <v>440</v>
      </c>
      <c r="B18" s="211"/>
      <c r="C18" s="211"/>
    </row>
    <row r="19" spans="1:3" ht="15" thickBot="1" x14ac:dyDescent="0.35">
      <c r="A19" s="13" t="s">
        <v>441</v>
      </c>
      <c r="B19" s="211"/>
      <c r="C19" s="211"/>
    </row>
    <row r="20" spans="1:3" ht="21" thickBot="1" x14ac:dyDescent="0.35">
      <c r="A20" s="13" t="s">
        <v>445</v>
      </c>
      <c r="B20" s="211"/>
      <c r="C20" s="211"/>
    </row>
    <row r="21" spans="1:3" ht="21" thickBot="1" x14ac:dyDescent="0.35">
      <c r="A21" s="13" t="s">
        <v>442</v>
      </c>
      <c r="B21" s="211"/>
      <c r="C21" s="211"/>
    </row>
    <row r="22" spans="1:3" ht="15" thickBot="1" x14ac:dyDescent="0.35">
      <c r="A22" s="13"/>
      <c r="B22" s="211"/>
      <c r="C22" s="211"/>
    </row>
    <row r="23" spans="1:3" ht="15" thickBot="1" x14ac:dyDescent="0.35">
      <c r="A23" s="13"/>
      <c r="B23" s="211"/>
      <c r="C23" s="211"/>
    </row>
    <row r="24" spans="1:3" ht="21" thickBot="1" x14ac:dyDescent="0.35">
      <c r="A24" s="30" t="s">
        <v>443</v>
      </c>
      <c r="B24" s="211"/>
      <c r="C24" s="211"/>
    </row>
    <row r="25" spans="1:3" ht="15" thickBot="1" x14ac:dyDescent="0.35">
      <c r="A25" s="13"/>
      <c r="B25" s="211"/>
      <c r="C25" s="211"/>
    </row>
    <row r="26" spans="1:3" ht="15" thickBot="1" x14ac:dyDescent="0.35">
      <c r="A26" s="13"/>
      <c r="B26" s="211"/>
      <c r="C26" s="2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6"/>
  <sheetViews>
    <sheetView showGridLines="0" zoomScaleNormal="100" workbookViewId="0">
      <selection sqref="A1:B6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2" x14ac:dyDescent="0.3">
      <c r="A1" t="str">
        <f>VYSVETLIVKY!$B$39</f>
        <v>Poznámky Úč POD 3-01</v>
      </c>
      <c r="B1" s="248" t="str">
        <f>VYSVETLIVKY!$B$40</f>
        <v>IČO : 46043381</v>
      </c>
    </row>
    <row r="2" spans="1:2" x14ac:dyDescent="0.3">
      <c r="B2" s="248" t="str">
        <f>VYSVETLIVKY!$B$41</f>
        <v>DIČ : 2023202038</v>
      </c>
    </row>
    <row r="3" spans="1:2" ht="15" thickBot="1" x14ac:dyDescent="0.35">
      <c r="A3" s="1" t="s">
        <v>393</v>
      </c>
    </row>
    <row r="4" spans="1:2" ht="21" customHeight="1" thickTop="1" x14ac:dyDescent="0.3">
      <c r="A4" s="244" t="s">
        <v>11</v>
      </c>
      <c r="B4" s="244" t="s">
        <v>26</v>
      </c>
    </row>
    <row r="5" spans="1:2" ht="23.25" customHeight="1" thickBot="1" x14ac:dyDescent="0.35">
      <c r="A5" s="15" t="s">
        <v>27</v>
      </c>
      <c r="B5" s="16"/>
    </row>
    <row r="6" spans="1:2" ht="15" thickTop="1" x14ac:dyDescent="0.3"/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11"/>
  <sheetViews>
    <sheetView showGridLines="0" zoomScaleNormal="100" workbookViewId="0">
      <selection sqref="A1:C11"/>
    </sheetView>
  </sheetViews>
  <sheetFormatPr defaultRowHeight="14.4" x14ac:dyDescent="0.3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3" x14ac:dyDescent="0.3">
      <c r="A1" t="str">
        <f>VYSVETLIVKY!$B$39</f>
        <v>Poznámky Úč POD 3-01</v>
      </c>
      <c r="C1" s="248" t="str">
        <f>VYSVETLIVKY!$B$40</f>
        <v>IČO : 46043381</v>
      </c>
    </row>
    <row r="2" spans="1:3" x14ac:dyDescent="0.3">
      <c r="C2" s="248" t="str">
        <f>VYSVETLIVKY!$B$41</f>
        <v>DIČ : 2023202038</v>
      </c>
    </row>
    <row r="3" spans="1:3" ht="15" thickBot="1" x14ac:dyDescent="0.35">
      <c r="A3" s="1" t="s">
        <v>424</v>
      </c>
    </row>
    <row r="4" spans="1:3" ht="21.6" thickTop="1" thickBot="1" x14ac:dyDescent="0.35">
      <c r="A4" s="43" t="s">
        <v>105</v>
      </c>
      <c r="B4" s="25" t="s">
        <v>2</v>
      </c>
      <c r="C4" s="25" t="s">
        <v>3</v>
      </c>
    </row>
    <row r="5" spans="1:3" ht="31.8" thickTop="1" thickBot="1" x14ac:dyDescent="0.35">
      <c r="A5" s="91" t="s">
        <v>243</v>
      </c>
      <c r="B5" s="14"/>
      <c r="C5" s="14"/>
    </row>
    <row r="6" spans="1:3" ht="31.2" thickBot="1" x14ac:dyDescent="0.35">
      <c r="A6" s="92" t="s">
        <v>244</v>
      </c>
      <c r="B6" s="14"/>
      <c r="C6" s="14"/>
    </row>
    <row r="7" spans="1:3" ht="61.8" thickBot="1" x14ac:dyDescent="0.35">
      <c r="A7" s="89" t="s">
        <v>245</v>
      </c>
      <c r="B7" s="14"/>
      <c r="C7" s="14"/>
    </row>
    <row r="8" spans="1:3" ht="41.4" thickBot="1" x14ac:dyDescent="0.35">
      <c r="A8" s="13" t="s">
        <v>246</v>
      </c>
      <c r="B8" s="14"/>
      <c r="C8" s="14"/>
    </row>
    <row r="9" spans="1:3" ht="41.4" thickBot="1" x14ac:dyDescent="0.35">
      <c r="A9" s="91" t="s">
        <v>247</v>
      </c>
      <c r="B9" s="14"/>
      <c r="C9" s="14"/>
    </row>
    <row r="10" spans="1:3" ht="31.2" thickBot="1" x14ac:dyDescent="0.35">
      <c r="A10" s="93" t="s">
        <v>248</v>
      </c>
      <c r="B10" s="16"/>
      <c r="C10" s="16"/>
    </row>
    <row r="11" spans="1:3" ht="15" thickTop="1" x14ac:dyDescent="0.3">
      <c r="A11" s="1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5"/>
  <sheetViews>
    <sheetView showGridLines="0" tabSelected="1" zoomScaleNormal="100" workbookViewId="0">
      <selection activeCell="B1" sqref="B1:B2"/>
    </sheetView>
  </sheetViews>
  <sheetFormatPr defaultRowHeight="14.4" x14ac:dyDescent="0.3"/>
  <cols>
    <col min="1" max="1" width="22.33203125" customWidth="1"/>
    <col min="2" max="2" width="10.6640625" customWidth="1"/>
    <col min="3" max="3" width="11.88671875" bestFit="1" customWidth="1"/>
    <col min="4" max="5" width="10.6640625" customWidth="1"/>
    <col min="6" max="6" width="12.6640625" bestFit="1" customWidth="1"/>
    <col min="7" max="7" width="10.6640625" customWidth="1"/>
  </cols>
  <sheetData>
    <row r="1" spans="1:10" x14ac:dyDescent="0.3">
      <c r="A1" t="str">
        <f>VYSVETLIVKY!$B$39</f>
        <v>Poznámky Úč POD 3-01</v>
      </c>
      <c r="G1" s="248" t="str">
        <f>VYSVETLIVKY!$B$40</f>
        <v>IČO : 46043381</v>
      </c>
    </row>
    <row r="2" spans="1:10" x14ac:dyDescent="0.3">
      <c r="G2" s="248" t="str">
        <f>VYSVETLIVKY!$B$41</f>
        <v>DIČ : 2023202038</v>
      </c>
    </row>
    <row r="3" spans="1:10" ht="15" thickBot="1" x14ac:dyDescent="0.35">
      <c r="A3" s="1" t="s">
        <v>425</v>
      </c>
    </row>
    <row r="4" spans="1:10" ht="35.25" customHeight="1" thickTop="1" thickBot="1" x14ac:dyDescent="0.35">
      <c r="A4" s="249" t="s">
        <v>105</v>
      </c>
      <c r="B4" s="254" t="s">
        <v>2</v>
      </c>
      <c r="C4" s="255"/>
      <c r="D4" s="256"/>
      <c r="E4" s="254" t="s">
        <v>3</v>
      </c>
      <c r="F4" s="255"/>
      <c r="G4" s="256"/>
    </row>
    <row r="5" spans="1:10" s="94" customFormat="1" ht="15.6" thickTop="1" thickBot="1" x14ac:dyDescent="0.35">
      <c r="A5" s="264"/>
      <c r="B5" s="19" t="s">
        <v>249</v>
      </c>
      <c r="C5" s="19" t="s">
        <v>250</v>
      </c>
      <c r="D5" s="19" t="s">
        <v>251</v>
      </c>
      <c r="E5" s="19" t="s">
        <v>249</v>
      </c>
      <c r="F5" s="19" t="s">
        <v>250</v>
      </c>
      <c r="G5" s="19" t="s">
        <v>251</v>
      </c>
    </row>
    <row r="6" spans="1:10" ht="21.6" thickTop="1" thickBot="1" x14ac:dyDescent="0.35">
      <c r="A6" s="13" t="s">
        <v>252</v>
      </c>
      <c r="B6" s="228">
        <f>SUMIF(VZaS!C:C,"56",VZaS!D:D)</f>
        <v>15826.56</v>
      </c>
      <c r="C6" s="237" t="s">
        <v>10</v>
      </c>
      <c r="D6" s="238" t="s">
        <v>10</v>
      </c>
      <c r="E6" s="228">
        <f>SUMIF(VZaS!C:C,"56",VZaS!E:E)</f>
        <v>8374.5499999999993</v>
      </c>
      <c r="F6" s="237" t="s">
        <v>10</v>
      </c>
      <c r="G6" s="238" t="s">
        <v>10</v>
      </c>
      <c r="H6" s="198"/>
      <c r="I6" s="198"/>
      <c r="J6" s="227"/>
    </row>
    <row r="7" spans="1:10" ht="20.25" customHeight="1" thickBot="1" x14ac:dyDescent="0.35">
      <c r="A7" s="13" t="s">
        <v>253</v>
      </c>
      <c r="B7" s="237" t="s">
        <v>10</v>
      </c>
      <c r="C7" s="205"/>
      <c r="D7" s="239"/>
      <c r="E7" s="237" t="s">
        <v>10</v>
      </c>
      <c r="F7" s="205"/>
      <c r="G7" s="239"/>
      <c r="H7" s="198"/>
      <c r="I7" s="198"/>
      <c r="J7" s="198"/>
    </row>
    <row r="8" spans="1:10" ht="20.25" customHeight="1" thickBot="1" x14ac:dyDescent="0.35">
      <c r="A8" s="13" t="s">
        <v>254</v>
      </c>
      <c r="B8" s="205">
        <v>6538.69</v>
      </c>
      <c r="C8" s="205"/>
      <c r="D8" s="239"/>
      <c r="E8" s="205">
        <v>5261</v>
      </c>
      <c r="F8" s="205"/>
      <c r="G8" s="239"/>
      <c r="H8" s="198"/>
      <c r="I8" s="198"/>
      <c r="J8" s="198"/>
    </row>
    <row r="9" spans="1:10" ht="20.25" customHeight="1" thickBot="1" x14ac:dyDescent="0.35">
      <c r="A9" s="13" t="s">
        <v>255</v>
      </c>
      <c r="B9" s="205">
        <v>3037.33</v>
      </c>
      <c r="C9" s="205"/>
      <c r="D9" s="239"/>
      <c r="E9" s="205">
        <v>473</v>
      </c>
      <c r="F9" s="205"/>
      <c r="G9" s="239"/>
      <c r="H9" s="198"/>
      <c r="I9" s="198"/>
      <c r="J9" s="198"/>
    </row>
    <row r="10" spans="1:10" ht="20.25" customHeight="1" thickBot="1" x14ac:dyDescent="0.35">
      <c r="A10" s="13" t="s">
        <v>256</v>
      </c>
      <c r="B10" s="205"/>
      <c r="C10" s="205"/>
      <c r="D10" s="239"/>
      <c r="E10" s="205"/>
      <c r="F10" s="205"/>
      <c r="G10" s="239"/>
      <c r="H10" s="198"/>
      <c r="I10" s="198"/>
      <c r="J10" s="198"/>
    </row>
    <row r="11" spans="1:10" ht="20.25" customHeight="1" thickBot="1" x14ac:dyDescent="0.35">
      <c r="A11" s="13" t="s">
        <v>8</v>
      </c>
      <c r="B11" s="205">
        <v>19327.919999999998</v>
      </c>
      <c r="C11" s="205"/>
      <c r="D11" s="239"/>
      <c r="E11" s="205">
        <v>13163</v>
      </c>
      <c r="F11" s="205"/>
      <c r="G11" s="239"/>
      <c r="H11" s="198"/>
      <c r="I11" s="198"/>
      <c r="J11" s="198"/>
    </row>
    <row r="12" spans="1:10" ht="20.25" customHeight="1" thickBot="1" x14ac:dyDescent="0.35">
      <c r="A12" s="13" t="s">
        <v>257</v>
      </c>
      <c r="B12" s="237" t="s">
        <v>10</v>
      </c>
      <c r="C12" s="228">
        <f>SUMIF(VZaS!C:C,"58",VZaS!D:D)</f>
        <v>4058.86</v>
      </c>
      <c r="D12" s="239"/>
      <c r="E12" s="237" t="s">
        <v>10</v>
      </c>
      <c r="F12" s="228">
        <f>SUMIF(VZaS!C:C,"58",VZaS!E:E)</f>
        <v>2764.16</v>
      </c>
      <c r="G12" s="239"/>
      <c r="H12" s="198"/>
      <c r="I12" s="198"/>
      <c r="J12" s="198"/>
    </row>
    <row r="13" spans="1:10" ht="20.25" customHeight="1" thickBot="1" x14ac:dyDescent="0.35">
      <c r="A13" s="13" t="s">
        <v>258</v>
      </c>
      <c r="B13" s="237" t="s">
        <v>10</v>
      </c>
      <c r="C13" s="228">
        <f>SUMIF(VZaS!C:C,"59",VZaS!D:D)</f>
        <v>-445.46</v>
      </c>
      <c r="D13" s="239"/>
      <c r="E13" s="237" t="s">
        <v>10</v>
      </c>
      <c r="F13" s="228">
        <f>SUMIF(VZaS!C:C,"59",VZaS!E:E)</f>
        <v>-492.93</v>
      </c>
      <c r="G13" s="239"/>
      <c r="H13" s="198"/>
      <c r="I13" s="198"/>
      <c r="J13" s="198"/>
    </row>
    <row r="14" spans="1:10" ht="20.25" customHeight="1" thickBot="1" x14ac:dyDescent="0.35">
      <c r="A14" s="15" t="s">
        <v>259</v>
      </c>
      <c r="B14" s="78" t="s">
        <v>10</v>
      </c>
      <c r="C14" s="62"/>
      <c r="D14" s="105"/>
      <c r="E14" s="78" t="s">
        <v>10</v>
      </c>
      <c r="F14" s="62"/>
      <c r="G14" s="105"/>
    </row>
    <row r="15" spans="1:10" ht="15" thickTop="1" x14ac:dyDescent="0.3"/>
  </sheetData>
  <mergeCells count="3">
    <mergeCell ref="A4:A5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J48"/>
  <sheetViews>
    <sheetView showGridLines="0" tabSelected="1" topLeftCell="A31" workbookViewId="0">
      <selection activeCell="B1" sqref="B1:B2"/>
    </sheetView>
  </sheetViews>
  <sheetFormatPr defaultColWidth="9.109375" defaultRowHeight="10.199999999999999" x14ac:dyDescent="0.3"/>
  <cols>
    <col min="1" max="1" width="28.44140625" style="18" customWidth="1"/>
    <col min="2" max="4" width="11.5546875" style="18" customWidth="1"/>
    <col min="5" max="5" width="9.109375" style="18" customWidth="1"/>
    <col min="6" max="6" width="17.88671875" style="18" bestFit="1" customWidth="1"/>
    <col min="7" max="16384" width="9.109375" style="18"/>
  </cols>
  <sheetData>
    <row r="1" spans="1:9" ht="14.4" x14ac:dyDescent="0.3">
      <c r="A1" t="str">
        <f>VYSVETLIVKY!$B$39</f>
        <v>Poznámky Úč POD 3-01</v>
      </c>
      <c r="F1" s="248" t="str">
        <f>VYSVETLIVKY!$B$40</f>
        <v>IČO : 46043381</v>
      </c>
    </row>
    <row r="2" spans="1:9" ht="14.4" x14ac:dyDescent="0.3">
      <c r="F2" s="248" t="str">
        <f>VYSVETLIVKY!$B$41</f>
        <v>DIČ : 2023202038</v>
      </c>
    </row>
    <row r="3" spans="1:9" customFormat="1" ht="14.4" x14ac:dyDescent="0.3">
      <c r="A3" s="1" t="s">
        <v>426</v>
      </c>
    </row>
    <row r="4" spans="1:9" ht="10.8" thickBot="1" x14ac:dyDescent="0.35"/>
    <row r="5" spans="1:9" ht="13.5" customHeight="1" thickTop="1" thickBot="1" x14ac:dyDescent="0.35">
      <c r="A5" s="281" t="s">
        <v>330</v>
      </c>
      <c r="B5" s="278" t="s">
        <v>2</v>
      </c>
      <c r="C5" s="279"/>
      <c r="D5" s="279"/>
      <c r="E5" s="279"/>
      <c r="F5" s="280"/>
    </row>
    <row r="6" spans="1:9" ht="41.4" thickBot="1" x14ac:dyDescent="0.35">
      <c r="A6" s="282"/>
      <c r="B6" s="67" t="s">
        <v>337</v>
      </c>
      <c r="C6" s="67" t="s">
        <v>18</v>
      </c>
      <c r="D6" s="67" t="s">
        <v>19</v>
      </c>
      <c r="E6" s="67" t="s">
        <v>20</v>
      </c>
      <c r="F6" s="19" t="s">
        <v>261</v>
      </c>
    </row>
    <row r="7" spans="1:9" ht="11.4" thickTop="1" thickBot="1" x14ac:dyDescent="0.35">
      <c r="A7" s="111" t="s">
        <v>262</v>
      </c>
      <c r="B7" s="201">
        <f>SUMIF(HK!A:A,"411*",HK!D:D)-SUMIF(HK!A:A,"411*",HK!C:C)</f>
        <v>5000</v>
      </c>
      <c r="C7" s="218">
        <f>SUMIF(HK!A:A,"411*",HK!J:J)</f>
        <v>0</v>
      </c>
      <c r="D7" s="218">
        <f>SUMIF(HK!A:A,"411*",HK!I:I)</f>
        <v>0</v>
      </c>
      <c r="E7" s="218"/>
      <c r="F7" s="216">
        <f>SUMIF(HK!A:A,"411*",HK!L:L)-SUMIF(HK!A:A,"411*",HK!K:K)</f>
        <v>5000</v>
      </c>
      <c r="G7" s="186"/>
      <c r="H7" s="196"/>
      <c r="I7" s="186"/>
    </row>
    <row r="8" spans="1:9" ht="10.8" thickBot="1" x14ac:dyDescent="0.35">
      <c r="A8" s="111" t="s">
        <v>263</v>
      </c>
      <c r="B8" s="203">
        <f>SUMIF(HKM!A:A,"252*",HKM!C:C)-SUMIF(HKM!A:A,"252*",HKM!D:D)</f>
        <v>0</v>
      </c>
      <c r="C8" s="205">
        <f>SUMIF(HK!A:A,"252*",HK!J:J)</f>
        <v>0</v>
      </c>
      <c r="D8" s="205">
        <f>SUMIF(HK!A:A,"252*",HK!I:I)</f>
        <v>0</v>
      </c>
      <c r="E8" s="205"/>
      <c r="F8" s="199">
        <f>SUMIF(HK!A:A,"252*",HK!K:K)-SUMIF(HK!A:A,"252*",HK!L:L)</f>
        <v>0</v>
      </c>
      <c r="G8" s="186"/>
      <c r="H8" s="196"/>
      <c r="I8" s="186"/>
    </row>
    <row r="9" spans="1:9" ht="10.8" thickBot="1" x14ac:dyDescent="0.35">
      <c r="A9" s="111" t="s">
        <v>331</v>
      </c>
      <c r="B9" s="203">
        <f>SUMIF(HK!A:A,"419*",HK!D:D)-SUMIF(HK!A:A,"419*",HK!C:C)</f>
        <v>0</v>
      </c>
      <c r="C9" s="205">
        <f>SUMIF(HK!A:A,"419*",HK!J:J)</f>
        <v>0</v>
      </c>
      <c r="D9" s="205">
        <f>SUMIF(HK!A:A,"419*",HK!I:I)</f>
        <v>0</v>
      </c>
      <c r="E9" s="205"/>
      <c r="F9" s="199">
        <f>SUMIF(HK!A:A,"419*",HK!L:L)-SUMIF(HK!A:A,"419*",HK!K:K)</f>
        <v>0</v>
      </c>
      <c r="G9" s="186"/>
      <c r="H9" s="196"/>
      <c r="I9" s="186"/>
    </row>
    <row r="10" spans="1:9" ht="10.8" thickBot="1" x14ac:dyDescent="0.35">
      <c r="A10" s="111" t="s">
        <v>332</v>
      </c>
      <c r="B10" s="203">
        <f>SUMIF(HKM!A:A,"353*",HKM!C:C)-SUMIF(HKM!A:A,"353*",HKM!D:D)</f>
        <v>0</v>
      </c>
      <c r="C10" s="205">
        <f>SUMIF(HK!A:A,"353*",HK!J:J)</f>
        <v>0</v>
      </c>
      <c r="D10" s="205">
        <f>SUMIF(HK!A:A,"353*",HK!I:I)</f>
        <v>0</v>
      </c>
      <c r="E10" s="205"/>
      <c r="F10" s="199">
        <f>SUMIF(HK!A:A,"353*",HK!K:K)-SUMIF(HK!A:A,"353*",HK!L:L)</f>
        <v>0</v>
      </c>
      <c r="G10" s="186"/>
      <c r="H10" s="196"/>
      <c r="I10" s="186"/>
    </row>
    <row r="11" spans="1:9" ht="10.8" thickBot="1" x14ac:dyDescent="0.35">
      <c r="A11" s="111" t="s">
        <v>264</v>
      </c>
      <c r="B11" s="203">
        <f>SUMIF(HK!A:A,"412*",HK!D:D)-SUMIF(HK!A:A,"412*",HK!C:C)</f>
        <v>0</v>
      </c>
      <c r="C11" s="205">
        <f>SUMIF(HK!A:A,"412*",HK!J:J)</f>
        <v>0</v>
      </c>
      <c r="D11" s="205">
        <f>SUMIF(HK!A:A,"412*",HK!I:I)</f>
        <v>0</v>
      </c>
      <c r="E11" s="205"/>
      <c r="F11" s="199">
        <f>SUMIF(HK!A:A,"412*",HK!L:L)-SUMIF(HK!A:A,"412*",HK!K:K)</f>
        <v>0</v>
      </c>
      <c r="G11" s="186"/>
      <c r="H11" s="196"/>
      <c r="I11" s="186"/>
    </row>
    <row r="12" spans="1:9" ht="10.8" thickBot="1" x14ac:dyDescent="0.35">
      <c r="A12" s="111" t="s">
        <v>265</v>
      </c>
      <c r="B12" s="203">
        <f>SUMIF(HK!A:A,"413*",HK!D:D)-SUMIF(HK!A:A,"413*",HK!C:C)</f>
        <v>8000</v>
      </c>
      <c r="C12" s="205">
        <f>SUMIF(HK!A:A,"413*",HK!J:J)</f>
        <v>0</v>
      </c>
      <c r="D12" s="205">
        <f>SUMIF(HK!A:A,"413*",HK!I:I)</f>
        <v>0</v>
      </c>
      <c r="E12" s="205"/>
      <c r="F12" s="199">
        <f>SUMIF(HK!A:A,"413*",HK!L:L)-SUMIF(HK!A:A,"413*",HK!K:K)</f>
        <v>8000</v>
      </c>
      <c r="G12" s="186"/>
      <c r="H12" s="196"/>
      <c r="I12" s="186"/>
    </row>
    <row r="13" spans="1:9" ht="21" thickBot="1" x14ac:dyDescent="0.35">
      <c r="A13" s="111" t="s">
        <v>266</v>
      </c>
      <c r="B13" s="203">
        <f>SUMIF(HK!A:A,"417*",HK!D:D)-SUMIF(HK!A:A,"417*",HK!C:C)</f>
        <v>0</v>
      </c>
      <c r="C13" s="205">
        <f>SUMIF(HK!A:A,"417*",HK!J:J)</f>
        <v>0</v>
      </c>
      <c r="D13" s="205">
        <f>SUMIF(HK!A:A,"417*",HK!I:I)</f>
        <v>0</v>
      </c>
      <c r="E13" s="205"/>
      <c r="F13" s="199">
        <f>SUMIF(HK!A:A,"417*",HK!L:L)-SUMIF(HK!A:A,"417*",HK!K:K)</f>
        <v>0</v>
      </c>
      <c r="G13" s="186"/>
      <c r="H13" s="196"/>
      <c r="I13" s="186"/>
    </row>
    <row r="14" spans="1:9" ht="21" thickBot="1" x14ac:dyDescent="0.35">
      <c r="A14" s="111" t="s">
        <v>369</v>
      </c>
      <c r="B14" s="203">
        <f>SUMIF(HK!A:A,"414*",HK!D:D)-SUMIF(HK!A:A,"414*",HK!C:C)</f>
        <v>0</v>
      </c>
      <c r="C14" s="205">
        <f>SUMIF(HK!A:A,"414*",HK!J:J)</f>
        <v>0</v>
      </c>
      <c r="D14" s="205">
        <f>SUMIF(HK!A:A,"414*",HK!I:I)</f>
        <v>0</v>
      </c>
      <c r="E14" s="205"/>
      <c r="F14" s="199">
        <f>SUMIF(HK!A:A,"414*",HK!L:L)-SUMIF(HK!A:A,"414*",HK!K:K)</f>
        <v>0</v>
      </c>
      <c r="G14" s="186"/>
      <c r="H14" s="196"/>
      <c r="I14" s="186"/>
    </row>
    <row r="15" spans="1:9" ht="21" thickBot="1" x14ac:dyDescent="0.35">
      <c r="A15" s="111" t="s">
        <v>267</v>
      </c>
      <c r="B15" s="203">
        <f>SUMIF(HK!A:A,"415*",HK!D:D)-SUMIF(HK!A:A,"415*",HK!C:C)</f>
        <v>0</v>
      </c>
      <c r="C15" s="205">
        <f>SUMIF(HK!A:A,"415*",HK!J:J)</f>
        <v>0</v>
      </c>
      <c r="D15" s="205">
        <f>SUMIF(HK!A:A,"415*",HK!I:I)</f>
        <v>0</v>
      </c>
      <c r="E15" s="205"/>
      <c r="F15" s="199">
        <f>SUMIF(HK!A:A,"415*",HK!L:L)--SUMIF(HK!A:A,"415*",HK!K:K)</f>
        <v>0</v>
      </c>
      <c r="G15" s="186"/>
      <c r="H15" s="196"/>
      <c r="I15" s="186"/>
    </row>
    <row r="16" spans="1:9" ht="21" thickBot="1" x14ac:dyDescent="0.35">
      <c r="A16" s="111" t="s">
        <v>333</v>
      </c>
      <c r="B16" s="203">
        <f>SUMIF(HK!A:A,"416*",HK!D:D)-SUMIF(HK!A:A,"416*",HK!C:C)</f>
        <v>0</v>
      </c>
      <c r="C16" s="205">
        <f>SUMIF(HK!A:A,"416*",HK!J:J)</f>
        <v>0</v>
      </c>
      <c r="D16" s="205">
        <f>SUMIF(HK!A:A,"416*",HK!I:I)</f>
        <v>0</v>
      </c>
      <c r="E16" s="205"/>
      <c r="F16" s="199">
        <f>SUMIF(HK!A:A,"416*",HK!L:L)-SUMIF(HK!A:A,"416*",HK!K:K)</f>
        <v>0</v>
      </c>
      <c r="G16" s="186"/>
      <c r="H16" s="196"/>
      <c r="I16" s="186"/>
    </row>
    <row r="17" spans="1:9" ht="10.8" thickBot="1" x14ac:dyDescent="0.35">
      <c r="A17" s="111" t="s">
        <v>268</v>
      </c>
      <c r="B17" s="203">
        <f>SUMIF(HK!A:A,"421*",HK!D:D)-SUMIF(HK!A:A,"421*",HK!C:C)</f>
        <v>500</v>
      </c>
      <c r="C17" s="205">
        <f>SUMIF(HK!A:A,"421*",HK!J:J)</f>
        <v>0</v>
      </c>
      <c r="D17" s="205">
        <f>SUMIF(HK!A:A,"421*",HK!I:I)</f>
        <v>0</v>
      </c>
      <c r="E17" s="205"/>
      <c r="F17" s="199">
        <f>SUMIF(HK!A:A,"421*",HK!L:L)-SUMIF(HK!A:A,"421*",HK!K:K)</f>
        <v>500</v>
      </c>
      <c r="G17" s="186"/>
      <c r="H17" s="196"/>
      <c r="I17" s="186"/>
    </row>
    <row r="18" spans="1:9" ht="10.8" thickBot="1" x14ac:dyDescent="0.35">
      <c r="A18" s="111" t="s">
        <v>269</v>
      </c>
      <c r="B18" s="203">
        <f>SUMIF(HK!A:A,"422*",HK!D:D)-SUMIF(HK!A:A,"422*",HK!C:C)</f>
        <v>0</v>
      </c>
      <c r="C18" s="205">
        <f>SUMIF(HK!A:A,"422*",HK!J:J)</f>
        <v>0</v>
      </c>
      <c r="D18" s="205">
        <f>SUMIF(HK!A:A,"422*",HK!I:I)</f>
        <v>0</v>
      </c>
      <c r="E18" s="205"/>
      <c r="F18" s="199">
        <f>SUMIF(HK!A:A,"422*",HK!L:L)-SUMIF(HK!A:A,"422*",HK!K:K)</f>
        <v>0</v>
      </c>
      <c r="G18" s="186"/>
      <c r="H18" s="196"/>
      <c r="I18" s="186"/>
    </row>
    <row r="19" spans="1:9" ht="10.8" thickBot="1" x14ac:dyDescent="0.35">
      <c r="A19" s="111" t="s">
        <v>270</v>
      </c>
      <c r="B19" s="203">
        <f>SUMIF(HK!A:A,"423*",HK!D:D)-SUMIF(HK!A:A,"423*",HK!C:C)+SUMIF(HK!A:A,"427*",HK!D:D)-SUMIF(HK!A:A,"427*",HK!C:C)</f>
        <v>0</v>
      </c>
      <c r="C19" s="205">
        <f>SUMIF(HK!A:A,"423*",HK!J:J)</f>
        <v>0</v>
      </c>
      <c r="D19" s="205">
        <f>SUMIF(HK!A:A,"423*",HK!I:I)</f>
        <v>0</v>
      </c>
      <c r="E19" s="205"/>
      <c r="F19" s="199">
        <f>SUMIF(HK!A:A,"423*",HK!L:L)-SUMIF(HK!A:A,"423*",HK!K:K)+SUMIF(HK!A:A,"427*",HK!L:L)-SUMIF(HK!A:A,"427*",HK!K:K)</f>
        <v>0</v>
      </c>
      <c r="G19" s="186"/>
      <c r="H19" s="196"/>
      <c r="I19" s="186"/>
    </row>
    <row r="20" spans="1:9" ht="10.8" thickBot="1" x14ac:dyDescent="0.35">
      <c r="A20" s="111" t="s">
        <v>271</v>
      </c>
      <c r="B20" s="203">
        <f>SUMIF(HK!A:A,"428*",HK!D:D)-SUMIF(HK!A:A,"428*",HK!C:C)</f>
        <v>24209.75</v>
      </c>
      <c r="C20" s="205">
        <f>SUMIF(HK!A:A,"428*",HK!J:J)</f>
        <v>6103.32</v>
      </c>
      <c r="D20" s="205">
        <f>SUMIF(HK!A:A,"428*",HK!I:I)</f>
        <v>0</v>
      </c>
      <c r="E20" s="205"/>
      <c r="F20" s="199">
        <f>SUMIF(HK!A:A,"428*",HK!L:L)-SUMIF(HK!A:A,"428*",HK!K:K)</f>
        <v>30313.07</v>
      </c>
      <c r="G20" s="186"/>
      <c r="H20" s="196"/>
      <c r="I20" s="186"/>
    </row>
    <row r="21" spans="1:9" ht="10.8" thickBot="1" x14ac:dyDescent="0.35">
      <c r="A21" s="111" t="s">
        <v>334</v>
      </c>
      <c r="B21" s="203">
        <f>SUMIF(HK!A:A,"429*",HK!D:D)-SUMIF(HK!A:A,"429*",HK!C:C)</f>
        <v>0</v>
      </c>
      <c r="C21" s="205">
        <f>SUMIF(HK!A:A,"429*",HK!J:J)</f>
        <v>0</v>
      </c>
      <c r="D21" s="205">
        <f>SUMIF(HK!A:A,"429*",HK!I:I)</f>
        <v>0</v>
      </c>
      <c r="E21" s="205"/>
      <c r="F21" s="199">
        <f>SUMIF(HK!A:A,"429*",HK!L:L)-SUMIF(HK!A:A,"429*",HK!K:K)</f>
        <v>0</v>
      </c>
      <c r="G21" s="186"/>
      <c r="H21" s="196"/>
      <c r="I21" s="186"/>
    </row>
    <row r="22" spans="1:9" ht="21" thickBot="1" x14ac:dyDescent="0.35">
      <c r="A22" s="111" t="s">
        <v>335</v>
      </c>
      <c r="B22" s="203">
        <f>SUMIF(SUP!C:C,"100",SUP!E:E)</f>
        <v>6103.32</v>
      </c>
      <c r="C22" s="205"/>
      <c r="D22" s="205"/>
      <c r="E22" s="205"/>
      <c r="F22" s="199">
        <f>SUMIF(SUP!C:C,"100",SUP!D:D)</f>
        <v>12213.16</v>
      </c>
      <c r="G22" s="186"/>
      <c r="H22" s="196"/>
      <c r="I22" s="186"/>
    </row>
    <row r="23" spans="1:9" ht="10.8" thickBot="1" x14ac:dyDescent="0.35">
      <c r="A23" s="111" t="s">
        <v>272</v>
      </c>
      <c r="B23" s="203">
        <f>SUMIF(HK!A:A,"418*",HK!D:D)-SUMIF(HK!A:A,"418*",HK!C:C)</f>
        <v>0</v>
      </c>
      <c r="C23" s="205">
        <f>SUMIF(HK!A:A,"418*",HK!J:J)</f>
        <v>0</v>
      </c>
      <c r="D23" s="205">
        <f>SUMIF(HK!A:A,"418*",HK!I:I)</f>
        <v>0</v>
      </c>
      <c r="E23" s="205"/>
      <c r="F23" s="199">
        <f>SUMIF(HK!A:A,"418*",HK!L:L)-SUMIF(HK!A:A,"418*",HK!K:K)</f>
        <v>0</v>
      </c>
      <c r="G23" s="186"/>
      <c r="H23" s="196"/>
      <c r="I23" s="186"/>
    </row>
    <row r="24" spans="1:9" ht="21" thickBot="1" x14ac:dyDescent="0.35">
      <c r="A24" s="114" t="s">
        <v>336</v>
      </c>
      <c r="B24" s="245">
        <f>SUMIF(HK!A:A,"491*",HK!D:D)-SUMIF(HK!A:A,"491*",HK!C:C)</f>
        <v>0</v>
      </c>
      <c r="C24" s="221">
        <f>SUMIF(HK!A:A,"491*",HK!J:J)</f>
        <v>0</v>
      </c>
      <c r="D24" s="221">
        <f>SUMIF(HK!A:A,"491*",HK!I:I)</f>
        <v>0</v>
      </c>
      <c r="E24" s="221"/>
      <c r="F24" s="190">
        <f>SUMIF(HK!A:A,"491*",HK!L:L)-SUMIF(HK!A:A,"491*",HK!K:K)</f>
        <v>0</v>
      </c>
      <c r="G24" s="186"/>
      <c r="H24" s="196"/>
      <c r="I24" s="186"/>
    </row>
    <row r="25" spans="1:9" ht="22.5" customHeight="1" thickTop="1" x14ac:dyDescent="0.3">
      <c r="A25" s="33"/>
      <c r="B25" s="70"/>
      <c r="C25" s="70"/>
      <c r="D25" s="70"/>
      <c r="E25" s="70"/>
      <c r="F25" s="70"/>
    </row>
    <row r="26" spans="1:9" ht="22.5" customHeight="1" x14ac:dyDescent="0.3">
      <c r="A26" t="str">
        <f>VYSVETLIVKY!$B$39</f>
        <v>Poznámky Úč POD 3-01</v>
      </c>
      <c r="F26" s="248" t="str">
        <f>VYSVETLIVKY!$B$40</f>
        <v>IČO : 46043381</v>
      </c>
    </row>
    <row r="27" spans="1:9" ht="15" thickBot="1" x14ac:dyDescent="0.35">
      <c r="F27" s="248" t="str">
        <f>VYSVETLIVKY!$B$41</f>
        <v>DIČ : 2023202038</v>
      </c>
    </row>
    <row r="28" spans="1:9" ht="13.5" customHeight="1" thickTop="1" thickBot="1" x14ac:dyDescent="0.35">
      <c r="A28" s="281" t="s">
        <v>330</v>
      </c>
      <c r="B28" s="278" t="s">
        <v>3</v>
      </c>
      <c r="C28" s="279"/>
      <c r="D28" s="279"/>
      <c r="E28" s="279"/>
      <c r="F28" s="280"/>
    </row>
    <row r="29" spans="1:9" ht="41.4" thickBot="1" x14ac:dyDescent="0.35">
      <c r="A29" s="282"/>
      <c r="B29" s="67" t="s">
        <v>337</v>
      </c>
      <c r="C29" s="67" t="s">
        <v>18</v>
      </c>
      <c r="D29" s="67" t="s">
        <v>19</v>
      </c>
      <c r="E29" s="67" t="s">
        <v>20</v>
      </c>
      <c r="F29" s="19" t="s">
        <v>261</v>
      </c>
    </row>
    <row r="30" spans="1:9" ht="22.5" customHeight="1" thickTop="1" thickBot="1" x14ac:dyDescent="0.35">
      <c r="A30" s="65" t="s">
        <v>262</v>
      </c>
      <c r="B30" s="201">
        <f>SUMIF(HKM!A:A,"411*",HKM!D:D)-SUMIF(HKM!A:A,"411*",HKM!C:C)</f>
        <v>5000</v>
      </c>
      <c r="C30" s="218">
        <f>SUMIF(HKM!A:A,"411*",HKM!J:J)</f>
        <v>0</v>
      </c>
      <c r="D30" s="218">
        <f>SUMIF(HKM!A:A,"411*",HKM!I:I)</f>
        <v>0</v>
      </c>
      <c r="E30" s="218"/>
      <c r="F30" s="216">
        <f>SUMIF(HKM!A:A,"411*",HKM!L:L)-SUMIF(HKM!A:A,"411*",HKM!K:K)</f>
        <v>5000</v>
      </c>
      <c r="G30" s="186"/>
      <c r="H30" s="196"/>
    </row>
    <row r="31" spans="1:9" ht="22.5" customHeight="1" thickBot="1" x14ac:dyDescent="0.35">
      <c r="A31" s="65" t="s">
        <v>263</v>
      </c>
      <c r="B31" s="203">
        <f>SUMIF(HKM!A:A,"252*",HKM!C:C)-SUMIF(HKM!A:A,"252*",HKM!D:D)</f>
        <v>0</v>
      </c>
      <c r="C31" s="205">
        <f>SUMIF(HKM!A:A,"252*",HKM!J:J)</f>
        <v>0</v>
      </c>
      <c r="D31" s="205">
        <f>SUMIF(HKM!A:A,"252*",HKM!I:I)</f>
        <v>0</v>
      </c>
      <c r="E31" s="205"/>
      <c r="F31" s="199">
        <f>SUMIF(HKM!A:A,"252*",HKM!K:K)-SUMIF(HKM!A:A,"252*",HKM!L:L)</f>
        <v>0</v>
      </c>
      <c r="G31" s="186"/>
      <c r="H31" s="196"/>
    </row>
    <row r="32" spans="1:9" ht="12.6" customHeight="1" thickBot="1" x14ac:dyDescent="0.35">
      <c r="A32" s="65" t="s">
        <v>331</v>
      </c>
      <c r="B32" s="203">
        <f>SUMIF(HKM!A:A,"419*",HKM!D:D)-SUMIF(HKM!A:A,"419*",HKM!C:C)</f>
        <v>0</v>
      </c>
      <c r="C32" s="205">
        <f>SUMIF(HKM!A:A,"419*",HKM!J:J)</f>
        <v>0</v>
      </c>
      <c r="D32" s="205">
        <f>SUMIF(HKM!A:A,"419*",HKM!I:I)</f>
        <v>0</v>
      </c>
      <c r="E32" s="205"/>
      <c r="F32" s="199">
        <f>SUMIF(HKM!A:A,"419*",HKM!L:L)-SUMIF(HKM!A:A,"419*",HKM!K:K)</f>
        <v>0</v>
      </c>
      <c r="G32" s="186"/>
      <c r="H32" s="196"/>
    </row>
    <row r="33" spans="1:10" ht="15.6" customHeight="1" thickBot="1" x14ac:dyDescent="0.35">
      <c r="A33" s="65" t="s">
        <v>332</v>
      </c>
      <c r="B33" s="203">
        <f>SUMIF(HKM!A:A,"353*",HKM!C:C)-SUMIF(HKM!A:A,"353*",HKM!D:D)</f>
        <v>0</v>
      </c>
      <c r="C33" s="205">
        <f>SUMIF(HKM!A:A,"353*",HKM!J:J)</f>
        <v>0</v>
      </c>
      <c r="D33" s="205">
        <f>SUMIF(HKM!A:A,"353*",HKM!I:I)</f>
        <v>0</v>
      </c>
      <c r="E33" s="205"/>
      <c r="F33" s="199">
        <f>SUMIF(HKM!A:A,"353*",HKM!K:K)-SUMIF(HKM!A:A,"353*",HKM!L:L)</f>
        <v>0</v>
      </c>
      <c r="G33" s="186"/>
      <c r="H33" s="196"/>
    </row>
    <row r="34" spans="1:10" ht="13.8" customHeight="1" thickBot="1" x14ac:dyDescent="0.35">
      <c r="A34" s="65" t="s">
        <v>264</v>
      </c>
      <c r="B34" s="203">
        <f>SUMIF(HKM!A:A,"412*",HKM!D:D)-SUMIF(HKM!A:A,"412*",HKM!C:C)</f>
        <v>0</v>
      </c>
      <c r="C34" s="205">
        <f>SUMIF(HKM!A:A,"412*",HKM!J:J)</f>
        <v>0</v>
      </c>
      <c r="D34" s="205">
        <f>SUMIF(HKM!A:A,"412*",HKM!I:I)</f>
        <v>0</v>
      </c>
      <c r="E34" s="205"/>
      <c r="F34" s="199">
        <f>SUMIF(HKM!A:A,"412*",HKM!L:L)-SUMIF(HKM!A:A,"412*",HKM!K:K)</f>
        <v>0</v>
      </c>
      <c r="G34" s="186"/>
      <c r="H34" s="196"/>
    </row>
    <row r="35" spans="1:10" ht="22.5" customHeight="1" thickBot="1" x14ac:dyDescent="0.35">
      <c r="A35" s="65" t="s">
        <v>265</v>
      </c>
      <c r="B35" s="203">
        <f>SUMIF(HKM!A:A,"413*",HKM!D:D)-SUMIF(HKM!A:A,"413*",HKM!C:C)</f>
        <v>8000</v>
      </c>
      <c r="C35" s="205">
        <f>SUMIF(HKM!A:A,"413*",HKM!J:J)</f>
        <v>0</v>
      </c>
      <c r="D35" s="205">
        <f>SUMIF(HKM!A:A,"413*",HKM!I:I)</f>
        <v>0</v>
      </c>
      <c r="E35" s="205"/>
      <c r="F35" s="199">
        <f>SUMIF(HKM!A:A,"413*",HKM!L:L)-SUMIF(HKM!A:A,"413*",HKM!K:K)</f>
        <v>8000</v>
      </c>
      <c r="G35" s="186"/>
      <c r="H35" s="196"/>
    </row>
    <row r="36" spans="1:10" ht="22.5" customHeight="1" thickBot="1" x14ac:dyDescent="0.35">
      <c r="A36" s="65" t="s">
        <v>266</v>
      </c>
      <c r="B36" s="203">
        <f>SUMIF(HKM!A:A,"417*",HKM!D:D)-SUMIF(HKM!A:A,"417*",HKM!C:C)</f>
        <v>0</v>
      </c>
      <c r="C36" s="205">
        <f>SUMIF(HKM!A:A,"417*",HKM!J:J)</f>
        <v>0</v>
      </c>
      <c r="D36" s="205">
        <f>SUMIF(HKM!A:A,"417*",HKM!I:I)</f>
        <v>0</v>
      </c>
      <c r="E36" s="205"/>
      <c r="F36" s="199">
        <f>SUMIF(HKM!A:A,"417*",HKM!L:L)-SUMIF(HKM!A:A,"417*",HKM!K:K)</f>
        <v>0</v>
      </c>
      <c r="G36" s="186"/>
      <c r="H36" s="196"/>
    </row>
    <row r="37" spans="1:10" ht="22.5" customHeight="1" thickBot="1" x14ac:dyDescent="0.35">
      <c r="A37" s="111" t="s">
        <v>369</v>
      </c>
      <c r="B37" s="203">
        <f>SUMIF(HKM!A:A,"414*",HKM!D:D)-SUMIF(HKM!A:A,"414*",HKM!C:C)</f>
        <v>0</v>
      </c>
      <c r="C37" s="205">
        <f>SUMIF(HKM!A:A,"414*",HKM!J:J)</f>
        <v>0</v>
      </c>
      <c r="D37" s="205">
        <f>SUMIF(HKM!A:A,"414*",HKM!I:I)</f>
        <v>0</v>
      </c>
      <c r="E37" s="205"/>
      <c r="F37" s="199">
        <f>SUMIF(HKM!A:A,"414*",HKM!L:L)-SUMIF(HKM!A:A,"414*",HKM!K:K)</f>
        <v>0</v>
      </c>
      <c r="G37" s="186"/>
      <c r="H37" s="196"/>
    </row>
    <row r="38" spans="1:10" ht="16.2" customHeight="1" thickBot="1" x14ac:dyDescent="0.35">
      <c r="A38" s="65" t="s">
        <v>267</v>
      </c>
      <c r="B38" s="203">
        <f>SUMIF(HKM!A:A,"415*",HKM!D:D)-SUMIF(HKM!A:A,"415*",HKM!C:C)</f>
        <v>0</v>
      </c>
      <c r="C38" s="205">
        <f>SUMIF(HKM!A:A,"415*",HKM!J:J)</f>
        <v>0</v>
      </c>
      <c r="D38" s="205">
        <f>SUMIF(HKM!A:A,"415*",HKM!I:I)</f>
        <v>0</v>
      </c>
      <c r="E38" s="205"/>
      <c r="F38" s="199">
        <f>SUMIF(HKM!A:A,"415*",HKM!L:L)-SUMIF(HKM!A:A,"415*",HKM!K:K)</f>
        <v>0</v>
      </c>
      <c r="G38" s="186"/>
      <c r="H38" s="196"/>
    </row>
    <row r="39" spans="1:10" ht="16.8" customHeight="1" thickBot="1" x14ac:dyDescent="0.35">
      <c r="A39" s="65" t="s">
        <v>333</v>
      </c>
      <c r="B39" s="203">
        <f>SUMIF(HKM!A:A,"416*",HKM!D:D)-SUMIF(HKM!A:A,"416*",HKM!C:C)</f>
        <v>0</v>
      </c>
      <c r="C39" s="205">
        <f>SUMIF(HKM!A:A,"416*",HKM!J:J)</f>
        <v>0</v>
      </c>
      <c r="D39" s="205">
        <f>SUMIF(HKM!A:A,"416*",HKM!I:I)</f>
        <v>0</v>
      </c>
      <c r="E39" s="205"/>
      <c r="F39" s="199">
        <f>SUMIF(HKM!A:A,"416*",HKM!L:L)-SUMIF(HKM!A:A,"416*",HKM!K:K)</f>
        <v>0</v>
      </c>
      <c r="G39" s="186"/>
      <c r="H39" s="196"/>
    </row>
    <row r="40" spans="1:10" ht="22.5" customHeight="1" thickBot="1" x14ac:dyDescent="0.35">
      <c r="A40" s="65" t="s">
        <v>268</v>
      </c>
      <c r="B40" s="203">
        <f>SUMIF(HKM!A:A,"421*",HKM!D:D)-SUMIF(HKM!A:A,"421*",HKM!C:C)</f>
        <v>500</v>
      </c>
      <c r="C40" s="205">
        <f>SUMIF(HKM!A:A,"421*",HKM!J:J)</f>
        <v>0</v>
      </c>
      <c r="D40" s="205">
        <f>SUMIF(HKM!A:A,"421*",HKM!I:I)</f>
        <v>0</v>
      </c>
      <c r="E40" s="205"/>
      <c r="F40" s="199">
        <f>SUMIF(HKM!A:A,"421*",HKM!L:L)-SUMIF(HKM!A:A,"421*",HKM!K:K)</f>
        <v>500</v>
      </c>
      <c r="G40" s="186"/>
      <c r="H40" s="196"/>
    </row>
    <row r="41" spans="1:10" ht="22.5" customHeight="1" thickBot="1" x14ac:dyDescent="0.35">
      <c r="A41" s="65" t="s">
        <v>269</v>
      </c>
      <c r="B41" s="203">
        <f>SUMIF(HKM!A:A,"422*",HKM!D:D)-SUMIF(HKM!A:A,"422*",HKM!C:C)</f>
        <v>0</v>
      </c>
      <c r="C41" s="205">
        <f>SUMIF(HKM!A:A,"422*",HKM!J:J)</f>
        <v>0</v>
      </c>
      <c r="D41" s="205">
        <f>SUMIF(HKM!A:A,"422*",HKM!I:I)</f>
        <v>0</v>
      </c>
      <c r="E41" s="205"/>
      <c r="F41" s="199">
        <f>SUMIF(HKM!A:A,"422*",HKM!L:L)-SUMIF(HKM!A:A,"422*",HKM!K:K)</f>
        <v>0</v>
      </c>
      <c r="G41" s="186"/>
      <c r="H41" s="196"/>
    </row>
    <row r="42" spans="1:10" ht="22.5" customHeight="1" thickBot="1" x14ac:dyDescent="0.35">
      <c r="A42" s="65" t="s">
        <v>270</v>
      </c>
      <c r="B42" s="203">
        <f>SUMIF(HKM!A:A,"423*",HKM!D:D)-SUMIF(HKM!A:A,"423*",HKM!C:C)+SUMIF(HKM!A:A,"427*",HKM!D:D)-SUMIF(HKM!A:A,"427*",HKM!C:C)</f>
        <v>0</v>
      </c>
      <c r="C42" s="205">
        <f>SUMIF(HKM!A:A,"423*",HKM!J:J)</f>
        <v>0</v>
      </c>
      <c r="D42" s="205">
        <f>SUMIF(HKM!A:A,"423*",HKM!I:I)</f>
        <v>0</v>
      </c>
      <c r="E42" s="205"/>
      <c r="F42" s="199">
        <f>SUMIF(HKM!A:A,"423*",HKM!L:L)-SUMIF(HKM!A:A,"423*",HKM!K:K)+SUMIF(HKM!A:A,"427*",HKM!L:L)-SUMIF(HKM!A:A,"427*",HKM!K:K)</f>
        <v>0</v>
      </c>
      <c r="G42" s="186"/>
      <c r="H42" s="196"/>
      <c r="I42" s="148"/>
    </row>
    <row r="43" spans="1:10" ht="22.5" customHeight="1" thickBot="1" x14ac:dyDescent="0.35">
      <c r="A43" s="65" t="s">
        <v>271</v>
      </c>
      <c r="B43" s="203">
        <f>SUMIF(HKM!A:A,"428*",HKM!D:D)-SUMIF(HKM!A:A,"428*",HKM!C:C)</f>
        <v>19644.419999999998</v>
      </c>
      <c r="C43" s="205">
        <f>SUMIF(HKM!A:A,"428*",HKM!J:J)</f>
        <v>4565.33</v>
      </c>
      <c r="D43" s="205">
        <f>SUMIF(HKM!A:A,"428*",HKM!I:I)</f>
        <v>0</v>
      </c>
      <c r="E43" s="205"/>
      <c r="F43" s="199">
        <f>SUMIF(HKM!A:A,"428*",HKM!L:L)-SUMIF(HKM!A:A,"428*",HKM!K:K)</f>
        <v>24209.75</v>
      </c>
      <c r="G43" s="186"/>
      <c r="H43" s="196"/>
    </row>
    <row r="44" spans="1:10" ht="22.5" customHeight="1" thickBot="1" x14ac:dyDescent="0.35">
      <c r="A44" s="65" t="s">
        <v>334</v>
      </c>
      <c r="B44" s="203">
        <f>SUMIF(HKM!A:A,"429*",HKM!D:D)-SUMIF(HKM!A:A,"429*",HKM!C:C)</f>
        <v>0</v>
      </c>
      <c r="C44" s="205">
        <f>SUMIF(HKM!A:A,"429*",HKM!J:J)</f>
        <v>0</v>
      </c>
      <c r="D44" s="205">
        <f>SUMIF(HKM!A:A,"429*",HKM!I:I)</f>
        <v>0</v>
      </c>
      <c r="E44" s="205"/>
      <c r="F44" s="199">
        <f>SUMIF(HKM!A:A,"429*",HKM!L:L)-SUMIF(HKM!A:A,"429*",HKM!K:K)</f>
        <v>0</v>
      </c>
      <c r="G44" s="186"/>
      <c r="H44" s="196"/>
    </row>
    <row r="45" spans="1:10" ht="22.5" customHeight="1" thickBot="1" x14ac:dyDescent="0.35">
      <c r="A45" s="65" t="s">
        <v>335</v>
      </c>
      <c r="B45" s="203">
        <f>SUMIF(SUPM!C:C,"100",SUPM!E:E)</f>
        <v>4565.33</v>
      </c>
      <c r="C45" s="205"/>
      <c r="D45" s="205"/>
      <c r="E45" s="205"/>
      <c r="F45" s="199">
        <f>SUMIF(SUPM!C:C,"100",SUPM!D:D)</f>
        <v>6103.32</v>
      </c>
      <c r="G45" s="186"/>
      <c r="H45" s="196"/>
      <c r="J45" s="116"/>
    </row>
    <row r="46" spans="1:10" ht="22.5" customHeight="1" thickBot="1" x14ac:dyDescent="0.35">
      <c r="A46" s="65" t="s">
        <v>272</v>
      </c>
      <c r="B46" s="203">
        <f>SUMIF(HKM!A:A,"418*",HKM!D:D)-SUMIF(HKM!A:A,"418*",HKM!C:C)</f>
        <v>0</v>
      </c>
      <c r="C46" s="205">
        <f>SUMIF(HKM!A:A,"418*",HKM!J:J)</f>
        <v>0</v>
      </c>
      <c r="D46" s="205">
        <f>SUMIF(HKM!A:A,"418*",HKM!I:I)</f>
        <v>0</v>
      </c>
      <c r="E46" s="205"/>
      <c r="F46" s="199">
        <f>SUMIF(HKM!A:A,"418*",HKM!L:L)-SUMIF(HKM!A:A,"418*",HKM!K:K)</f>
        <v>0</v>
      </c>
      <c r="G46" s="186"/>
      <c r="H46" s="196"/>
    </row>
    <row r="47" spans="1:10" ht="22.5" customHeight="1" thickBot="1" x14ac:dyDescent="0.35">
      <c r="A47" s="66" t="s">
        <v>336</v>
      </c>
      <c r="B47" s="245">
        <f>SUMIF(HKM!A:A,"491*",HKM!D:D)-SUMIF(HKM!A:A,"491*",HKM!C:C)</f>
        <v>0</v>
      </c>
      <c r="C47" s="221">
        <f>SUMIF(HKM!A:A,"491*",HKM!J:J)</f>
        <v>0</v>
      </c>
      <c r="D47" s="221">
        <f>SUMIF(HKM!A:A,"491*",HKM!I:I)</f>
        <v>0</v>
      </c>
      <c r="E47" s="221"/>
      <c r="F47" s="190">
        <f>SUMIF(HKM!A:A,"491*",HKM!L:L)-SUMIF(HKM!A:A,"491*",HKM!K:K)</f>
        <v>0</v>
      </c>
      <c r="G47" s="186"/>
      <c r="H47" s="196"/>
    </row>
    <row r="48" spans="1:10" ht="10.8" thickTop="1" x14ac:dyDescent="0.3">
      <c r="B48" s="186"/>
      <c r="C48" s="186"/>
      <c r="D48" s="186"/>
      <c r="E48" s="186"/>
      <c r="F48" s="186"/>
      <c r="G48" s="186"/>
      <c r="H48" s="186"/>
    </row>
  </sheetData>
  <mergeCells count="4">
    <mergeCell ref="B5:F5"/>
    <mergeCell ref="A28:A29"/>
    <mergeCell ref="B28:F28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5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showGridLines="0" tabSelected="1" workbookViewId="0">
      <selection activeCell="B1" sqref="B1:B2"/>
    </sheetView>
  </sheetViews>
  <sheetFormatPr defaultRowHeight="14.4" x14ac:dyDescent="0.3"/>
  <cols>
    <col min="1" max="1" width="22" customWidth="1"/>
    <col min="2" max="2" width="21.5546875" customWidth="1"/>
  </cols>
  <sheetData>
    <row r="1" spans="1:2" x14ac:dyDescent="0.3">
      <c r="A1" t="s">
        <v>273</v>
      </c>
    </row>
    <row r="2" spans="1:2" x14ac:dyDescent="0.3">
      <c r="A2" t="s">
        <v>274</v>
      </c>
    </row>
    <row r="3" spans="1:2" x14ac:dyDescent="0.3">
      <c r="A3" t="s">
        <v>275</v>
      </c>
    </row>
    <row r="4" spans="1:2" x14ac:dyDescent="0.3">
      <c r="A4" t="s">
        <v>276</v>
      </c>
    </row>
    <row r="5" spans="1:2" x14ac:dyDescent="0.3">
      <c r="A5" t="s">
        <v>277</v>
      </c>
    </row>
    <row r="6" spans="1:2" x14ac:dyDescent="0.3">
      <c r="A6" t="s">
        <v>278</v>
      </c>
    </row>
    <row r="7" spans="1:2" x14ac:dyDescent="0.3">
      <c r="A7" t="s">
        <v>279</v>
      </c>
    </row>
    <row r="8" spans="1:2" x14ac:dyDescent="0.3">
      <c r="A8" t="s">
        <v>280</v>
      </c>
    </row>
    <row r="9" spans="1:2" x14ac:dyDescent="0.3">
      <c r="A9" t="s">
        <v>281</v>
      </c>
    </row>
    <row r="10" spans="1:2" x14ac:dyDescent="0.3">
      <c r="A10" t="s">
        <v>282</v>
      </c>
    </row>
    <row r="11" spans="1:2" x14ac:dyDescent="0.3">
      <c r="A11" s="8" t="s">
        <v>260</v>
      </c>
      <c r="B11" s="8" t="s">
        <v>283</v>
      </c>
    </row>
    <row r="12" spans="1:2" x14ac:dyDescent="0.3">
      <c r="A12" s="6">
        <v>1</v>
      </c>
      <c r="B12" s="7" t="s">
        <v>284</v>
      </c>
    </row>
    <row r="13" spans="1:2" x14ac:dyDescent="0.3">
      <c r="A13" s="6">
        <v>2</v>
      </c>
      <c r="B13" s="7" t="s">
        <v>285</v>
      </c>
    </row>
    <row r="14" spans="1:2" x14ac:dyDescent="0.3">
      <c r="A14" s="6">
        <v>3</v>
      </c>
      <c r="B14" s="7" t="s">
        <v>286</v>
      </c>
    </row>
    <row r="15" spans="1:2" x14ac:dyDescent="0.3">
      <c r="A15" s="6">
        <v>4</v>
      </c>
      <c r="B15" s="7" t="s">
        <v>287</v>
      </c>
    </row>
    <row r="16" spans="1:2" x14ac:dyDescent="0.3">
      <c r="A16" s="6">
        <v>5</v>
      </c>
      <c r="B16" s="7" t="s">
        <v>288</v>
      </c>
    </row>
    <row r="17" spans="1:2" x14ac:dyDescent="0.3">
      <c r="A17" s="6">
        <v>6</v>
      </c>
      <c r="B17" s="7" t="s">
        <v>289</v>
      </c>
    </row>
    <row r="18" spans="1:2" x14ac:dyDescent="0.3">
      <c r="A18" s="6">
        <v>7</v>
      </c>
      <c r="B18" s="7" t="s">
        <v>290</v>
      </c>
    </row>
    <row r="19" spans="1:2" x14ac:dyDescent="0.3">
      <c r="A19" s="6">
        <v>8</v>
      </c>
      <c r="B19" s="7" t="s">
        <v>291</v>
      </c>
    </row>
    <row r="20" spans="1:2" x14ac:dyDescent="0.3">
      <c r="A20" s="6">
        <v>9</v>
      </c>
      <c r="B20" s="7" t="s">
        <v>292</v>
      </c>
    </row>
    <row r="21" spans="1:2" x14ac:dyDescent="0.3">
      <c r="A21" s="6">
        <v>10</v>
      </c>
      <c r="B21" s="7" t="s">
        <v>293</v>
      </c>
    </row>
    <row r="22" spans="1:2" x14ac:dyDescent="0.3">
      <c r="A22" s="6">
        <v>11</v>
      </c>
      <c r="B22" s="7" t="s">
        <v>294</v>
      </c>
    </row>
    <row r="24" spans="1:2" x14ac:dyDescent="0.3">
      <c r="A24" t="s">
        <v>295</v>
      </c>
    </row>
    <row r="25" spans="1:2" x14ac:dyDescent="0.3">
      <c r="A25" t="s">
        <v>296</v>
      </c>
    </row>
    <row r="26" spans="1:2" x14ac:dyDescent="0.3">
      <c r="A26" t="s">
        <v>297</v>
      </c>
    </row>
    <row r="27" spans="1:2" x14ac:dyDescent="0.3">
      <c r="A27" t="s">
        <v>298</v>
      </c>
    </row>
    <row r="28" spans="1:2" x14ac:dyDescent="0.3">
      <c r="A28" t="s">
        <v>299</v>
      </c>
    </row>
    <row r="29" spans="1:2" x14ac:dyDescent="0.3">
      <c r="A29" t="s">
        <v>300</v>
      </c>
    </row>
    <row r="30" spans="1:2" x14ac:dyDescent="0.3">
      <c r="A30" t="s">
        <v>301</v>
      </c>
    </row>
    <row r="31" spans="1:2" x14ac:dyDescent="0.3">
      <c r="A31" t="s">
        <v>302</v>
      </c>
    </row>
    <row r="32" spans="1:2" x14ac:dyDescent="0.3">
      <c r="A32" t="s">
        <v>303</v>
      </c>
    </row>
    <row r="33" spans="1:2" x14ac:dyDescent="0.3">
      <c r="A33" t="s">
        <v>304</v>
      </c>
    </row>
    <row r="34" spans="1:2" x14ac:dyDescent="0.3">
      <c r="A34" t="s">
        <v>305</v>
      </c>
    </row>
    <row r="35" spans="1:2" x14ac:dyDescent="0.3">
      <c r="A35" t="s">
        <v>306</v>
      </c>
    </row>
    <row r="36" spans="1:2" x14ac:dyDescent="0.3">
      <c r="A36" t="s">
        <v>307</v>
      </c>
    </row>
    <row r="37" spans="1:2" x14ac:dyDescent="0.3">
      <c r="A37" t="s">
        <v>308</v>
      </c>
    </row>
    <row r="39" spans="1:2" x14ac:dyDescent="0.3">
      <c r="A39" t="s">
        <v>432</v>
      </c>
      <c r="B39" t="s">
        <v>436</v>
      </c>
    </row>
    <row r="40" spans="1:2" x14ac:dyDescent="0.3">
      <c r="A40" t="s">
        <v>433</v>
      </c>
      <c r="B40" t="str">
        <f>CONCATENATE("IČO : ",Info!$B$7)</f>
        <v>IČO : 46043381</v>
      </c>
    </row>
    <row r="41" spans="1:2" x14ac:dyDescent="0.3">
      <c r="A41" t="s">
        <v>434</v>
      </c>
      <c r="B41" t="str">
        <f>CONCATENATE("DIČ : ",Info!$B$8)</f>
        <v>DIČ : 2023202038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4"/>
  <sheetViews>
    <sheetView workbookViewId="0">
      <selection activeCell="A25" sqref="A25"/>
    </sheetView>
  </sheetViews>
  <sheetFormatPr defaultRowHeight="14.4" x14ac:dyDescent="0.3"/>
  <cols>
    <col min="1" max="1" width="32" customWidth="1"/>
  </cols>
  <sheetData>
    <row r="1" spans="1:2" x14ac:dyDescent="0.3">
      <c r="A1" t="s">
        <v>351</v>
      </c>
      <c r="B1" t="s">
        <v>357</v>
      </c>
    </row>
    <row r="2" spans="1:2" x14ac:dyDescent="0.3">
      <c r="A2" t="s">
        <v>352</v>
      </c>
      <c r="B2" t="s">
        <v>355</v>
      </c>
    </row>
    <row r="3" spans="1:2" x14ac:dyDescent="0.3">
      <c r="A3" t="s">
        <v>353</v>
      </c>
      <c r="B3" t="s">
        <v>356</v>
      </c>
    </row>
    <row r="4" spans="1:2" x14ac:dyDescent="0.3">
      <c r="A4" t="s">
        <v>354</v>
      </c>
      <c r="B4" t="s">
        <v>356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260"/>
  <sheetViews>
    <sheetView workbookViewId="0">
      <selection activeCell="A2" sqref="A2"/>
    </sheetView>
  </sheetViews>
  <sheetFormatPr defaultColWidth="9.109375" defaultRowHeight="14.4" x14ac:dyDescent="0.3"/>
  <cols>
    <col min="1" max="1" width="16.109375" style="139" customWidth="1"/>
    <col min="2" max="2" width="46.6640625" style="17" customWidth="1"/>
    <col min="3" max="3" width="15.33203125" style="140" customWidth="1"/>
    <col min="4" max="4" width="15.33203125" style="140" bestFit="1" customWidth="1"/>
    <col min="5" max="5" width="15.109375" style="140" customWidth="1"/>
    <col min="6" max="7" width="15.33203125" style="140" bestFit="1" customWidth="1"/>
    <col min="8" max="8" width="15.33203125" style="140" customWidth="1"/>
    <col min="9" max="11" width="15.33203125" style="140" bestFit="1" customWidth="1"/>
    <col min="12" max="12" width="14.88671875" style="140" customWidth="1"/>
  </cols>
  <sheetData>
    <row r="1" spans="1:12" ht="20.399999999999999" x14ac:dyDescent="0.3">
      <c r="A1" s="144" t="s">
        <v>367</v>
      </c>
      <c r="B1" s="145" t="s">
        <v>368</v>
      </c>
      <c r="C1" s="146" t="s">
        <v>370</v>
      </c>
      <c r="D1" s="146" t="s">
        <v>371</v>
      </c>
      <c r="E1" s="146" t="s">
        <v>372</v>
      </c>
      <c r="F1" s="146" t="s">
        <v>373</v>
      </c>
      <c r="G1" s="146" t="s">
        <v>374</v>
      </c>
      <c r="H1" s="146" t="s">
        <v>375</v>
      </c>
      <c r="I1" s="146" t="s">
        <v>376</v>
      </c>
      <c r="J1" s="146" t="s">
        <v>377</v>
      </c>
      <c r="K1" s="146" t="s">
        <v>378</v>
      </c>
      <c r="L1" s="146" t="s">
        <v>379</v>
      </c>
    </row>
    <row r="2" spans="1:12" x14ac:dyDescent="0.3">
      <c r="A2" s="136" t="s">
        <v>446</v>
      </c>
      <c r="B2" s="137" t="s">
        <v>447</v>
      </c>
      <c r="C2" s="138">
        <v>948</v>
      </c>
      <c r="D2" s="138">
        <v>0</v>
      </c>
      <c r="E2" s="138">
        <v>1508</v>
      </c>
      <c r="F2" s="138">
        <v>0</v>
      </c>
      <c r="G2" s="138">
        <v>0</v>
      </c>
      <c r="H2" s="138">
        <v>0</v>
      </c>
      <c r="I2" s="138">
        <v>560</v>
      </c>
      <c r="J2" s="138">
        <v>0</v>
      </c>
      <c r="K2" s="138">
        <v>1508</v>
      </c>
      <c r="L2" s="138">
        <v>0</v>
      </c>
    </row>
    <row r="3" spans="1:12" x14ac:dyDescent="0.3">
      <c r="A3" s="136" t="s">
        <v>448</v>
      </c>
      <c r="B3" s="137" t="s">
        <v>449</v>
      </c>
      <c r="C3" s="138">
        <v>30856.080000000002</v>
      </c>
      <c r="D3" s="138">
        <v>0</v>
      </c>
      <c r="E3" s="138">
        <v>30856.080000000002</v>
      </c>
      <c r="F3" s="138">
        <v>0</v>
      </c>
      <c r="G3" s="138">
        <v>0</v>
      </c>
      <c r="H3" s="138">
        <v>0</v>
      </c>
      <c r="I3" s="138">
        <v>0</v>
      </c>
      <c r="J3" s="138">
        <v>0</v>
      </c>
      <c r="K3" s="138">
        <v>30856.080000000002</v>
      </c>
      <c r="L3" s="138">
        <v>0</v>
      </c>
    </row>
    <row r="4" spans="1:12" x14ac:dyDescent="0.3">
      <c r="A4" s="136" t="s">
        <v>450</v>
      </c>
      <c r="B4" s="137" t="s">
        <v>451</v>
      </c>
      <c r="C4" s="138">
        <v>8575</v>
      </c>
      <c r="D4" s="138">
        <v>0</v>
      </c>
      <c r="E4" s="138">
        <v>8575</v>
      </c>
      <c r="F4" s="138">
        <v>0</v>
      </c>
      <c r="G4" s="138">
        <v>0</v>
      </c>
      <c r="H4" s="138">
        <v>0</v>
      </c>
      <c r="I4" s="138">
        <v>0</v>
      </c>
      <c r="J4" s="138">
        <v>0</v>
      </c>
      <c r="K4" s="138">
        <v>8575</v>
      </c>
      <c r="L4" s="138">
        <v>0</v>
      </c>
    </row>
    <row r="5" spans="1:12" x14ac:dyDescent="0.3">
      <c r="A5" s="136" t="s">
        <v>452</v>
      </c>
      <c r="B5" s="137" t="s">
        <v>453</v>
      </c>
      <c r="C5" s="138">
        <v>4718</v>
      </c>
      <c r="D5" s="138">
        <v>0</v>
      </c>
      <c r="E5" s="138">
        <v>4718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4718</v>
      </c>
      <c r="L5" s="138">
        <v>0</v>
      </c>
    </row>
    <row r="6" spans="1:12" x14ac:dyDescent="0.3">
      <c r="A6" s="136" t="s">
        <v>454</v>
      </c>
      <c r="B6" s="137" t="s">
        <v>455</v>
      </c>
      <c r="C6" s="138">
        <v>0</v>
      </c>
      <c r="D6" s="138">
        <v>0</v>
      </c>
      <c r="E6" s="138">
        <v>2171.1999999999998</v>
      </c>
      <c r="F6" s="138">
        <v>0</v>
      </c>
      <c r="G6" s="138">
        <v>0</v>
      </c>
      <c r="H6" s="138">
        <v>0</v>
      </c>
      <c r="I6" s="138">
        <v>2171.1999999999998</v>
      </c>
      <c r="J6" s="138">
        <v>0</v>
      </c>
      <c r="K6" s="138">
        <v>2171.1999999999998</v>
      </c>
      <c r="L6" s="138">
        <v>0</v>
      </c>
    </row>
    <row r="7" spans="1:12" x14ac:dyDescent="0.3">
      <c r="A7" s="136" t="s">
        <v>456</v>
      </c>
      <c r="B7" s="137" t="s">
        <v>457</v>
      </c>
      <c r="C7" s="138">
        <v>4363.5</v>
      </c>
      <c r="D7" s="138">
        <v>0</v>
      </c>
      <c r="E7" s="138">
        <v>6075.41</v>
      </c>
      <c r="F7" s="138">
        <v>0</v>
      </c>
      <c r="G7" s="138">
        <v>0</v>
      </c>
      <c r="H7" s="138">
        <v>0</v>
      </c>
      <c r="I7" s="138">
        <v>2115.15</v>
      </c>
      <c r="J7" s="138">
        <v>403.24</v>
      </c>
      <c r="K7" s="138">
        <v>6075.41</v>
      </c>
      <c r="L7" s="138">
        <v>0</v>
      </c>
    </row>
    <row r="8" spans="1:12" x14ac:dyDescent="0.3">
      <c r="A8" s="136" t="s">
        <v>458</v>
      </c>
      <c r="B8" s="137" t="s">
        <v>459</v>
      </c>
      <c r="C8" s="138">
        <v>1459.72</v>
      </c>
      <c r="D8" s="138">
        <v>0</v>
      </c>
      <c r="E8" s="138">
        <v>1459.72</v>
      </c>
      <c r="F8" s="138">
        <v>0</v>
      </c>
      <c r="G8" s="138">
        <v>0</v>
      </c>
      <c r="H8" s="138">
        <v>0</v>
      </c>
      <c r="I8" s="138">
        <v>0</v>
      </c>
      <c r="J8" s="138">
        <v>0</v>
      </c>
      <c r="K8" s="138">
        <v>1459.72</v>
      </c>
      <c r="L8" s="138">
        <v>0</v>
      </c>
    </row>
    <row r="9" spans="1:12" x14ac:dyDescent="0.3">
      <c r="A9" s="136" t="s">
        <v>460</v>
      </c>
      <c r="B9" s="137" t="s">
        <v>461</v>
      </c>
      <c r="C9" s="138">
        <v>4599.16</v>
      </c>
      <c r="D9" s="138">
        <v>0</v>
      </c>
      <c r="E9" s="138">
        <v>5533.63</v>
      </c>
      <c r="F9" s="138">
        <v>0</v>
      </c>
      <c r="G9" s="138">
        <v>0</v>
      </c>
      <c r="H9" s="138">
        <v>0</v>
      </c>
      <c r="I9" s="138">
        <v>934.47</v>
      </c>
      <c r="J9" s="138">
        <v>0</v>
      </c>
      <c r="K9" s="138">
        <v>5533.63</v>
      </c>
      <c r="L9" s="138">
        <v>0</v>
      </c>
    </row>
    <row r="10" spans="1:12" x14ac:dyDescent="0.3">
      <c r="A10" s="136" t="s">
        <v>462</v>
      </c>
      <c r="B10" s="137" t="s">
        <v>463</v>
      </c>
      <c r="C10" s="138">
        <v>0</v>
      </c>
      <c r="D10" s="138">
        <v>0</v>
      </c>
      <c r="E10" s="138">
        <v>0</v>
      </c>
      <c r="F10" s="138">
        <v>0</v>
      </c>
      <c r="G10" s="138">
        <v>0</v>
      </c>
      <c r="H10" s="138">
        <v>0</v>
      </c>
      <c r="I10" s="138">
        <v>560</v>
      </c>
      <c r="J10" s="138">
        <v>560</v>
      </c>
      <c r="K10" s="138">
        <v>0</v>
      </c>
      <c r="L10" s="138">
        <v>0</v>
      </c>
    </row>
    <row r="11" spans="1:12" x14ac:dyDescent="0.3">
      <c r="A11" s="136" t="s">
        <v>464</v>
      </c>
      <c r="B11" s="137" t="s">
        <v>465</v>
      </c>
      <c r="C11" s="138">
        <v>565.47</v>
      </c>
      <c r="D11" s="138">
        <v>0</v>
      </c>
      <c r="E11" s="138">
        <v>1691</v>
      </c>
      <c r="F11" s="138">
        <v>0</v>
      </c>
      <c r="G11" s="138">
        <v>479</v>
      </c>
      <c r="H11" s="138">
        <v>0</v>
      </c>
      <c r="I11" s="138">
        <v>6825.35</v>
      </c>
      <c r="J11" s="138">
        <v>5220.82</v>
      </c>
      <c r="K11" s="138">
        <v>2170</v>
      </c>
      <c r="L11" s="138">
        <v>0</v>
      </c>
    </row>
    <row r="12" spans="1:12" x14ac:dyDescent="0.3">
      <c r="A12" s="136" t="s">
        <v>466</v>
      </c>
      <c r="B12" s="137" t="s">
        <v>467</v>
      </c>
      <c r="C12" s="138">
        <v>0</v>
      </c>
      <c r="D12" s="138">
        <v>948</v>
      </c>
      <c r="E12" s="138">
        <v>0</v>
      </c>
      <c r="F12" s="138">
        <v>1064.7</v>
      </c>
      <c r="G12" s="138">
        <v>0</v>
      </c>
      <c r="H12" s="138">
        <v>23.34</v>
      </c>
      <c r="I12" s="138">
        <v>0</v>
      </c>
      <c r="J12" s="138">
        <v>140.04</v>
      </c>
      <c r="K12" s="138">
        <v>0</v>
      </c>
      <c r="L12" s="138">
        <v>1088.04</v>
      </c>
    </row>
    <row r="13" spans="1:12" x14ac:dyDescent="0.3">
      <c r="A13" s="136" t="s">
        <v>468</v>
      </c>
      <c r="B13" s="137" t="s">
        <v>469</v>
      </c>
      <c r="C13" s="138">
        <v>0</v>
      </c>
      <c r="D13" s="138">
        <v>12599.86</v>
      </c>
      <c r="E13" s="138">
        <v>0</v>
      </c>
      <c r="F13" s="138">
        <v>14014.130000000001</v>
      </c>
      <c r="G13" s="138">
        <v>0</v>
      </c>
      <c r="H13" s="138">
        <v>128.57</v>
      </c>
      <c r="I13" s="138">
        <v>0</v>
      </c>
      <c r="J13" s="138">
        <v>1542.8400000000001</v>
      </c>
      <c r="K13" s="138">
        <v>0</v>
      </c>
      <c r="L13" s="138">
        <v>14142.7</v>
      </c>
    </row>
    <row r="14" spans="1:12" x14ac:dyDescent="0.3">
      <c r="A14" s="136" t="s">
        <v>470</v>
      </c>
      <c r="B14" s="137" t="s">
        <v>471</v>
      </c>
      <c r="C14" s="138">
        <v>0</v>
      </c>
      <c r="D14" s="138">
        <v>119.10000000000001</v>
      </c>
      <c r="E14" s="138">
        <v>0</v>
      </c>
      <c r="F14" s="138">
        <v>1429.2</v>
      </c>
      <c r="G14" s="138">
        <v>0</v>
      </c>
      <c r="H14" s="138">
        <v>119.10000000000001</v>
      </c>
      <c r="I14" s="138">
        <v>0</v>
      </c>
      <c r="J14" s="138">
        <v>1429.2</v>
      </c>
      <c r="K14" s="138">
        <v>0</v>
      </c>
      <c r="L14" s="138">
        <v>1548.3</v>
      </c>
    </row>
    <row r="15" spans="1:12" x14ac:dyDescent="0.3">
      <c r="A15" s="136" t="s">
        <v>472</v>
      </c>
      <c r="B15" s="137" t="s">
        <v>473</v>
      </c>
      <c r="C15" s="138">
        <v>0</v>
      </c>
      <c r="D15" s="138">
        <v>65.53</v>
      </c>
      <c r="E15" s="138">
        <v>0</v>
      </c>
      <c r="F15" s="138">
        <v>786.36</v>
      </c>
      <c r="G15" s="138">
        <v>0</v>
      </c>
      <c r="H15" s="138">
        <v>65.53</v>
      </c>
      <c r="I15" s="138">
        <v>0</v>
      </c>
      <c r="J15" s="138">
        <v>786.36</v>
      </c>
      <c r="K15" s="138">
        <v>0</v>
      </c>
      <c r="L15" s="138">
        <v>851.89</v>
      </c>
    </row>
    <row r="16" spans="1:12" x14ac:dyDescent="0.3">
      <c r="A16" s="136" t="s">
        <v>474</v>
      </c>
      <c r="B16" s="137" t="s">
        <v>475</v>
      </c>
      <c r="C16" s="138">
        <v>0</v>
      </c>
      <c r="D16" s="138">
        <v>0</v>
      </c>
      <c r="E16" s="138">
        <v>0</v>
      </c>
      <c r="F16" s="138">
        <v>331.76</v>
      </c>
      <c r="G16" s="138">
        <v>0</v>
      </c>
      <c r="H16" s="138">
        <v>30.16</v>
      </c>
      <c r="I16" s="138">
        <v>0</v>
      </c>
      <c r="J16" s="138">
        <v>361.92</v>
      </c>
      <c r="K16" s="138">
        <v>0</v>
      </c>
      <c r="L16" s="138">
        <v>361.92</v>
      </c>
    </row>
    <row r="17" spans="1:12" x14ac:dyDescent="0.3">
      <c r="A17" s="136" t="s">
        <v>476</v>
      </c>
      <c r="B17" s="137" t="s">
        <v>477</v>
      </c>
      <c r="C17" s="138">
        <v>0</v>
      </c>
      <c r="D17" s="138">
        <v>3622.46</v>
      </c>
      <c r="E17" s="138">
        <v>0</v>
      </c>
      <c r="F17" s="138">
        <v>4342.0200000000004</v>
      </c>
      <c r="G17" s="138">
        <v>0</v>
      </c>
      <c r="H17" s="138">
        <v>113.56</v>
      </c>
      <c r="I17" s="138">
        <v>403.24</v>
      </c>
      <c r="J17" s="138">
        <v>1236.3600000000001</v>
      </c>
      <c r="K17" s="138">
        <v>0</v>
      </c>
      <c r="L17" s="138">
        <v>4455.58</v>
      </c>
    </row>
    <row r="18" spans="1:12" x14ac:dyDescent="0.3">
      <c r="A18" s="136" t="s">
        <v>478</v>
      </c>
      <c r="B18" s="137" t="s">
        <v>479</v>
      </c>
      <c r="C18" s="138">
        <v>0</v>
      </c>
      <c r="D18" s="138">
        <v>1459.72</v>
      </c>
      <c r="E18" s="138">
        <v>0</v>
      </c>
      <c r="F18" s="138">
        <v>1459.72</v>
      </c>
      <c r="G18" s="138">
        <v>0</v>
      </c>
      <c r="H18" s="138">
        <v>0</v>
      </c>
      <c r="I18" s="138">
        <v>0</v>
      </c>
      <c r="J18" s="138">
        <v>0</v>
      </c>
      <c r="K18" s="138">
        <v>0</v>
      </c>
      <c r="L18" s="138">
        <v>1459.72</v>
      </c>
    </row>
    <row r="19" spans="1:12" x14ac:dyDescent="0.3">
      <c r="A19" s="136" t="s">
        <v>480</v>
      </c>
      <c r="B19" s="137" t="s">
        <v>481</v>
      </c>
      <c r="C19" s="138">
        <v>0</v>
      </c>
      <c r="D19" s="138">
        <v>3394.29</v>
      </c>
      <c r="E19" s="138">
        <v>0</v>
      </c>
      <c r="F19" s="138">
        <v>4399.01</v>
      </c>
      <c r="G19" s="138">
        <v>0</v>
      </c>
      <c r="H19" s="138">
        <v>94.54</v>
      </c>
      <c r="I19" s="138">
        <v>0</v>
      </c>
      <c r="J19" s="138">
        <v>1099.26</v>
      </c>
      <c r="K19" s="138">
        <v>0</v>
      </c>
      <c r="L19" s="138">
        <v>4493.55</v>
      </c>
    </row>
    <row r="20" spans="1:12" x14ac:dyDescent="0.3">
      <c r="A20" s="136" t="s">
        <v>482</v>
      </c>
      <c r="B20" s="137" t="s">
        <v>483</v>
      </c>
      <c r="C20" s="138">
        <v>0</v>
      </c>
      <c r="D20" s="138">
        <v>0</v>
      </c>
      <c r="E20" s="138">
        <v>0</v>
      </c>
      <c r="F20" s="138">
        <v>0</v>
      </c>
      <c r="G20" s="138">
        <v>37517.07</v>
      </c>
      <c r="H20" s="138">
        <v>37517.07</v>
      </c>
      <c r="I20" s="138">
        <v>407095.04000000004</v>
      </c>
      <c r="J20" s="138">
        <v>407095.04000000004</v>
      </c>
      <c r="K20" s="138">
        <v>0</v>
      </c>
      <c r="L20" s="138">
        <v>0</v>
      </c>
    </row>
    <row r="21" spans="1:12" x14ac:dyDescent="0.3">
      <c r="A21" s="136" t="s">
        <v>484</v>
      </c>
      <c r="B21" s="137" t="s">
        <v>485</v>
      </c>
      <c r="C21" s="138">
        <v>0</v>
      </c>
      <c r="D21" s="138">
        <v>0</v>
      </c>
      <c r="E21" s="138">
        <v>22.36</v>
      </c>
      <c r="F21" s="138">
        <v>0</v>
      </c>
      <c r="G21" s="138">
        <v>0.34</v>
      </c>
      <c r="H21" s="138">
        <v>22.7</v>
      </c>
      <c r="I21" s="138">
        <v>22.7</v>
      </c>
      <c r="J21" s="138">
        <v>22.7</v>
      </c>
      <c r="K21" s="138">
        <v>0</v>
      </c>
      <c r="L21" s="138">
        <v>0</v>
      </c>
    </row>
    <row r="22" spans="1:12" x14ac:dyDescent="0.3">
      <c r="A22" s="136" t="s">
        <v>486</v>
      </c>
      <c r="B22" s="137" t="s">
        <v>487</v>
      </c>
      <c r="C22" s="138">
        <v>51992.270000000004</v>
      </c>
      <c r="D22" s="138">
        <v>0</v>
      </c>
      <c r="E22" s="138">
        <v>54228.17</v>
      </c>
      <c r="F22" s="138">
        <v>0</v>
      </c>
      <c r="G22" s="138">
        <v>37603.160000000003</v>
      </c>
      <c r="H22" s="138">
        <v>35566.410000000003</v>
      </c>
      <c r="I22" s="138">
        <v>445055.93</v>
      </c>
      <c r="J22" s="138">
        <v>440783.28</v>
      </c>
      <c r="K22" s="138">
        <v>56264.92</v>
      </c>
      <c r="L22" s="138">
        <v>0</v>
      </c>
    </row>
    <row r="23" spans="1:12" x14ac:dyDescent="0.3">
      <c r="A23" s="136" t="s">
        <v>488</v>
      </c>
      <c r="B23" s="137" t="s">
        <v>489</v>
      </c>
      <c r="C23" s="138">
        <v>0</v>
      </c>
      <c r="D23" s="138">
        <v>0</v>
      </c>
      <c r="E23" s="138">
        <v>887.92000000000007</v>
      </c>
      <c r="F23" s="138">
        <v>0</v>
      </c>
      <c r="G23" s="138">
        <v>1050.3</v>
      </c>
      <c r="H23" s="138">
        <v>887.92000000000007</v>
      </c>
      <c r="I23" s="138">
        <v>14666.66</v>
      </c>
      <c r="J23" s="138">
        <v>13616.36</v>
      </c>
      <c r="K23" s="138">
        <v>1050.3</v>
      </c>
      <c r="L23" s="138">
        <v>0</v>
      </c>
    </row>
    <row r="24" spans="1:12" x14ac:dyDescent="0.3">
      <c r="A24" s="136" t="s">
        <v>490</v>
      </c>
      <c r="B24" s="137" t="s">
        <v>491</v>
      </c>
      <c r="C24" s="138">
        <v>0</v>
      </c>
      <c r="D24" s="138">
        <v>1225.8399999999999</v>
      </c>
      <c r="E24" s="138">
        <v>0</v>
      </c>
      <c r="F24" s="138">
        <v>2284.67</v>
      </c>
      <c r="G24" s="138">
        <v>368.72</v>
      </c>
      <c r="H24" s="138">
        <v>252.3</v>
      </c>
      <c r="I24" s="138">
        <v>2214.4299999999998</v>
      </c>
      <c r="J24" s="138">
        <v>3156.84</v>
      </c>
      <c r="K24" s="138">
        <v>0</v>
      </c>
      <c r="L24" s="138">
        <v>2168.25</v>
      </c>
    </row>
    <row r="25" spans="1:12" x14ac:dyDescent="0.3">
      <c r="A25" s="136" t="s">
        <v>492</v>
      </c>
      <c r="B25" s="137" t="s">
        <v>493</v>
      </c>
      <c r="C25" s="138">
        <v>0</v>
      </c>
      <c r="D25" s="138">
        <v>804.28</v>
      </c>
      <c r="E25" s="138">
        <v>0</v>
      </c>
      <c r="F25" s="138">
        <v>697.97</v>
      </c>
      <c r="G25" s="138">
        <v>0</v>
      </c>
      <c r="H25" s="138">
        <v>-146.9</v>
      </c>
      <c r="I25" s="138">
        <v>0</v>
      </c>
      <c r="J25" s="138">
        <v>-253.21</v>
      </c>
      <c r="K25" s="138">
        <v>0</v>
      </c>
      <c r="L25" s="138">
        <v>551.07000000000005</v>
      </c>
    </row>
    <row r="26" spans="1:12" x14ac:dyDescent="0.3">
      <c r="A26" s="136" t="s">
        <v>494</v>
      </c>
      <c r="B26" s="137" t="s">
        <v>495</v>
      </c>
      <c r="C26" s="138">
        <v>1357.73</v>
      </c>
      <c r="D26" s="138">
        <v>0</v>
      </c>
      <c r="E26" s="138">
        <v>2455.9500000000003</v>
      </c>
      <c r="F26" s="138">
        <v>0</v>
      </c>
      <c r="G26" s="138">
        <v>22514.13</v>
      </c>
      <c r="H26" s="138">
        <v>21795.78</v>
      </c>
      <c r="I26" s="138">
        <v>219788.17</v>
      </c>
      <c r="J26" s="138">
        <v>217971.6</v>
      </c>
      <c r="K26" s="138">
        <v>3174.3</v>
      </c>
      <c r="L26" s="138">
        <v>0</v>
      </c>
    </row>
    <row r="27" spans="1:12" x14ac:dyDescent="0.3">
      <c r="A27" s="136" t="s">
        <v>496</v>
      </c>
      <c r="B27" s="137" t="s">
        <v>497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877.2</v>
      </c>
      <c r="J27" s="138">
        <v>877.2</v>
      </c>
      <c r="K27" s="138">
        <v>0</v>
      </c>
      <c r="L27" s="138">
        <v>0</v>
      </c>
    </row>
    <row r="28" spans="1:12" x14ac:dyDescent="0.3">
      <c r="A28" s="136" t="s">
        <v>498</v>
      </c>
      <c r="B28" s="137" t="s">
        <v>499</v>
      </c>
      <c r="C28" s="138">
        <v>0</v>
      </c>
      <c r="D28" s="138">
        <v>0</v>
      </c>
      <c r="E28" s="138">
        <v>0</v>
      </c>
      <c r="F28" s="138">
        <v>0</v>
      </c>
      <c r="G28" s="138">
        <v>87624.61</v>
      </c>
      <c r="H28" s="138">
        <v>87624.61</v>
      </c>
      <c r="I28" s="138">
        <v>1017066.77</v>
      </c>
      <c r="J28" s="138">
        <v>1017066.77</v>
      </c>
      <c r="K28" s="138">
        <v>0</v>
      </c>
      <c r="L28" s="138">
        <v>0</v>
      </c>
    </row>
    <row r="29" spans="1:12" x14ac:dyDescent="0.3">
      <c r="A29" s="136" t="s">
        <v>500</v>
      </c>
      <c r="B29" s="137" t="s">
        <v>501</v>
      </c>
      <c r="C29" s="138">
        <v>0</v>
      </c>
      <c r="D29" s="138">
        <v>0</v>
      </c>
      <c r="E29" s="138">
        <v>0</v>
      </c>
      <c r="F29" s="138">
        <v>0</v>
      </c>
      <c r="G29" s="138">
        <v>10204.75</v>
      </c>
      <c r="H29" s="138">
        <v>10204.75</v>
      </c>
      <c r="I29" s="138">
        <v>113029.12</v>
      </c>
      <c r="J29" s="138">
        <v>113029.12</v>
      </c>
      <c r="K29" s="138">
        <v>0</v>
      </c>
      <c r="L29" s="138">
        <v>0</v>
      </c>
    </row>
    <row r="30" spans="1:12" x14ac:dyDescent="0.3">
      <c r="A30" s="136" t="s">
        <v>502</v>
      </c>
      <c r="B30" s="137" t="s">
        <v>503</v>
      </c>
      <c r="C30" s="138">
        <v>0</v>
      </c>
      <c r="D30" s="138">
        <v>0</v>
      </c>
      <c r="E30" s="138">
        <v>0</v>
      </c>
      <c r="F30" s="138">
        <v>0</v>
      </c>
      <c r="G30" s="138">
        <v>0</v>
      </c>
      <c r="H30" s="138">
        <v>0</v>
      </c>
      <c r="I30" s="138">
        <v>315.61</v>
      </c>
      <c r="J30" s="138">
        <v>315.61</v>
      </c>
      <c r="K30" s="138">
        <v>0</v>
      </c>
      <c r="L30" s="138">
        <v>0</v>
      </c>
    </row>
    <row r="31" spans="1:12" x14ac:dyDescent="0.3">
      <c r="A31" s="136" t="s">
        <v>504</v>
      </c>
      <c r="B31" s="137" t="s">
        <v>505</v>
      </c>
      <c r="C31" s="138">
        <v>26753.46</v>
      </c>
      <c r="D31" s="138">
        <v>0</v>
      </c>
      <c r="E31" s="138">
        <v>19699.46</v>
      </c>
      <c r="F31" s="138">
        <v>0</v>
      </c>
      <c r="G31" s="138">
        <v>19278.82</v>
      </c>
      <c r="H31" s="138">
        <v>18583.11</v>
      </c>
      <c r="I31" s="138">
        <v>250640.28</v>
      </c>
      <c r="J31" s="138">
        <v>256998.57</v>
      </c>
      <c r="K31" s="138">
        <v>20395.170000000002</v>
      </c>
      <c r="L31" s="138">
        <v>0</v>
      </c>
    </row>
    <row r="32" spans="1:12" x14ac:dyDescent="0.3">
      <c r="A32" s="136" t="s">
        <v>506</v>
      </c>
      <c r="B32" s="137" t="s">
        <v>507</v>
      </c>
      <c r="C32" s="138">
        <v>2947.37</v>
      </c>
      <c r="D32" s="138">
        <v>0</v>
      </c>
      <c r="E32" s="138">
        <v>1161.31</v>
      </c>
      <c r="F32" s="138">
        <v>0</v>
      </c>
      <c r="G32" s="138">
        <v>1541.01</v>
      </c>
      <c r="H32" s="138">
        <v>1161.32</v>
      </c>
      <c r="I32" s="138">
        <v>17713.46</v>
      </c>
      <c r="J32" s="138">
        <v>19119.830000000002</v>
      </c>
      <c r="K32" s="138">
        <v>1541</v>
      </c>
      <c r="L32" s="138">
        <v>0</v>
      </c>
    </row>
    <row r="33" spans="1:12" x14ac:dyDescent="0.3">
      <c r="A33" s="136" t="s">
        <v>508</v>
      </c>
      <c r="B33" s="137" t="s">
        <v>509</v>
      </c>
      <c r="C33" s="138">
        <v>0</v>
      </c>
      <c r="D33" s="138">
        <v>0</v>
      </c>
      <c r="E33" s="138">
        <v>0</v>
      </c>
      <c r="F33" s="138">
        <v>0</v>
      </c>
      <c r="G33" s="138">
        <v>5421.81</v>
      </c>
      <c r="H33" s="138">
        <v>2750.4500000000003</v>
      </c>
      <c r="I33" s="138">
        <v>32669.86</v>
      </c>
      <c r="J33" s="138">
        <v>29998.5</v>
      </c>
      <c r="K33" s="138">
        <v>2671.36</v>
      </c>
      <c r="L33" s="138">
        <v>0</v>
      </c>
    </row>
    <row r="34" spans="1:12" x14ac:dyDescent="0.3">
      <c r="A34" s="136" t="s">
        <v>510</v>
      </c>
      <c r="B34" s="137" t="s">
        <v>511</v>
      </c>
      <c r="C34" s="138">
        <v>0</v>
      </c>
      <c r="D34" s="138">
        <v>0</v>
      </c>
      <c r="E34" s="138">
        <v>44.04</v>
      </c>
      <c r="F34" s="138">
        <v>0</v>
      </c>
      <c r="G34" s="138">
        <v>124.47</v>
      </c>
      <c r="H34" s="138">
        <v>168.51</v>
      </c>
      <c r="I34" s="138">
        <v>1761.07</v>
      </c>
      <c r="J34" s="138">
        <v>1761.07</v>
      </c>
      <c r="K34" s="138">
        <v>0</v>
      </c>
      <c r="L34" s="138">
        <v>0</v>
      </c>
    </row>
    <row r="35" spans="1:12" x14ac:dyDescent="0.3">
      <c r="A35" s="136" t="s">
        <v>512</v>
      </c>
      <c r="B35" s="137" t="s">
        <v>513</v>
      </c>
      <c r="C35" s="138">
        <v>0</v>
      </c>
      <c r="D35" s="138">
        <v>0</v>
      </c>
      <c r="E35" s="138">
        <v>0</v>
      </c>
      <c r="F35" s="138">
        <v>0</v>
      </c>
      <c r="G35" s="138">
        <v>0</v>
      </c>
      <c r="H35" s="138">
        <v>0</v>
      </c>
      <c r="I35" s="138">
        <v>29.88</v>
      </c>
      <c r="J35" s="138">
        <v>29.88</v>
      </c>
      <c r="K35" s="138">
        <v>0</v>
      </c>
      <c r="L35" s="138">
        <v>0</v>
      </c>
    </row>
    <row r="36" spans="1:12" x14ac:dyDescent="0.3">
      <c r="A36" s="136" t="s">
        <v>514</v>
      </c>
      <c r="B36" s="137" t="s">
        <v>515</v>
      </c>
      <c r="C36" s="138">
        <v>154.22</v>
      </c>
      <c r="D36" s="138">
        <v>0</v>
      </c>
      <c r="E36" s="138">
        <v>8577.17</v>
      </c>
      <c r="F36" s="138">
        <v>0</v>
      </c>
      <c r="G36" s="138">
        <v>4660.1500000000005</v>
      </c>
      <c r="H36" s="138">
        <v>8577.17</v>
      </c>
      <c r="I36" s="138">
        <v>37660.160000000003</v>
      </c>
      <c r="J36" s="138">
        <v>33154.230000000003</v>
      </c>
      <c r="K36" s="138">
        <v>4660.1500000000005</v>
      </c>
      <c r="L36" s="138">
        <v>0</v>
      </c>
    </row>
    <row r="37" spans="1:12" x14ac:dyDescent="0.3">
      <c r="A37" s="136" t="s">
        <v>516</v>
      </c>
      <c r="B37" s="137" t="s">
        <v>517</v>
      </c>
      <c r="C37" s="138">
        <v>0</v>
      </c>
      <c r="D37" s="138">
        <v>0</v>
      </c>
      <c r="E37" s="138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</row>
    <row r="38" spans="1:12" x14ac:dyDescent="0.3">
      <c r="A38" s="136" t="s">
        <v>518</v>
      </c>
      <c r="B38" s="137" t="s">
        <v>519</v>
      </c>
      <c r="C38" s="138">
        <v>166.01</v>
      </c>
      <c r="D38" s="138">
        <v>0</v>
      </c>
      <c r="E38" s="138">
        <v>61.6</v>
      </c>
      <c r="F38" s="138">
        <v>0</v>
      </c>
      <c r="G38" s="138">
        <v>-24.12</v>
      </c>
      <c r="H38" s="138">
        <v>-21.16</v>
      </c>
      <c r="I38" s="138">
        <v>-443</v>
      </c>
      <c r="J38" s="138">
        <v>-335.63</v>
      </c>
      <c r="K38" s="138">
        <v>58.64</v>
      </c>
      <c r="L38" s="138">
        <v>0</v>
      </c>
    </row>
    <row r="39" spans="1:12" x14ac:dyDescent="0.3">
      <c r="A39" s="136" t="s">
        <v>520</v>
      </c>
      <c r="B39" s="137" t="s">
        <v>521</v>
      </c>
      <c r="C39" s="138">
        <v>1370.56</v>
      </c>
      <c r="D39" s="138">
        <v>0</v>
      </c>
      <c r="E39" s="138">
        <v>1262.82</v>
      </c>
      <c r="F39" s="138">
        <v>0</v>
      </c>
      <c r="G39" s="138">
        <v>0</v>
      </c>
      <c r="H39" s="138">
        <v>244.34</v>
      </c>
      <c r="I39" s="138">
        <v>-7089.72</v>
      </c>
      <c r="J39" s="138">
        <v>-6737.64</v>
      </c>
      <c r="K39" s="138">
        <v>1018.48</v>
      </c>
      <c r="L39" s="138">
        <v>0</v>
      </c>
    </row>
    <row r="40" spans="1:12" x14ac:dyDescent="0.3">
      <c r="A40" s="136" t="s">
        <v>522</v>
      </c>
      <c r="B40" s="137" t="s">
        <v>523</v>
      </c>
      <c r="C40" s="138">
        <v>456.38</v>
      </c>
      <c r="D40" s="138">
        <v>0</v>
      </c>
      <c r="E40" s="138">
        <v>370.7</v>
      </c>
      <c r="F40" s="138">
        <v>0</v>
      </c>
      <c r="G40" s="138">
        <v>-104.99000000000001</v>
      </c>
      <c r="H40" s="138">
        <v>-108.77</v>
      </c>
      <c r="I40" s="138">
        <v>-1235.33</v>
      </c>
      <c r="J40" s="138">
        <v>-1153.43</v>
      </c>
      <c r="K40" s="138">
        <v>374.48</v>
      </c>
      <c r="L40" s="138">
        <v>0</v>
      </c>
    </row>
    <row r="41" spans="1:12" x14ac:dyDescent="0.3">
      <c r="A41" s="136" t="s">
        <v>524</v>
      </c>
      <c r="B41" s="137" t="s">
        <v>525</v>
      </c>
      <c r="C41" s="138">
        <v>1722.8400000000001</v>
      </c>
      <c r="D41" s="138">
        <v>0</v>
      </c>
      <c r="E41" s="138">
        <v>2092.06</v>
      </c>
      <c r="F41" s="138">
        <v>0</v>
      </c>
      <c r="G41" s="138">
        <v>0</v>
      </c>
      <c r="H41" s="138">
        <v>2092.06</v>
      </c>
      <c r="I41" s="138">
        <v>-1722.8400000000001</v>
      </c>
      <c r="J41" s="138">
        <v>0</v>
      </c>
      <c r="K41" s="138">
        <v>0</v>
      </c>
      <c r="L41" s="138">
        <v>0</v>
      </c>
    </row>
    <row r="42" spans="1:12" x14ac:dyDescent="0.3">
      <c r="A42" s="136" t="s">
        <v>526</v>
      </c>
      <c r="B42" s="137" t="s">
        <v>527</v>
      </c>
      <c r="C42" s="138">
        <v>0</v>
      </c>
      <c r="D42" s="138">
        <v>0</v>
      </c>
      <c r="E42" s="138">
        <v>75.650000000000006</v>
      </c>
      <c r="F42" s="138">
        <v>0</v>
      </c>
      <c r="G42" s="138">
        <v>-50.71</v>
      </c>
      <c r="H42" s="138">
        <v>-270.12</v>
      </c>
      <c r="I42" s="138">
        <v>-772.15</v>
      </c>
      <c r="J42" s="138">
        <v>-1067.21</v>
      </c>
      <c r="K42" s="138">
        <v>295.06</v>
      </c>
      <c r="L42" s="138">
        <v>0</v>
      </c>
    </row>
    <row r="43" spans="1:12" x14ac:dyDescent="0.3">
      <c r="A43" s="136" t="s">
        <v>528</v>
      </c>
      <c r="B43" s="137" t="s">
        <v>529</v>
      </c>
      <c r="C43" s="138">
        <v>3539.29</v>
      </c>
      <c r="D43" s="138">
        <v>0</v>
      </c>
      <c r="E43" s="138">
        <v>2.3000000000000003</v>
      </c>
      <c r="F43" s="138">
        <v>0</v>
      </c>
      <c r="G43" s="138">
        <v>-2.3000000000000003</v>
      </c>
      <c r="H43" s="138">
        <v>0</v>
      </c>
      <c r="I43" s="138">
        <v>-1557.8500000000001</v>
      </c>
      <c r="J43" s="138">
        <v>1981.44</v>
      </c>
      <c r="K43" s="138">
        <v>0</v>
      </c>
      <c r="L43" s="138">
        <v>0</v>
      </c>
    </row>
    <row r="44" spans="1:12" x14ac:dyDescent="0.3">
      <c r="A44" s="136" t="s">
        <v>530</v>
      </c>
      <c r="B44" s="137" t="s">
        <v>531</v>
      </c>
      <c r="C44" s="138">
        <v>0</v>
      </c>
      <c r="D44" s="138">
        <v>0</v>
      </c>
      <c r="E44" s="138">
        <v>3049</v>
      </c>
      <c r="F44" s="138">
        <v>0</v>
      </c>
      <c r="G44" s="138">
        <v>3561.5</v>
      </c>
      <c r="H44" s="138">
        <v>928.25</v>
      </c>
      <c r="I44" s="138">
        <v>30754.06</v>
      </c>
      <c r="J44" s="138">
        <v>25071.81</v>
      </c>
      <c r="K44" s="138">
        <v>5682.25</v>
      </c>
      <c r="L44" s="138">
        <v>0</v>
      </c>
    </row>
    <row r="45" spans="1:12" x14ac:dyDescent="0.3">
      <c r="A45" s="136" t="s">
        <v>532</v>
      </c>
      <c r="B45" s="137" t="s">
        <v>533</v>
      </c>
      <c r="C45" s="138">
        <v>778.82</v>
      </c>
      <c r="D45" s="138">
        <v>0</v>
      </c>
      <c r="E45" s="138">
        <v>747.29</v>
      </c>
      <c r="F45" s="138">
        <v>0</v>
      </c>
      <c r="G45" s="138">
        <v>11512.54</v>
      </c>
      <c r="H45" s="138">
        <v>11196.710000000001</v>
      </c>
      <c r="I45" s="138">
        <v>104128.88</v>
      </c>
      <c r="J45" s="138">
        <v>103844.58</v>
      </c>
      <c r="K45" s="138">
        <v>1063.1200000000001</v>
      </c>
      <c r="L45" s="138">
        <v>0</v>
      </c>
    </row>
    <row r="46" spans="1:12" x14ac:dyDescent="0.3">
      <c r="A46" s="136" t="s">
        <v>534</v>
      </c>
      <c r="B46" s="137" t="s">
        <v>535</v>
      </c>
      <c r="C46" s="138">
        <v>60</v>
      </c>
      <c r="D46" s="138">
        <v>0</v>
      </c>
      <c r="E46" s="138">
        <v>80</v>
      </c>
      <c r="F46" s="138">
        <v>0</v>
      </c>
      <c r="G46" s="138">
        <v>55</v>
      </c>
      <c r="H46" s="138">
        <v>30</v>
      </c>
      <c r="I46" s="138">
        <v>126.60000000000001</v>
      </c>
      <c r="J46" s="138">
        <v>81.600000000000009</v>
      </c>
      <c r="K46" s="138">
        <v>105</v>
      </c>
      <c r="L46" s="138">
        <v>0</v>
      </c>
    </row>
    <row r="47" spans="1:12" x14ac:dyDescent="0.3">
      <c r="A47" s="136" t="s">
        <v>536</v>
      </c>
      <c r="B47" s="137" t="s">
        <v>537</v>
      </c>
      <c r="C47" s="138">
        <v>0</v>
      </c>
      <c r="D47" s="138">
        <v>0</v>
      </c>
      <c r="E47" s="138">
        <v>0</v>
      </c>
      <c r="F47" s="138">
        <v>0</v>
      </c>
      <c r="G47" s="138">
        <v>15.99</v>
      </c>
      <c r="H47" s="138">
        <v>15.99</v>
      </c>
      <c r="I47" s="138">
        <v>454.32</v>
      </c>
      <c r="J47" s="138">
        <v>454.32</v>
      </c>
      <c r="K47" s="138">
        <v>0</v>
      </c>
      <c r="L47" s="138">
        <v>0</v>
      </c>
    </row>
    <row r="48" spans="1:12" x14ac:dyDescent="0.3">
      <c r="A48" s="136" t="s">
        <v>538</v>
      </c>
      <c r="B48" s="137" t="s">
        <v>539</v>
      </c>
      <c r="C48" s="138">
        <v>2975.9900000000002</v>
      </c>
      <c r="D48" s="138">
        <v>0</v>
      </c>
      <c r="E48" s="138">
        <v>2751.87</v>
      </c>
      <c r="F48" s="138">
        <v>0</v>
      </c>
      <c r="G48" s="138">
        <v>28.36</v>
      </c>
      <c r="H48" s="138">
        <v>2751.87</v>
      </c>
      <c r="I48" s="138">
        <v>21967.69</v>
      </c>
      <c r="J48" s="138">
        <v>24915.32</v>
      </c>
      <c r="K48" s="138">
        <v>28.36</v>
      </c>
      <c r="L48" s="138">
        <v>0</v>
      </c>
    </row>
    <row r="49" spans="1:12" x14ac:dyDescent="0.3">
      <c r="A49" s="136" t="s">
        <v>540</v>
      </c>
      <c r="B49" s="137" t="s">
        <v>541</v>
      </c>
      <c r="C49" s="138">
        <v>0</v>
      </c>
      <c r="D49" s="138">
        <v>16228.61</v>
      </c>
      <c r="E49" s="138">
        <v>0</v>
      </c>
      <c r="F49" s="138">
        <v>214.37</v>
      </c>
      <c r="G49" s="138">
        <v>269.22000000000003</v>
      </c>
      <c r="H49" s="138">
        <v>3834.44</v>
      </c>
      <c r="I49" s="138">
        <v>30620.41</v>
      </c>
      <c r="J49" s="138">
        <v>18171.39</v>
      </c>
      <c r="K49" s="138">
        <v>0</v>
      </c>
      <c r="L49" s="138">
        <v>3779.59</v>
      </c>
    </row>
    <row r="50" spans="1:12" x14ac:dyDescent="0.3">
      <c r="A50" s="136" t="s">
        <v>542</v>
      </c>
      <c r="B50" s="137" t="s">
        <v>543</v>
      </c>
      <c r="C50" s="138">
        <v>0</v>
      </c>
      <c r="D50" s="138">
        <v>95471.35</v>
      </c>
      <c r="E50" s="138">
        <v>0</v>
      </c>
      <c r="F50" s="138">
        <v>99591.57</v>
      </c>
      <c r="G50" s="138">
        <v>22949.920000000002</v>
      </c>
      <c r="H50" s="138">
        <v>39365.93</v>
      </c>
      <c r="I50" s="138">
        <v>438904.61</v>
      </c>
      <c r="J50" s="138">
        <v>459440.84</v>
      </c>
      <c r="K50" s="138">
        <v>0</v>
      </c>
      <c r="L50" s="138">
        <v>116007.58</v>
      </c>
    </row>
    <row r="51" spans="1:12" x14ac:dyDescent="0.3">
      <c r="A51" s="136" t="s">
        <v>544</v>
      </c>
      <c r="B51" s="137" t="s">
        <v>545</v>
      </c>
      <c r="C51" s="138">
        <v>0</v>
      </c>
      <c r="D51" s="138">
        <v>90</v>
      </c>
      <c r="E51" s="138">
        <v>0</v>
      </c>
      <c r="F51" s="138">
        <v>0</v>
      </c>
      <c r="G51" s="138">
        <v>0</v>
      </c>
      <c r="H51" s="138">
        <v>0</v>
      </c>
      <c r="I51" s="138">
        <v>90</v>
      </c>
      <c r="J51" s="138">
        <v>0</v>
      </c>
      <c r="K51" s="138">
        <v>0</v>
      </c>
      <c r="L51" s="138">
        <v>0</v>
      </c>
    </row>
    <row r="52" spans="1:12" x14ac:dyDescent="0.3">
      <c r="A52" s="136" t="s">
        <v>546</v>
      </c>
      <c r="B52" s="137" t="s">
        <v>547</v>
      </c>
      <c r="C52" s="138">
        <v>0</v>
      </c>
      <c r="D52" s="138">
        <v>1370.77</v>
      </c>
      <c r="E52" s="138">
        <v>0</v>
      </c>
      <c r="F52" s="138">
        <v>3067.39</v>
      </c>
      <c r="G52" s="138">
        <v>12114.67</v>
      </c>
      <c r="H52" s="138">
        <v>11069.29</v>
      </c>
      <c r="I52" s="138">
        <v>24206.47</v>
      </c>
      <c r="J52" s="138">
        <v>24857.71</v>
      </c>
      <c r="K52" s="138">
        <v>0</v>
      </c>
      <c r="L52" s="138">
        <v>2022.01</v>
      </c>
    </row>
    <row r="53" spans="1:12" x14ac:dyDescent="0.3">
      <c r="A53" s="136" t="s">
        <v>548</v>
      </c>
      <c r="B53" s="137" t="s">
        <v>549</v>
      </c>
      <c r="C53" s="138">
        <v>0</v>
      </c>
      <c r="D53" s="138">
        <v>2003.88</v>
      </c>
      <c r="E53" s="138">
        <v>0</v>
      </c>
      <c r="F53" s="138">
        <v>2003.88</v>
      </c>
      <c r="G53" s="138">
        <v>0</v>
      </c>
      <c r="H53" s="138">
        <v>-581.24</v>
      </c>
      <c r="I53" s="138">
        <v>0</v>
      </c>
      <c r="J53" s="138">
        <v>-581.24</v>
      </c>
      <c r="K53" s="138">
        <v>0</v>
      </c>
      <c r="L53" s="138">
        <v>1422.64</v>
      </c>
    </row>
    <row r="54" spans="1:12" x14ac:dyDescent="0.3">
      <c r="A54" s="136" t="s">
        <v>550</v>
      </c>
      <c r="B54" s="137" t="s">
        <v>551</v>
      </c>
      <c r="C54" s="138">
        <v>0</v>
      </c>
      <c r="D54" s="138">
        <v>0</v>
      </c>
      <c r="E54" s="138">
        <v>0</v>
      </c>
      <c r="F54" s="138">
        <v>0</v>
      </c>
      <c r="G54" s="138">
        <v>0</v>
      </c>
      <c r="H54" s="138">
        <v>1555.94</v>
      </c>
      <c r="I54" s="138">
        <v>0</v>
      </c>
      <c r="J54" s="138">
        <v>1555.94</v>
      </c>
      <c r="K54" s="138">
        <v>0</v>
      </c>
      <c r="L54" s="138">
        <v>1555.94</v>
      </c>
    </row>
    <row r="55" spans="1:12" x14ac:dyDescent="0.3">
      <c r="A55" s="136" t="s">
        <v>552</v>
      </c>
      <c r="B55" s="137" t="s">
        <v>553</v>
      </c>
      <c r="C55" s="138">
        <v>0</v>
      </c>
      <c r="D55" s="138">
        <v>1269.8</v>
      </c>
      <c r="E55" s="138">
        <v>0</v>
      </c>
      <c r="F55" s="138">
        <v>1626.38</v>
      </c>
      <c r="G55" s="138">
        <v>70</v>
      </c>
      <c r="H55" s="138">
        <v>-1466.38</v>
      </c>
      <c r="I55" s="138">
        <v>770</v>
      </c>
      <c r="J55" s="138">
        <v>-409.8</v>
      </c>
      <c r="K55" s="138">
        <v>0</v>
      </c>
      <c r="L55" s="138">
        <v>90</v>
      </c>
    </row>
    <row r="56" spans="1:12" x14ac:dyDescent="0.3">
      <c r="A56" s="136" t="s">
        <v>554</v>
      </c>
      <c r="B56" s="137" t="s">
        <v>555</v>
      </c>
      <c r="C56" s="138">
        <v>0</v>
      </c>
      <c r="D56" s="138">
        <v>0</v>
      </c>
      <c r="E56" s="138">
        <v>0</v>
      </c>
      <c r="F56" s="138">
        <v>2572.19</v>
      </c>
      <c r="G56" s="138">
        <v>0</v>
      </c>
      <c r="H56" s="138">
        <v>-2572.19</v>
      </c>
      <c r="I56" s="138">
        <v>0</v>
      </c>
      <c r="J56" s="138">
        <v>0</v>
      </c>
      <c r="K56" s="138">
        <v>0</v>
      </c>
      <c r="L56" s="138">
        <v>0</v>
      </c>
    </row>
    <row r="57" spans="1:12" x14ac:dyDescent="0.3">
      <c r="A57" s="136" t="s">
        <v>556</v>
      </c>
      <c r="B57" s="137" t="s">
        <v>557</v>
      </c>
      <c r="C57" s="138">
        <v>0</v>
      </c>
      <c r="D57" s="138">
        <v>1757.6000000000001</v>
      </c>
      <c r="E57" s="138">
        <v>0</v>
      </c>
      <c r="F57" s="138">
        <v>0</v>
      </c>
      <c r="G57" s="138">
        <v>0</v>
      </c>
      <c r="H57" s="138">
        <v>2568.8000000000002</v>
      </c>
      <c r="I57" s="138">
        <v>0</v>
      </c>
      <c r="J57" s="138">
        <v>811.2</v>
      </c>
      <c r="K57" s="138">
        <v>0</v>
      </c>
      <c r="L57" s="138">
        <v>2568.8000000000002</v>
      </c>
    </row>
    <row r="58" spans="1:12" x14ac:dyDescent="0.3">
      <c r="A58" s="136" t="s">
        <v>558</v>
      </c>
      <c r="B58" s="137" t="s">
        <v>559</v>
      </c>
      <c r="C58" s="138">
        <v>0</v>
      </c>
      <c r="D58" s="138">
        <v>0</v>
      </c>
      <c r="E58" s="138">
        <v>0</v>
      </c>
      <c r="F58" s="138">
        <v>0</v>
      </c>
      <c r="G58" s="138">
        <v>0</v>
      </c>
      <c r="H58" s="138">
        <v>112.66</v>
      </c>
      <c r="I58" s="138">
        <v>0</v>
      </c>
      <c r="J58" s="138">
        <v>112.66</v>
      </c>
      <c r="K58" s="138">
        <v>0</v>
      </c>
      <c r="L58" s="138">
        <v>112.66</v>
      </c>
    </row>
    <row r="59" spans="1:12" x14ac:dyDescent="0.3">
      <c r="A59" s="136" t="s">
        <v>560</v>
      </c>
      <c r="B59" s="137" t="s">
        <v>561</v>
      </c>
      <c r="C59" s="138">
        <v>0</v>
      </c>
      <c r="D59" s="138">
        <v>62.93</v>
      </c>
      <c r="E59" s="138">
        <v>0</v>
      </c>
      <c r="F59" s="138">
        <v>336.85</v>
      </c>
      <c r="G59" s="138">
        <v>0</v>
      </c>
      <c r="H59" s="138">
        <v>26.16</v>
      </c>
      <c r="I59" s="138">
        <v>0</v>
      </c>
      <c r="J59" s="138">
        <v>300.08</v>
      </c>
      <c r="K59" s="138">
        <v>0</v>
      </c>
      <c r="L59" s="138">
        <v>363.01</v>
      </c>
    </row>
    <row r="60" spans="1:12" x14ac:dyDescent="0.3">
      <c r="A60" s="136" t="s">
        <v>562</v>
      </c>
      <c r="B60" s="137" t="s">
        <v>563</v>
      </c>
      <c r="C60" s="138">
        <v>0</v>
      </c>
      <c r="D60" s="138">
        <v>1174.57</v>
      </c>
      <c r="E60" s="138">
        <v>0</v>
      </c>
      <c r="F60" s="138">
        <v>950.57</v>
      </c>
      <c r="G60" s="138">
        <v>0</v>
      </c>
      <c r="H60" s="138">
        <v>46.44</v>
      </c>
      <c r="I60" s="138">
        <v>0</v>
      </c>
      <c r="J60" s="138">
        <v>-177.56</v>
      </c>
      <c r="K60" s="138">
        <v>0</v>
      </c>
      <c r="L60" s="138">
        <v>997.01</v>
      </c>
    </row>
    <row r="61" spans="1:12" x14ac:dyDescent="0.3">
      <c r="A61" s="136" t="s">
        <v>564</v>
      </c>
      <c r="B61" s="137" t="s">
        <v>565</v>
      </c>
      <c r="C61" s="138">
        <v>0</v>
      </c>
      <c r="D61" s="138">
        <v>0</v>
      </c>
      <c r="E61" s="138">
        <v>0</v>
      </c>
      <c r="F61" s="138">
        <v>0</v>
      </c>
      <c r="G61" s="138">
        <v>9047.2800000000007</v>
      </c>
      <c r="H61" s="138">
        <v>9047.2800000000007</v>
      </c>
      <c r="I61" s="138">
        <v>9047.2800000000007</v>
      </c>
      <c r="J61" s="138">
        <v>9047.2800000000007</v>
      </c>
      <c r="K61" s="138">
        <v>0</v>
      </c>
      <c r="L61" s="138">
        <v>0</v>
      </c>
    </row>
    <row r="62" spans="1:12" x14ac:dyDescent="0.3">
      <c r="A62" s="136" t="s">
        <v>566</v>
      </c>
      <c r="B62" s="137" t="s">
        <v>567</v>
      </c>
      <c r="C62" s="138">
        <v>0</v>
      </c>
      <c r="D62" s="138">
        <v>0</v>
      </c>
      <c r="E62" s="138">
        <v>0</v>
      </c>
      <c r="F62" s="138">
        <v>0</v>
      </c>
      <c r="G62" s="138">
        <v>1077.92</v>
      </c>
      <c r="H62" s="138">
        <v>1077.92</v>
      </c>
      <c r="I62" s="138">
        <v>11152.35</v>
      </c>
      <c r="J62" s="138">
        <v>11152.35</v>
      </c>
      <c r="K62" s="138">
        <v>0</v>
      </c>
      <c r="L62" s="138">
        <v>0</v>
      </c>
    </row>
    <row r="63" spans="1:12" x14ac:dyDescent="0.3">
      <c r="A63" s="136" t="s">
        <v>568</v>
      </c>
      <c r="B63" s="137" t="s">
        <v>569</v>
      </c>
      <c r="C63" s="138">
        <v>0</v>
      </c>
      <c r="D63" s="138">
        <v>66.400000000000006</v>
      </c>
      <c r="E63" s="138">
        <v>0</v>
      </c>
      <c r="F63" s="138">
        <v>0</v>
      </c>
      <c r="G63" s="138">
        <v>171.95000000000002</v>
      </c>
      <c r="H63" s="138">
        <v>171.95000000000002</v>
      </c>
      <c r="I63" s="138">
        <v>4219.1099999999997</v>
      </c>
      <c r="J63" s="138">
        <v>4152.71</v>
      </c>
      <c r="K63" s="138">
        <v>0</v>
      </c>
      <c r="L63" s="138">
        <v>0</v>
      </c>
    </row>
    <row r="64" spans="1:12" x14ac:dyDescent="0.3">
      <c r="A64" s="136" t="s">
        <v>570</v>
      </c>
      <c r="B64" s="137" t="s">
        <v>571</v>
      </c>
      <c r="C64" s="138">
        <v>0</v>
      </c>
      <c r="D64" s="138">
        <v>106.38</v>
      </c>
      <c r="E64" s="138">
        <v>0</v>
      </c>
      <c r="F64" s="138">
        <v>0</v>
      </c>
      <c r="G64" s="138">
        <v>101.89</v>
      </c>
      <c r="H64" s="138">
        <v>101.89</v>
      </c>
      <c r="I64" s="138">
        <v>1175.25</v>
      </c>
      <c r="J64" s="138">
        <v>1068.8700000000001</v>
      </c>
      <c r="K64" s="138">
        <v>0</v>
      </c>
      <c r="L64" s="138">
        <v>0</v>
      </c>
    </row>
    <row r="65" spans="1:12" x14ac:dyDescent="0.3">
      <c r="A65" s="136" t="s">
        <v>572</v>
      </c>
      <c r="B65" s="137" t="s">
        <v>573</v>
      </c>
      <c r="C65" s="138">
        <v>0</v>
      </c>
      <c r="D65" s="138">
        <v>80</v>
      </c>
      <c r="E65" s="138">
        <v>0</v>
      </c>
      <c r="F65" s="138">
        <v>0</v>
      </c>
      <c r="G65" s="138">
        <v>0</v>
      </c>
      <c r="H65" s="138">
        <v>0</v>
      </c>
      <c r="I65" s="138">
        <v>110</v>
      </c>
      <c r="J65" s="138">
        <v>30</v>
      </c>
      <c r="K65" s="138">
        <v>0</v>
      </c>
      <c r="L65" s="138">
        <v>0</v>
      </c>
    </row>
    <row r="66" spans="1:12" x14ac:dyDescent="0.3">
      <c r="A66" s="136" t="s">
        <v>574</v>
      </c>
      <c r="B66" s="137" t="s">
        <v>575</v>
      </c>
      <c r="C66" s="138">
        <v>0</v>
      </c>
      <c r="D66" s="138">
        <v>2537.58</v>
      </c>
      <c r="E66" s="138">
        <v>0</v>
      </c>
      <c r="F66" s="138">
        <v>2567.23</v>
      </c>
      <c r="G66" s="138">
        <v>3410.8</v>
      </c>
      <c r="H66" s="138">
        <v>3010.06</v>
      </c>
      <c r="I66" s="138">
        <v>39443.29</v>
      </c>
      <c r="J66" s="138">
        <v>39072.200000000004</v>
      </c>
      <c r="K66" s="138">
        <v>0</v>
      </c>
      <c r="L66" s="138">
        <v>2166.4900000000002</v>
      </c>
    </row>
    <row r="67" spans="1:12" x14ac:dyDescent="0.3">
      <c r="A67" s="136" t="s">
        <v>576</v>
      </c>
      <c r="B67" s="137" t="s">
        <v>577</v>
      </c>
      <c r="C67" s="138">
        <v>0</v>
      </c>
      <c r="D67" s="138">
        <v>0</v>
      </c>
      <c r="E67" s="138">
        <v>0</v>
      </c>
      <c r="F67" s="138">
        <v>0</v>
      </c>
      <c r="G67" s="138">
        <v>0</v>
      </c>
      <c r="H67" s="138">
        <v>0</v>
      </c>
      <c r="I67" s="138">
        <v>130</v>
      </c>
      <c r="J67" s="138">
        <v>130</v>
      </c>
      <c r="K67" s="138">
        <v>0</v>
      </c>
      <c r="L67" s="138">
        <v>0</v>
      </c>
    </row>
    <row r="68" spans="1:12" x14ac:dyDescent="0.3">
      <c r="A68" s="136" t="s">
        <v>578</v>
      </c>
      <c r="B68" s="137" t="s">
        <v>579</v>
      </c>
      <c r="C68" s="138">
        <v>0</v>
      </c>
      <c r="D68" s="138">
        <v>0</v>
      </c>
      <c r="E68" s="138">
        <v>0</v>
      </c>
      <c r="F68" s="138">
        <v>0</v>
      </c>
      <c r="G68" s="138">
        <v>0</v>
      </c>
      <c r="H68" s="138">
        <v>0</v>
      </c>
      <c r="I68" s="138">
        <v>306.8</v>
      </c>
      <c r="J68" s="138">
        <v>306.8</v>
      </c>
      <c r="K68" s="138">
        <v>0</v>
      </c>
      <c r="L68" s="138">
        <v>0</v>
      </c>
    </row>
    <row r="69" spans="1:12" x14ac:dyDescent="0.3">
      <c r="A69" s="136" t="s">
        <v>580</v>
      </c>
      <c r="B69" s="137" t="s">
        <v>581</v>
      </c>
      <c r="C69" s="138">
        <v>0</v>
      </c>
      <c r="D69" s="138">
        <v>0</v>
      </c>
      <c r="E69" s="138">
        <v>0</v>
      </c>
      <c r="F69" s="138">
        <v>0</v>
      </c>
      <c r="G69" s="138">
        <v>126</v>
      </c>
      <c r="H69" s="138">
        <v>126</v>
      </c>
      <c r="I69" s="138">
        <v>766.2</v>
      </c>
      <c r="J69" s="138">
        <v>766.2</v>
      </c>
      <c r="K69" s="138">
        <v>0</v>
      </c>
      <c r="L69" s="138">
        <v>0</v>
      </c>
    </row>
    <row r="70" spans="1:12" x14ac:dyDescent="0.3">
      <c r="A70" s="136" t="s">
        <v>582</v>
      </c>
      <c r="B70" s="137" t="s">
        <v>583</v>
      </c>
      <c r="C70" s="138">
        <v>0</v>
      </c>
      <c r="D70" s="138">
        <v>0</v>
      </c>
      <c r="E70" s="138">
        <v>0</v>
      </c>
      <c r="F70" s="138">
        <v>0</v>
      </c>
      <c r="G70" s="138">
        <v>0</v>
      </c>
      <c r="H70" s="138">
        <v>0</v>
      </c>
      <c r="I70" s="138">
        <v>3.3000000000000003</v>
      </c>
      <c r="J70" s="138">
        <v>3.3000000000000003</v>
      </c>
      <c r="K70" s="138">
        <v>0</v>
      </c>
      <c r="L70" s="138">
        <v>0</v>
      </c>
    </row>
    <row r="71" spans="1:12" x14ac:dyDescent="0.3">
      <c r="A71" s="136" t="s">
        <v>584</v>
      </c>
      <c r="B71" s="137" t="s">
        <v>585</v>
      </c>
      <c r="C71" s="138">
        <v>0</v>
      </c>
      <c r="D71" s="138">
        <v>502.82</v>
      </c>
      <c r="E71" s="138">
        <v>0</v>
      </c>
      <c r="F71" s="138">
        <v>497.88</v>
      </c>
      <c r="G71" s="138">
        <v>497.88</v>
      </c>
      <c r="H71" s="138">
        <v>421.39</v>
      </c>
      <c r="I71" s="138">
        <v>5430.11</v>
      </c>
      <c r="J71" s="138">
        <v>5348.68</v>
      </c>
      <c r="K71" s="138">
        <v>0</v>
      </c>
      <c r="L71" s="138">
        <v>421.39</v>
      </c>
    </row>
    <row r="72" spans="1:12" x14ac:dyDescent="0.3">
      <c r="A72" s="136" t="s">
        <v>586</v>
      </c>
      <c r="B72" s="137" t="s">
        <v>587</v>
      </c>
      <c r="C72" s="138">
        <v>0</v>
      </c>
      <c r="D72" s="138">
        <v>1242.58</v>
      </c>
      <c r="E72" s="138">
        <v>0</v>
      </c>
      <c r="F72" s="138">
        <v>1230.42</v>
      </c>
      <c r="G72" s="138">
        <v>1230.42</v>
      </c>
      <c r="H72" s="138">
        <v>1041.3499999999999</v>
      </c>
      <c r="I72" s="138">
        <v>13419.19</v>
      </c>
      <c r="J72" s="138">
        <v>13217.960000000001</v>
      </c>
      <c r="K72" s="138">
        <v>0</v>
      </c>
      <c r="L72" s="138">
        <v>1041.3499999999999</v>
      </c>
    </row>
    <row r="73" spans="1:12" x14ac:dyDescent="0.3">
      <c r="A73" s="136" t="s">
        <v>588</v>
      </c>
      <c r="B73" s="137" t="s">
        <v>589</v>
      </c>
      <c r="C73" s="138">
        <v>-2764.16</v>
      </c>
      <c r="D73" s="138">
        <v>0</v>
      </c>
      <c r="E73" s="138">
        <v>0</v>
      </c>
      <c r="F73" s="138">
        <v>0</v>
      </c>
      <c r="G73" s="138">
        <v>0</v>
      </c>
      <c r="H73" s="138">
        <v>4058.86</v>
      </c>
      <c r="I73" s="138">
        <v>2764.16</v>
      </c>
      <c r="J73" s="138">
        <v>4058.86</v>
      </c>
      <c r="K73" s="138">
        <v>-4058.86</v>
      </c>
      <c r="L73" s="138">
        <v>0</v>
      </c>
    </row>
    <row r="74" spans="1:12" x14ac:dyDescent="0.3">
      <c r="A74" s="136" t="s">
        <v>590</v>
      </c>
      <c r="B74" s="137" t="s">
        <v>591</v>
      </c>
      <c r="C74" s="138">
        <v>0</v>
      </c>
      <c r="D74" s="138">
        <v>519.54999999999995</v>
      </c>
      <c r="E74" s="138">
        <v>0</v>
      </c>
      <c r="F74" s="138">
        <v>512.68000000000006</v>
      </c>
      <c r="G74" s="138">
        <v>512.68000000000006</v>
      </c>
      <c r="H74" s="138">
        <v>422.78000000000003</v>
      </c>
      <c r="I74" s="138">
        <v>4934.96</v>
      </c>
      <c r="J74" s="138">
        <v>4838.1900000000005</v>
      </c>
      <c r="K74" s="138">
        <v>0</v>
      </c>
      <c r="L74" s="138">
        <v>422.78000000000003</v>
      </c>
    </row>
    <row r="75" spans="1:12" x14ac:dyDescent="0.3">
      <c r="A75" s="136" t="s">
        <v>592</v>
      </c>
      <c r="B75" s="137" t="s">
        <v>593</v>
      </c>
      <c r="C75" s="138">
        <v>0</v>
      </c>
      <c r="D75" s="138">
        <v>0</v>
      </c>
      <c r="E75" s="138">
        <v>0</v>
      </c>
      <c r="F75" s="138">
        <v>0</v>
      </c>
      <c r="G75" s="138">
        <v>3579.2000000000003</v>
      </c>
      <c r="H75" s="138">
        <v>3579.2000000000003</v>
      </c>
      <c r="I75" s="138">
        <v>40071.81</v>
      </c>
      <c r="J75" s="138">
        <v>40071.81</v>
      </c>
      <c r="K75" s="138">
        <v>0</v>
      </c>
      <c r="L75" s="138">
        <v>0</v>
      </c>
    </row>
    <row r="76" spans="1:12" x14ac:dyDescent="0.3">
      <c r="A76" s="136" t="s">
        <v>594</v>
      </c>
      <c r="B76" s="137" t="s">
        <v>595</v>
      </c>
      <c r="C76" s="138">
        <v>0</v>
      </c>
      <c r="D76" s="138">
        <v>-434.24</v>
      </c>
      <c r="E76" s="138">
        <v>0</v>
      </c>
      <c r="F76" s="138">
        <v>0</v>
      </c>
      <c r="G76" s="138">
        <v>1110.77</v>
      </c>
      <c r="H76" s="138">
        <v>1110.77</v>
      </c>
      <c r="I76" s="138">
        <v>13924.69</v>
      </c>
      <c r="J76" s="138">
        <v>14358.93</v>
      </c>
      <c r="K76" s="138">
        <v>0</v>
      </c>
      <c r="L76" s="138">
        <v>0</v>
      </c>
    </row>
    <row r="77" spans="1:12" x14ac:dyDescent="0.3">
      <c r="A77" s="136" t="s">
        <v>596</v>
      </c>
      <c r="B77" s="137" t="s">
        <v>597</v>
      </c>
      <c r="C77" s="138">
        <v>0</v>
      </c>
      <c r="D77" s="138">
        <v>0</v>
      </c>
      <c r="E77" s="138">
        <v>0</v>
      </c>
      <c r="F77" s="138">
        <v>0</v>
      </c>
      <c r="G77" s="138">
        <v>3282.83</v>
      </c>
      <c r="H77" s="138">
        <v>3282.83</v>
      </c>
      <c r="I77" s="138">
        <v>35160.74</v>
      </c>
      <c r="J77" s="138">
        <v>35160.74</v>
      </c>
      <c r="K77" s="138">
        <v>0</v>
      </c>
      <c r="L77" s="138">
        <v>0</v>
      </c>
    </row>
    <row r="78" spans="1:12" x14ac:dyDescent="0.3">
      <c r="A78" s="136" t="s">
        <v>598</v>
      </c>
      <c r="B78" s="137" t="s">
        <v>599</v>
      </c>
      <c r="C78" s="138">
        <v>0</v>
      </c>
      <c r="D78" s="138">
        <v>0</v>
      </c>
      <c r="E78" s="138">
        <v>0</v>
      </c>
      <c r="F78" s="138">
        <v>0</v>
      </c>
      <c r="G78" s="138">
        <v>970.22</v>
      </c>
      <c r="H78" s="138">
        <v>970.22</v>
      </c>
      <c r="I78" s="138">
        <v>10989.29</v>
      </c>
      <c r="J78" s="138">
        <v>10989.29</v>
      </c>
      <c r="K78" s="138">
        <v>0</v>
      </c>
      <c r="L78" s="138">
        <v>0</v>
      </c>
    </row>
    <row r="79" spans="1:12" x14ac:dyDescent="0.3">
      <c r="A79" s="136" t="s">
        <v>600</v>
      </c>
      <c r="B79" s="137" t="s">
        <v>601</v>
      </c>
      <c r="C79" s="138">
        <v>0</v>
      </c>
      <c r="D79" s="138">
        <v>434.24</v>
      </c>
      <c r="E79" s="138">
        <v>0</v>
      </c>
      <c r="F79" s="138">
        <v>0</v>
      </c>
      <c r="G79" s="138">
        <v>58.93</v>
      </c>
      <c r="H79" s="138">
        <v>58.93</v>
      </c>
      <c r="I79" s="138">
        <v>2255.67</v>
      </c>
      <c r="J79" s="138">
        <v>1821.43</v>
      </c>
      <c r="K79" s="138">
        <v>0</v>
      </c>
      <c r="L79" s="138">
        <v>0</v>
      </c>
    </row>
    <row r="80" spans="1:12" x14ac:dyDescent="0.3">
      <c r="A80" s="136" t="s">
        <v>602</v>
      </c>
      <c r="B80" s="137" t="s">
        <v>603</v>
      </c>
      <c r="C80" s="138">
        <v>0</v>
      </c>
      <c r="D80" s="138">
        <v>0</v>
      </c>
      <c r="E80" s="138">
        <v>0</v>
      </c>
      <c r="F80" s="138">
        <v>0</v>
      </c>
      <c r="G80" s="138">
        <v>0</v>
      </c>
      <c r="H80" s="138">
        <v>0</v>
      </c>
      <c r="I80" s="138">
        <v>555.68000000000006</v>
      </c>
      <c r="J80" s="138">
        <v>555.68000000000006</v>
      </c>
      <c r="K80" s="138">
        <v>0</v>
      </c>
      <c r="L80" s="138">
        <v>0</v>
      </c>
    </row>
    <row r="81" spans="1:12" x14ac:dyDescent="0.3">
      <c r="A81" s="136" t="s">
        <v>604</v>
      </c>
      <c r="B81" s="137" t="s">
        <v>605</v>
      </c>
      <c r="C81" s="138">
        <v>0</v>
      </c>
      <c r="D81" s="138">
        <v>0</v>
      </c>
      <c r="E81" s="138">
        <v>0</v>
      </c>
      <c r="F81" s="138">
        <v>0</v>
      </c>
      <c r="G81" s="138">
        <v>0</v>
      </c>
      <c r="H81" s="138">
        <v>0</v>
      </c>
      <c r="I81" s="138">
        <v>45</v>
      </c>
      <c r="J81" s="138">
        <v>45</v>
      </c>
      <c r="K81" s="138">
        <v>0</v>
      </c>
      <c r="L81" s="138">
        <v>0</v>
      </c>
    </row>
    <row r="82" spans="1:12" x14ac:dyDescent="0.3">
      <c r="A82" s="136" t="s">
        <v>606</v>
      </c>
      <c r="B82" s="137" t="s">
        <v>607</v>
      </c>
      <c r="C82" s="138">
        <v>42370.62</v>
      </c>
      <c r="D82" s="138">
        <v>0</v>
      </c>
      <c r="E82" s="138">
        <v>49157.82</v>
      </c>
      <c r="F82" s="138">
        <v>0</v>
      </c>
      <c r="G82" s="138">
        <v>11755.12</v>
      </c>
      <c r="H82" s="138">
        <v>0</v>
      </c>
      <c r="I82" s="138">
        <v>62440.520000000004</v>
      </c>
      <c r="J82" s="138">
        <v>43898.200000000004</v>
      </c>
      <c r="K82" s="138">
        <v>60912.94</v>
      </c>
      <c r="L82" s="138">
        <v>0</v>
      </c>
    </row>
    <row r="83" spans="1:12" x14ac:dyDescent="0.3">
      <c r="A83" s="136" t="s">
        <v>608</v>
      </c>
      <c r="B83" s="137" t="s">
        <v>609</v>
      </c>
      <c r="C83" s="138">
        <v>89.97</v>
      </c>
      <c r="D83" s="138">
        <v>0</v>
      </c>
      <c r="E83" s="138">
        <v>202.01</v>
      </c>
      <c r="F83" s="138">
        <v>0</v>
      </c>
      <c r="G83" s="138">
        <v>129.34</v>
      </c>
      <c r="H83" s="138">
        <v>0</v>
      </c>
      <c r="I83" s="138">
        <v>1015.84</v>
      </c>
      <c r="J83" s="138">
        <v>774.46</v>
      </c>
      <c r="K83" s="138">
        <v>331.35</v>
      </c>
      <c r="L83" s="138">
        <v>0</v>
      </c>
    </row>
    <row r="84" spans="1:12" x14ac:dyDescent="0.3">
      <c r="A84" s="136" t="s">
        <v>610</v>
      </c>
      <c r="B84" s="137" t="s">
        <v>611</v>
      </c>
      <c r="C84" s="138">
        <v>0</v>
      </c>
      <c r="D84" s="138">
        <v>0</v>
      </c>
      <c r="E84" s="138">
        <v>0</v>
      </c>
      <c r="F84" s="138">
        <v>0</v>
      </c>
      <c r="G84" s="138">
        <v>0</v>
      </c>
      <c r="H84" s="138">
        <v>0</v>
      </c>
      <c r="I84" s="138">
        <v>0</v>
      </c>
      <c r="J84" s="138">
        <v>0</v>
      </c>
      <c r="K84" s="138">
        <v>0</v>
      </c>
      <c r="L84" s="138">
        <v>0</v>
      </c>
    </row>
    <row r="85" spans="1:12" x14ac:dyDescent="0.3">
      <c r="A85" s="136" t="s">
        <v>612</v>
      </c>
      <c r="B85" s="137" t="s">
        <v>613</v>
      </c>
      <c r="C85" s="138">
        <v>0</v>
      </c>
      <c r="D85" s="138">
        <v>0</v>
      </c>
      <c r="E85" s="138">
        <v>0</v>
      </c>
      <c r="F85" s="138">
        <v>0</v>
      </c>
      <c r="G85" s="138">
        <v>0</v>
      </c>
      <c r="H85" s="138">
        <v>0</v>
      </c>
      <c r="I85" s="138">
        <v>0</v>
      </c>
      <c r="J85" s="138">
        <v>0</v>
      </c>
      <c r="K85" s="138">
        <v>0</v>
      </c>
      <c r="L85" s="138">
        <v>0</v>
      </c>
    </row>
    <row r="86" spans="1:12" x14ac:dyDescent="0.3">
      <c r="A86" s="136" t="s">
        <v>614</v>
      </c>
      <c r="B86" s="137" t="s">
        <v>615</v>
      </c>
      <c r="C86" s="138">
        <v>0</v>
      </c>
      <c r="D86" s="138">
        <v>0</v>
      </c>
      <c r="E86" s="138">
        <v>0</v>
      </c>
      <c r="F86" s="138">
        <v>0</v>
      </c>
      <c r="G86" s="138">
        <v>46088.12</v>
      </c>
      <c r="H86" s="138">
        <v>46088.12</v>
      </c>
      <c r="I86" s="138">
        <v>495079.4</v>
      </c>
      <c r="J86" s="138">
        <v>495079.4</v>
      </c>
      <c r="K86" s="138">
        <v>0</v>
      </c>
      <c r="L86" s="138">
        <v>0</v>
      </c>
    </row>
    <row r="87" spans="1:12" x14ac:dyDescent="0.3">
      <c r="A87" s="136" t="s">
        <v>616</v>
      </c>
      <c r="B87" s="137" t="s">
        <v>617</v>
      </c>
      <c r="C87" s="138">
        <v>169.47</v>
      </c>
      <c r="D87" s="138">
        <v>0</v>
      </c>
      <c r="E87" s="138">
        <v>162.56</v>
      </c>
      <c r="F87" s="138">
        <v>0</v>
      </c>
      <c r="G87" s="138">
        <v>162.54</v>
      </c>
      <c r="H87" s="138">
        <v>162.56</v>
      </c>
      <c r="I87" s="138">
        <v>4566.55</v>
      </c>
      <c r="J87" s="138">
        <v>4573.4800000000005</v>
      </c>
      <c r="K87" s="138">
        <v>162.54</v>
      </c>
      <c r="L87" s="138">
        <v>0</v>
      </c>
    </row>
    <row r="88" spans="1:12" x14ac:dyDescent="0.3">
      <c r="A88" s="136" t="s">
        <v>618</v>
      </c>
      <c r="B88" s="137" t="s">
        <v>619</v>
      </c>
      <c r="C88" s="138">
        <v>943.36</v>
      </c>
      <c r="D88" s="138">
        <v>0</v>
      </c>
      <c r="E88" s="138">
        <v>-293.57</v>
      </c>
      <c r="F88" s="138">
        <v>0</v>
      </c>
      <c r="G88" s="138">
        <v>671.56000000000006</v>
      </c>
      <c r="H88" s="138">
        <v>377.99</v>
      </c>
      <c r="I88" s="138">
        <v>5119.74</v>
      </c>
      <c r="J88" s="138">
        <v>6063.1</v>
      </c>
      <c r="K88" s="138">
        <v>0</v>
      </c>
      <c r="L88" s="138">
        <v>0</v>
      </c>
    </row>
    <row r="89" spans="1:12" x14ac:dyDescent="0.3">
      <c r="A89" s="136" t="s">
        <v>620</v>
      </c>
      <c r="B89" s="137" t="s">
        <v>621</v>
      </c>
      <c r="C89" s="138">
        <v>0</v>
      </c>
      <c r="D89" s="138">
        <v>0</v>
      </c>
      <c r="E89" s="138">
        <v>0</v>
      </c>
      <c r="F89" s="138">
        <v>0</v>
      </c>
      <c r="G89" s="138">
        <v>0</v>
      </c>
      <c r="H89" s="138">
        <v>0</v>
      </c>
      <c r="I89" s="138">
        <v>0</v>
      </c>
      <c r="J89" s="138">
        <v>0</v>
      </c>
      <c r="K89" s="138">
        <v>0</v>
      </c>
      <c r="L89" s="138">
        <v>0</v>
      </c>
    </row>
    <row r="90" spans="1:12" x14ac:dyDescent="0.3">
      <c r="A90" s="136" t="s">
        <v>622</v>
      </c>
      <c r="B90" s="137" t="s">
        <v>619</v>
      </c>
      <c r="C90" s="138">
        <v>0</v>
      </c>
      <c r="D90" s="138">
        <v>0</v>
      </c>
      <c r="E90" s="138">
        <v>0</v>
      </c>
      <c r="F90" s="138">
        <v>0</v>
      </c>
      <c r="G90" s="138">
        <v>0</v>
      </c>
      <c r="H90" s="138">
        <v>377.99</v>
      </c>
      <c r="I90" s="138">
        <v>0</v>
      </c>
      <c r="J90" s="138">
        <v>377.99</v>
      </c>
      <c r="K90" s="138">
        <v>0</v>
      </c>
      <c r="L90" s="138">
        <v>377.99</v>
      </c>
    </row>
    <row r="91" spans="1:12" x14ac:dyDescent="0.3">
      <c r="A91" s="136" t="s">
        <v>623</v>
      </c>
      <c r="B91" s="137" t="s">
        <v>624</v>
      </c>
      <c r="C91" s="138">
        <v>0</v>
      </c>
      <c r="D91" s="138">
        <v>0</v>
      </c>
      <c r="E91" s="138">
        <v>0</v>
      </c>
      <c r="F91" s="138">
        <v>0</v>
      </c>
      <c r="G91" s="138">
        <v>0</v>
      </c>
      <c r="H91" s="138">
        <v>0</v>
      </c>
      <c r="I91" s="138">
        <v>3709.01</v>
      </c>
      <c r="J91" s="138">
        <v>3709.01</v>
      </c>
      <c r="K91" s="138">
        <v>0</v>
      </c>
      <c r="L91" s="138">
        <v>0</v>
      </c>
    </row>
    <row r="92" spans="1:12" x14ac:dyDescent="0.3">
      <c r="A92" s="136" t="s">
        <v>625</v>
      </c>
      <c r="B92" s="137" t="s">
        <v>626</v>
      </c>
      <c r="C92" s="138">
        <v>372.18</v>
      </c>
      <c r="D92" s="138">
        <v>0</v>
      </c>
      <c r="E92" s="138">
        <v>341</v>
      </c>
      <c r="F92" s="138">
        <v>0</v>
      </c>
      <c r="G92" s="138">
        <v>0</v>
      </c>
      <c r="H92" s="138">
        <v>0</v>
      </c>
      <c r="I92" s="138">
        <v>341</v>
      </c>
      <c r="J92" s="138">
        <v>372.18</v>
      </c>
      <c r="K92" s="138">
        <v>341</v>
      </c>
      <c r="L92" s="138">
        <v>0</v>
      </c>
    </row>
    <row r="93" spans="1:12" x14ac:dyDescent="0.3">
      <c r="A93" s="136" t="s">
        <v>627</v>
      </c>
      <c r="B93" s="137" t="s">
        <v>628</v>
      </c>
      <c r="C93" s="138">
        <v>0</v>
      </c>
      <c r="D93" s="138">
        <v>169.47</v>
      </c>
      <c r="E93" s="138">
        <v>0</v>
      </c>
      <c r="F93" s="138">
        <v>162.56</v>
      </c>
      <c r="G93" s="138">
        <v>162.56</v>
      </c>
      <c r="H93" s="138">
        <v>162.54</v>
      </c>
      <c r="I93" s="138">
        <v>4573.4800000000005</v>
      </c>
      <c r="J93" s="138">
        <v>4566.55</v>
      </c>
      <c r="K93" s="138">
        <v>0</v>
      </c>
      <c r="L93" s="138">
        <v>162.54</v>
      </c>
    </row>
    <row r="94" spans="1:12" x14ac:dyDescent="0.3">
      <c r="A94" s="136" t="s">
        <v>629</v>
      </c>
      <c r="B94" s="137" t="s">
        <v>630</v>
      </c>
      <c r="C94" s="138">
        <v>0</v>
      </c>
      <c r="D94" s="138">
        <v>0</v>
      </c>
      <c r="E94" s="138">
        <v>0</v>
      </c>
      <c r="F94" s="138">
        <v>0</v>
      </c>
      <c r="G94" s="138">
        <v>48772.15</v>
      </c>
      <c r="H94" s="138">
        <v>48772.15</v>
      </c>
      <c r="I94" s="138">
        <v>543426.09</v>
      </c>
      <c r="J94" s="138">
        <v>543426.09</v>
      </c>
      <c r="K94" s="138">
        <v>0</v>
      </c>
      <c r="L94" s="138">
        <v>0</v>
      </c>
    </row>
    <row r="95" spans="1:12" x14ac:dyDescent="0.3">
      <c r="A95" s="136" t="s">
        <v>631</v>
      </c>
      <c r="B95" s="137" t="s">
        <v>632</v>
      </c>
      <c r="C95" s="138">
        <v>0</v>
      </c>
      <c r="D95" s="138">
        <v>0</v>
      </c>
      <c r="E95" s="138">
        <v>0</v>
      </c>
      <c r="F95" s="138">
        <v>0</v>
      </c>
      <c r="G95" s="138">
        <v>0</v>
      </c>
      <c r="H95" s="138">
        <v>0</v>
      </c>
      <c r="I95" s="138">
        <v>36789.050000000003</v>
      </c>
      <c r="J95" s="138">
        <v>36789.050000000003</v>
      </c>
      <c r="K95" s="138">
        <v>0</v>
      </c>
      <c r="L95" s="138">
        <v>0</v>
      </c>
    </row>
    <row r="96" spans="1:12" x14ac:dyDescent="0.3">
      <c r="A96" s="136" t="s">
        <v>633</v>
      </c>
      <c r="B96" s="137" t="s">
        <v>262</v>
      </c>
      <c r="C96" s="138">
        <v>0</v>
      </c>
      <c r="D96" s="138">
        <v>5000</v>
      </c>
      <c r="E96" s="138">
        <v>0</v>
      </c>
      <c r="F96" s="138">
        <v>5000</v>
      </c>
      <c r="G96" s="138">
        <v>0</v>
      </c>
      <c r="H96" s="138">
        <v>0</v>
      </c>
      <c r="I96" s="138">
        <v>0</v>
      </c>
      <c r="J96" s="138">
        <v>0</v>
      </c>
      <c r="K96" s="138">
        <v>0</v>
      </c>
      <c r="L96" s="138">
        <v>5000</v>
      </c>
    </row>
    <row r="97" spans="1:12" x14ac:dyDescent="0.3">
      <c r="A97" s="136" t="s">
        <v>634</v>
      </c>
      <c r="B97" s="137" t="s">
        <v>635</v>
      </c>
      <c r="C97" s="138">
        <v>0</v>
      </c>
      <c r="D97" s="138">
        <v>8000</v>
      </c>
      <c r="E97" s="138">
        <v>0</v>
      </c>
      <c r="F97" s="138">
        <v>8000</v>
      </c>
      <c r="G97" s="138">
        <v>0</v>
      </c>
      <c r="H97" s="138">
        <v>0</v>
      </c>
      <c r="I97" s="138">
        <v>0</v>
      </c>
      <c r="J97" s="138">
        <v>0</v>
      </c>
      <c r="K97" s="138">
        <v>0</v>
      </c>
      <c r="L97" s="138">
        <v>8000</v>
      </c>
    </row>
    <row r="98" spans="1:12" x14ac:dyDescent="0.3">
      <c r="A98" s="136" t="s">
        <v>636</v>
      </c>
      <c r="B98" s="137" t="s">
        <v>268</v>
      </c>
      <c r="C98" s="138">
        <v>0</v>
      </c>
      <c r="D98" s="138">
        <v>500</v>
      </c>
      <c r="E98" s="138">
        <v>0</v>
      </c>
      <c r="F98" s="138">
        <v>500</v>
      </c>
      <c r="G98" s="138">
        <v>0</v>
      </c>
      <c r="H98" s="138">
        <v>0</v>
      </c>
      <c r="I98" s="138">
        <v>0</v>
      </c>
      <c r="J98" s="138">
        <v>0</v>
      </c>
      <c r="K98" s="138">
        <v>0</v>
      </c>
      <c r="L98" s="138">
        <v>500</v>
      </c>
    </row>
    <row r="99" spans="1:12" x14ac:dyDescent="0.3">
      <c r="A99" s="136" t="s">
        <v>637</v>
      </c>
      <c r="B99" s="137" t="s">
        <v>638</v>
      </c>
      <c r="C99" s="138">
        <v>0</v>
      </c>
      <c r="D99" s="138">
        <v>1876.16</v>
      </c>
      <c r="E99" s="138">
        <v>0</v>
      </c>
      <c r="F99" s="138">
        <v>1876.16</v>
      </c>
      <c r="G99" s="138">
        <v>0</v>
      </c>
      <c r="H99" s="138">
        <v>0</v>
      </c>
      <c r="I99" s="138">
        <v>0</v>
      </c>
      <c r="J99" s="138">
        <v>0</v>
      </c>
      <c r="K99" s="138">
        <v>0</v>
      </c>
      <c r="L99" s="138">
        <v>1876.16</v>
      </c>
    </row>
    <row r="100" spans="1:12" x14ac:dyDescent="0.3">
      <c r="A100" s="136" t="s">
        <v>639</v>
      </c>
      <c r="B100" s="137" t="s">
        <v>640</v>
      </c>
      <c r="C100" s="138">
        <v>0</v>
      </c>
      <c r="D100" s="138">
        <v>6485.6</v>
      </c>
      <c r="E100" s="138">
        <v>0</v>
      </c>
      <c r="F100" s="138">
        <v>6485.6</v>
      </c>
      <c r="G100" s="138">
        <v>0</v>
      </c>
      <c r="H100" s="138">
        <v>0</v>
      </c>
      <c r="I100" s="138">
        <v>0</v>
      </c>
      <c r="J100" s="138">
        <v>0</v>
      </c>
      <c r="K100" s="138">
        <v>0</v>
      </c>
      <c r="L100" s="138">
        <v>6485.6</v>
      </c>
    </row>
    <row r="101" spans="1:12" x14ac:dyDescent="0.3">
      <c r="A101" s="136" t="s">
        <v>641</v>
      </c>
      <c r="B101" s="137" t="s">
        <v>642</v>
      </c>
      <c r="C101" s="138">
        <v>0</v>
      </c>
      <c r="D101" s="138">
        <v>6337.47</v>
      </c>
      <c r="E101" s="138">
        <v>0</v>
      </c>
      <c r="F101" s="138">
        <v>6337.47</v>
      </c>
      <c r="G101" s="138">
        <v>0</v>
      </c>
      <c r="H101" s="138">
        <v>0</v>
      </c>
      <c r="I101" s="138">
        <v>0</v>
      </c>
      <c r="J101" s="138">
        <v>0</v>
      </c>
      <c r="K101" s="138">
        <v>0</v>
      </c>
      <c r="L101" s="138">
        <v>6337.47</v>
      </c>
    </row>
    <row r="102" spans="1:12" x14ac:dyDescent="0.3">
      <c r="A102" s="136" t="s">
        <v>643</v>
      </c>
      <c r="B102" s="137" t="s">
        <v>644</v>
      </c>
      <c r="C102" s="138">
        <v>0</v>
      </c>
      <c r="D102" s="138">
        <v>4945.1900000000005</v>
      </c>
      <c r="E102" s="138">
        <v>0</v>
      </c>
      <c r="F102" s="138">
        <v>4945.1900000000005</v>
      </c>
      <c r="G102" s="138">
        <v>0</v>
      </c>
      <c r="H102" s="138">
        <v>0</v>
      </c>
      <c r="I102" s="138">
        <v>0</v>
      </c>
      <c r="J102" s="138">
        <v>0</v>
      </c>
      <c r="K102" s="138">
        <v>0</v>
      </c>
      <c r="L102" s="138">
        <v>4945.1900000000005</v>
      </c>
    </row>
    <row r="103" spans="1:12" x14ac:dyDescent="0.3">
      <c r="A103" s="136" t="s">
        <v>645</v>
      </c>
      <c r="B103" s="137" t="s">
        <v>646</v>
      </c>
      <c r="C103" s="138">
        <v>0</v>
      </c>
      <c r="D103" s="138">
        <v>4565.33</v>
      </c>
      <c r="E103" s="138">
        <v>0</v>
      </c>
      <c r="F103" s="138">
        <v>4565.33</v>
      </c>
      <c r="G103" s="138">
        <v>0</v>
      </c>
      <c r="H103" s="138">
        <v>0</v>
      </c>
      <c r="I103" s="138">
        <v>0</v>
      </c>
      <c r="J103" s="138">
        <v>0</v>
      </c>
      <c r="K103" s="138">
        <v>0</v>
      </c>
      <c r="L103" s="138">
        <v>4565.33</v>
      </c>
    </row>
    <row r="104" spans="1:12" x14ac:dyDescent="0.3">
      <c r="A104" s="136" t="s">
        <v>647</v>
      </c>
      <c r="B104" s="137" t="s">
        <v>648</v>
      </c>
      <c r="C104" s="138">
        <v>0</v>
      </c>
      <c r="D104" s="138">
        <v>0</v>
      </c>
      <c r="E104" s="138">
        <v>0</v>
      </c>
      <c r="F104" s="138">
        <v>6103.32</v>
      </c>
      <c r="G104" s="138">
        <v>0</v>
      </c>
      <c r="H104" s="138">
        <v>0</v>
      </c>
      <c r="I104" s="138">
        <v>0</v>
      </c>
      <c r="J104" s="138">
        <v>6103.32</v>
      </c>
      <c r="K104" s="138">
        <v>0</v>
      </c>
      <c r="L104" s="138">
        <v>6103.32</v>
      </c>
    </row>
    <row r="105" spans="1:12" x14ac:dyDescent="0.3">
      <c r="A105" s="136" t="s">
        <v>649</v>
      </c>
      <c r="B105" s="137" t="s">
        <v>650</v>
      </c>
      <c r="C105" s="138">
        <v>0</v>
      </c>
      <c r="D105" s="138">
        <v>6103.32</v>
      </c>
      <c r="E105" s="138">
        <v>0</v>
      </c>
      <c r="F105" s="138">
        <v>0</v>
      </c>
      <c r="G105" s="138">
        <v>0</v>
      </c>
      <c r="H105" s="138">
        <v>0</v>
      </c>
      <c r="I105" s="138">
        <v>6103.32</v>
      </c>
      <c r="J105" s="138">
        <v>0</v>
      </c>
      <c r="K105" s="138">
        <v>0</v>
      </c>
      <c r="L105" s="138">
        <v>0</v>
      </c>
    </row>
    <row r="106" spans="1:12" x14ac:dyDescent="0.3">
      <c r="A106" s="136" t="s">
        <v>651</v>
      </c>
      <c r="B106" s="137" t="s">
        <v>652</v>
      </c>
      <c r="C106" s="138">
        <v>0</v>
      </c>
      <c r="D106" s="138">
        <v>2057.21</v>
      </c>
      <c r="E106" s="138">
        <v>0</v>
      </c>
      <c r="F106" s="138">
        <v>2236.42</v>
      </c>
      <c r="G106" s="138">
        <v>0</v>
      </c>
      <c r="H106" s="138">
        <v>16.080000000000002</v>
      </c>
      <c r="I106" s="138">
        <v>0</v>
      </c>
      <c r="J106" s="138">
        <v>195.29</v>
      </c>
      <c r="K106" s="138">
        <v>0</v>
      </c>
      <c r="L106" s="138">
        <v>2252.5</v>
      </c>
    </row>
    <row r="107" spans="1:12" x14ac:dyDescent="0.3">
      <c r="A107" s="136" t="s">
        <v>653</v>
      </c>
      <c r="B107" s="137" t="s">
        <v>654</v>
      </c>
      <c r="C107" s="138">
        <v>0</v>
      </c>
      <c r="D107" s="138">
        <v>-1305.58</v>
      </c>
      <c r="E107" s="138">
        <v>0</v>
      </c>
      <c r="F107" s="138">
        <v>-1410.71</v>
      </c>
      <c r="G107" s="138">
        <v>0</v>
      </c>
      <c r="H107" s="138">
        <v>0</v>
      </c>
      <c r="I107" s="138">
        <v>105.13</v>
      </c>
      <c r="J107" s="138">
        <v>0</v>
      </c>
      <c r="K107" s="138">
        <v>0</v>
      </c>
      <c r="L107" s="138">
        <v>-1410.71</v>
      </c>
    </row>
    <row r="108" spans="1:12" x14ac:dyDescent="0.3">
      <c r="A108" s="136" t="s">
        <v>655</v>
      </c>
      <c r="B108" s="137" t="s">
        <v>656</v>
      </c>
      <c r="C108" s="138">
        <v>0</v>
      </c>
      <c r="D108" s="138">
        <v>-558.96</v>
      </c>
      <c r="E108" s="138">
        <v>0</v>
      </c>
      <c r="F108" s="138">
        <v>-558.96</v>
      </c>
      <c r="G108" s="138">
        <v>0</v>
      </c>
      <c r="H108" s="138">
        <v>0</v>
      </c>
      <c r="I108" s="138">
        <v>0</v>
      </c>
      <c r="J108" s="138">
        <v>0</v>
      </c>
      <c r="K108" s="138">
        <v>0</v>
      </c>
      <c r="L108" s="138">
        <v>-558.96</v>
      </c>
    </row>
    <row r="109" spans="1:12" x14ac:dyDescent="0.3">
      <c r="A109" s="136" t="s">
        <v>657</v>
      </c>
      <c r="B109" s="137" t="s">
        <v>658</v>
      </c>
      <c r="C109" s="138">
        <v>0</v>
      </c>
      <c r="D109" s="138">
        <v>-1357.8</v>
      </c>
      <c r="E109" s="138">
        <v>0</v>
      </c>
      <c r="F109" s="138">
        <v>-1357.8</v>
      </c>
      <c r="G109" s="138">
        <v>1803.26</v>
      </c>
      <c r="H109" s="138">
        <v>1357.8</v>
      </c>
      <c r="I109" s="138">
        <v>1803.26</v>
      </c>
      <c r="J109" s="138">
        <v>1357.8</v>
      </c>
      <c r="K109" s="138">
        <v>0</v>
      </c>
      <c r="L109" s="138">
        <v>-1803.26</v>
      </c>
    </row>
    <row r="110" spans="1:12" x14ac:dyDescent="0.3">
      <c r="A110" s="136" t="s">
        <v>659</v>
      </c>
      <c r="B110" s="137" t="s">
        <v>660</v>
      </c>
      <c r="C110" s="138">
        <v>0</v>
      </c>
      <c r="D110" s="138">
        <v>0</v>
      </c>
      <c r="E110" s="138">
        <v>207.58</v>
      </c>
      <c r="F110" s="138">
        <v>0</v>
      </c>
      <c r="G110" s="138">
        <v>18.080000000000002</v>
      </c>
      <c r="H110" s="138">
        <v>0</v>
      </c>
      <c r="I110" s="138">
        <v>225.66</v>
      </c>
      <c r="J110" s="138">
        <v>0</v>
      </c>
      <c r="K110" s="138">
        <v>225.66</v>
      </c>
      <c r="L110" s="138">
        <v>0</v>
      </c>
    </row>
    <row r="111" spans="1:12" x14ac:dyDescent="0.3">
      <c r="A111" s="136" t="s">
        <v>661</v>
      </c>
      <c r="B111" s="137" t="s">
        <v>662</v>
      </c>
      <c r="C111" s="138">
        <v>0</v>
      </c>
      <c r="D111" s="138">
        <v>0</v>
      </c>
      <c r="E111" s="138">
        <v>73.930000000000007</v>
      </c>
      <c r="F111" s="138">
        <v>0</v>
      </c>
      <c r="G111" s="138">
        <v>17.32</v>
      </c>
      <c r="H111" s="138">
        <v>0</v>
      </c>
      <c r="I111" s="138">
        <v>91.25</v>
      </c>
      <c r="J111" s="138">
        <v>0</v>
      </c>
      <c r="K111" s="138">
        <v>91.25</v>
      </c>
      <c r="L111" s="138">
        <v>0</v>
      </c>
    </row>
    <row r="112" spans="1:12" x14ac:dyDescent="0.3">
      <c r="A112" s="136" t="s">
        <v>663</v>
      </c>
      <c r="B112" s="137" t="s">
        <v>664</v>
      </c>
      <c r="C112" s="138">
        <v>0</v>
      </c>
      <c r="D112" s="138">
        <v>0</v>
      </c>
      <c r="E112" s="138">
        <v>229.93</v>
      </c>
      <c r="F112" s="138">
        <v>0</v>
      </c>
      <c r="G112" s="138">
        <v>529.78</v>
      </c>
      <c r="H112" s="138">
        <v>0</v>
      </c>
      <c r="I112" s="138">
        <v>759.71</v>
      </c>
      <c r="J112" s="138">
        <v>0</v>
      </c>
      <c r="K112" s="138">
        <v>759.71</v>
      </c>
      <c r="L112" s="138">
        <v>0</v>
      </c>
    </row>
    <row r="113" spans="1:12" x14ac:dyDescent="0.3">
      <c r="A113" s="136" t="s">
        <v>665</v>
      </c>
      <c r="B113" s="137" t="s">
        <v>666</v>
      </c>
      <c r="C113" s="138">
        <v>0</v>
      </c>
      <c r="D113" s="138">
        <v>0</v>
      </c>
      <c r="E113" s="138">
        <v>450.55</v>
      </c>
      <c r="F113" s="138">
        <v>0</v>
      </c>
      <c r="G113" s="138">
        <v>37.119999999999997</v>
      </c>
      <c r="H113" s="138">
        <v>0</v>
      </c>
      <c r="I113" s="138">
        <v>487.67</v>
      </c>
      <c r="J113" s="138">
        <v>0</v>
      </c>
      <c r="K113" s="138">
        <v>487.67</v>
      </c>
      <c r="L113" s="138">
        <v>0</v>
      </c>
    </row>
    <row r="114" spans="1:12" x14ac:dyDescent="0.3">
      <c r="A114" s="136" t="s">
        <v>667</v>
      </c>
      <c r="B114" s="137" t="s">
        <v>668</v>
      </c>
      <c r="C114" s="138">
        <v>0</v>
      </c>
      <c r="D114" s="138">
        <v>0</v>
      </c>
      <c r="E114" s="138">
        <v>75.97</v>
      </c>
      <c r="F114" s="138">
        <v>0</v>
      </c>
      <c r="G114" s="138">
        <v>9.2799999999999994</v>
      </c>
      <c r="H114" s="138">
        <v>0</v>
      </c>
      <c r="I114" s="138">
        <v>85.25</v>
      </c>
      <c r="J114" s="138">
        <v>0</v>
      </c>
      <c r="K114" s="138">
        <v>85.25</v>
      </c>
      <c r="L114" s="138">
        <v>0</v>
      </c>
    </row>
    <row r="115" spans="1:12" x14ac:dyDescent="0.3">
      <c r="A115" s="136" t="s">
        <v>669</v>
      </c>
      <c r="B115" s="137" t="s">
        <v>670</v>
      </c>
      <c r="C115" s="138">
        <v>0</v>
      </c>
      <c r="D115" s="138">
        <v>0</v>
      </c>
      <c r="E115" s="138">
        <v>244.59</v>
      </c>
      <c r="F115" s="138">
        <v>0</v>
      </c>
      <c r="G115" s="138">
        <v>0</v>
      </c>
      <c r="H115" s="138">
        <v>0</v>
      </c>
      <c r="I115" s="138">
        <v>244.59</v>
      </c>
      <c r="J115" s="138">
        <v>0</v>
      </c>
      <c r="K115" s="138">
        <v>244.59</v>
      </c>
      <c r="L115" s="138">
        <v>0</v>
      </c>
    </row>
    <row r="116" spans="1:12" x14ac:dyDescent="0.3">
      <c r="A116" s="136" t="s">
        <v>671</v>
      </c>
      <c r="B116" s="137" t="s">
        <v>672</v>
      </c>
      <c r="C116" s="138">
        <v>0</v>
      </c>
      <c r="D116" s="138">
        <v>0</v>
      </c>
      <c r="E116" s="138">
        <v>3.77</v>
      </c>
      <c r="F116" s="138">
        <v>0</v>
      </c>
      <c r="G116" s="138">
        <v>0</v>
      </c>
      <c r="H116" s="138">
        <v>0</v>
      </c>
      <c r="I116" s="138">
        <v>3.77</v>
      </c>
      <c r="J116" s="138">
        <v>0</v>
      </c>
      <c r="K116" s="138">
        <v>3.77</v>
      </c>
      <c r="L116" s="138">
        <v>0</v>
      </c>
    </row>
    <row r="117" spans="1:12" x14ac:dyDescent="0.3">
      <c r="A117" s="136" t="s">
        <v>673</v>
      </c>
      <c r="B117" s="137" t="s">
        <v>674</v>
      </c>
      <c r="C117" s="138">
        <v>0</v>
      </c>
      <c r="D117" s="138">
        <v>0</v>
      </c>
      <c r="E117" s="138">
        <v>134.49</v>
      </c>
      <c r="F117" s="138">
        <v>0</v>
      </c>
      <c r="G117" s="138">
        <v>5.79</v>
      </c>
      <c r="H117" s="138">
        <v>0</v>
      </c>
      <c r="I117" s="138">
        <v>140.28</v>
      </c>
      <c r="J117" s="138">
        <v>0</v>
      </c>
      <c r="K117" s="138">
        <v>140.28</v>
      </c>
      <c r="L117" s="138">
        <v>0</v>
      </c>
    </row>
    <row r="118" spans="1:12" x14ac:dyDescent="0.3">
      <c r="A118" s="136" t="s">
        <v>675</v>
      </c>
      <c r="B118" s="137" t="s">
        <v>676</v>
      </c>
      <c r="C118" s="138">
        <v>0</v>
      </c>
      <c r="D118" s="138">
        <v>0</v>
      </c>
      <c r="E118" s="138">
        <v>0</v>
      </c>
      <c r="F118" s="138">
        <v>0</v>
      </c>
      <c r="G118" s="138">
        <v>0</v>
      </c>
      <c r="H118" s="138">
        <v>0</v>
      </c>
      <c r="I118" s="138">
        <v>0</v>
      </c>
      <c r="J118" s="138">
        <v>0</v>
      </c>
      <c r="K118" s="138">
        <v>0</v>
      </c>
      <c r="L118" s="138">
        <v>0</v>
      </c>
    </row>
    <row r="119" spans="1:12" x14ac:dyDescent="0.3">
      <c r="A119" s="136" t="s">
        <v>677</v>
      </c>
      <c r="B119" s="137" t="s">
        <v>678</v>
      </c>
      <c r="C119" s="138">
        <v>0</v>
      </c>
      <c r="D119" s="138">
        <v>0</v>
      </c>
      <c r="E119" s="138">
        <v>10.9</v>
      </c>
      <c r="F119" s="138">
        <v>0</v>
      </c>
      <c r="G119" s="138">
        <v>0</v>
      </c>
      <c r="H119" s="138">
        <v>0</v>
      </c>
      <c r="I119" s="138">
        <v>10.9</v>
      </c>
      <c r="J119" s="138">
        <v>0</v>
      </c>
      <c r="K119" s="138">
        <v>10.9</v>
      </c>
      <c r="L119" s="138">
        <v>0</v>
      </c>
    </row>
    <row r="120" spans="1:12" x14ac:dyDescent="0.3">
      <c r="A120" s="136" t="s">
        <v>679</v>
      </c>
      <c r="B120" s="137" t="s">
        <v>680</v>
      </c>
      <c r="C120" s="138">
        <v>0</v>
      </c>
      <c r="D120" s="138">
        <v>0</v>
      </c>
      <c r="E120" s="138">
        <v>1315.43</v>
      </c>
      <c r="F120" s="138">
        <v>0</v>
      </c>
      <c r="G120" s="138">
        <v>111.23</v>
      </c>
      <c r="H120" s="138">
        <v>0</v>
      </c>
      <c r="I120" s="138">
        <v>1566.66</v>
      </c>
      <c r="J120" s="138">
        <v>140</v>
      </c>
      <c r="K120" s="138">
        <v>1426.66</v>
      </c>
      <c r="L120" s="138">
        <v>0</v>
      </c>
    </row>
    <row r="121" spans="1:12" x14ac:dyDescent="0.3">
      <c r="A121" s="136" t="s">
        <v>681</v>
      </c>
      <c r="B121" s="137" t="s">
        <v>682</v>
      </c>
      <c r="C121" s="138">
        <v>0</v>
      </c>
      <c r="D121" s="138">
        <v>0</v>
      </c>
      <c r="E121" s="138">
        <v>810.86</v>
      </c>
      <c r="F121" s="138">
        <v>0</v>
      </c>
      <c r="G121" s="138">
        <v>221.29</v>
      </c>
      <c r="H121" s="138">
        <v>0</v>
      </c>
      <c r="I121" s="138">
        <v>1032.1500000000001</v>
      </c>
      <c r="J121" s="138">
        <v>0</v>
      </c>
      <c r="K121" s="138">
        <v>1032.1500000000001</v>
      </c>
      <c r="L121" s="138">
        <v>0</v>
      </c>
    </row>
    <row r="122" spans="1:12" x14ac:dyDescent="0.3">
      <c r="A122" s="136" t="s">
        <v>683</v>
      </c>
      <c r="B122" s="137" t="s">
        <v>684</v>
      </c>
      <c r="C122" s="138">
        <v>0</v>
      </c>
      <c r="D122" s="138">
        <v>0</v>
      </c>
      <c r="E122" s="138">
        <v>268687.92</v>
      </c>
      <c r="F122" s="138">
        <v>0</v>
      </c>
      <c r="G122" s="138">
        <v>23318.18</v>
      </c>
      <c r="H122" s="138">
        <v>6.72</v>
      </c>
      <c r="I122" s="138">
        <v>292612.2</v>
      </c>
      <c r="J122" s="138">
        <v>612.82000000000005</v>
      </c>
      <c r="K122" s="138">
        <v>291999.38</v>
      </c>
      <c r="L122" s="138">
        <v>0</v>
      </c>
    </row>
    <row r="123" spans="1:12" x14ac:dyDescent="0.3">
      <c r="A123" s="136" t="s">
        <v>685</v>
      </c>
      <c r="B123" s="137" t="s">
        <v>686</v>
      </c>
      <c r="C123" s="138">
        <v>0</v>
      </c>
      <c r="D123" s="138">
        <v>0</v>
      </c>
      <c r="E123" s="138">
        <v>72716.33</v>
      </c>
      <c r="F123" s="138">
        <v>0</v>
      </c>
      <c r="G123" s="138">
        <v>10034.630000000001</v>
      </c>
      <c r="H123" s="138">
        <v>0</v>
      </c>
      <c r="I123" s="138">
        <v>82750.960000000006</v>
      </c>
      <c r="J123" s="138">
        <v>0</v>
      </c>
      <c r="K123" s="138">
        <v>82750.960000000006</v>
      </c>
      <c r="L123" s="138">
        <v>0</v>
      </c>
    </row>
    <row r="124" spans="1:12" x14ac:dyDescent="0.3">
      <c r="A124" s="136" t="s">
        <v>687</v>
      </c>
      <c r="B124" s="137" t="s">
        <v>688</v>
      </c>
      <c r="C124" s="138">
        <v>0</v>
      </c>
      <c r="D124" s="138">
        <v>0</v>
      </c>
      <c r="E124" s="138">
        <v>18855.98</v>
      </c>
      <c r="F124" s="138">
        <v>0</v>
      </c>
      <c r="G124" s="138">
        <v>1963.63</v>
      </c>
      <c r="H124" s="138">
        <v>0</v>
      </c>
      <c r="I124" s="138">
        <v>20819.61</v>
      </c>
      <c r="J124" s="138">
        <v>0</v>
      </c>
      <c r="K124" s="138">
        <v>20819.61</v>
      </c>
      <c r="L124" s="138">
        <v>0</v>
      </c>
    </row>
    <row r="125" spans="1:12" x14ac:dyDescent="0.3">
      <c r="A125" s="139" t="s">
        <v>689</v>
      </c>
      <c r="B125" s="17" t="s">
        <v>690</v>
      </c>
      <c r="C125" s="140">
        <v>0</v>
      </c>
      <c r="D125" s="140">
        <v>0</v>
      </c>
      <c r="E125" s="140">
        <v>1351.94</v>
      </c>
      <c r="F125" s="140">
        <v>0</v>
      </c>
      <c r="G125" s="140">
        <v>0</v>
      </c>
      <c r="H125" s="140">
        <v>0</v>
      </c>
      <c r="I125" s="140">
        <v>1351.94</v>
      </c>
      <c r="J125" s="140">
        <v>0</v>
      </c>
      <c r="K125" s="140">
        <v>1351.94</v>
      </c>
      <c r="L125" s="140">
        <v>0</v>
      </c>
    </row>
    <row r="126" spans="1:12" x14ac:dyDescent="0.3">
      <c r="A126" s="139" t="s">
        <v>691</v>
      </c>
      <c r="B126" s="17" t="s">
        <v>692</v>
      </c>
      <c r="C126" s="140">
        <v>0</v>
      </c>
      <c r="D126" s="140">
        <v>0</v>
      </c>
      <c r="E126" s="140">
        <v>5089</v>
      </c>
      <c r="F126" s="140">
        <v>0</v>
      </c>
      <c r="G126" s="140">
        <v>170.18</v>
      </c>
      <c r="H126" s="140">
        <v>0</v>
      </c>
      <c r="I126" s="140">
        <v>5259.18</v>
      </c>
      <c r="J126" s="140">
        <v>0</v>
      </c>
      <c r="K126" s="140">
        <v>5259.18</v>
      </c>
      <c r="L126" s="140">
        <v>0</v>
      </c>
    </row>
    <row r="127" spans="1:12" x14ac:dyDescent="0.3">
      <c r="A127" s="139" t="s">
        <v>693</v>
      </c>
      <c r="B127" s="17" t="s">
        <v>694</v>
      </c>
      <c r="C127" s="140">
        <v>0</v>
      </c>
      <c r="D127" s="140">
        <v>0</v>
      </c>
      <c r="E127" s="140">
        <v>277.44</v>
      </c>
      <c r="F127" s="140">
        <v>0</v>
      </c>
      <c r="G127" s="140">
        <v>28.92</v>
      </c>
      <c r="H127" s="140">
        <v>0</v>
      </c>
      <c r="I127" s="140">
        <v>306.36</v>
      </c>
      <c r="J127" s="140">
        <v>0</v>
      </c>
      <c r="K127" s="140">
        <v>306.36</v>
      </c>
      <c r="L127" s="140">
        <v>0</v>
      </c>
    </row>
    <row r="128" spans="1:12" x14ac:dyDescent="0.3">
      <c r="A128" s="139" t="s">
        <v>695</v>
      </c>
      <c r="B128" s="17" t="s">
        <v>696</v>
      </c>
      <c r="C128" s="140">
        <v>0</v>
      </c>
      <c r="D128" s="140">
        <v>0</v>
      </c>
      <c r="E128" s="140">
        <v>6.15</v>
      </c>
      <c r="F128" s="140">
        <v>0</v>
      </c>
      <c r="G128" s="140">
        <v>0.15</v>
      </c>
      <c r="H128" s="140">
        <v>0</v>
      </c>
      <c r="I128" s="140">
        <v>6.3</v>
      </c>
      <c r="J128" s="140">
        <v>0</v>
      </c>
      <c r="K128" s="140">
        <v>6.3</v>
      </c>
      <c r="L128" s="140">
        <v>0</v>
      </c>
    </row>
    <row r="129" spans="1:12" x14ac:dyDescent="0.3">
      <c r="A129" s="139" t="s">
        <v>697</v>
      </c>
      <c r="B129" s="17" t="s">
        <v>698</v>
      </c>
      <c r="C129" s="140">
        <v>0</v>
      </c>
      <c r="D129" s="140">
        <v>0</v>
      </c>
      <c r="E129" s="140">
        <v>-63.71</v>
      </c>
      <c r="F129" s="140">
        <v>0</v>
      </c>
      <c r="G129" s="140">
        <v>0</v>
      </c>
      <c r="H129" s="140">
        <v>14.47</v>
      </c>
      <c r="I129" s="140">
        <v>-63.71</v>
      </c>
      <c r="J129" s="140">
        <v>14.47</v>
      </c>
      <c r="K129" s="140">
        <v>-78.180000000000007</v>
      </c>
      <c r="L129" s="140">
        <v>0</v>
      </c>
    </row>
    <row r="130" spans="1:12" x14ac:dyDescent="0.3">
      <c r="A130" s="139" t="s">
        <v>699</v>
      </c>
      <c r="B130" s="17" t="s">
        <v>700</v>
      </c>
      <c r="C130" s="140">
        <v>0</v>
      </c>
      <c r="D130" s="140">
        <v>0</v>
      </c>
      <c r="E130" s="140">
        <v>-10140.42</v>
      </c>
      <c r="F130" s="140">
        <v>0</v>
      </c>
      <c r="G130" s="140">
        <v>-630.24</v>
      </c>
      <c r="H130" s="140">
        <v>0</v>
      </c>
      <c r="I130" s="140">
        <v>-10770.66</v>
      </c>
      <c r="J130" s="140">
        <v>0</v>
      </c>
      <c r="K130" s="140">
        <v>-10770.66</v>
      </c>
      <c r="L130" s="140">
        <v>0</v>
      </c>
    </row>
    <row r="131" spans="1:12" x14ac:dyDescent="0.3">
      <c r="A131" s="139" t="s">
        <v>701</v>
      </c>
      <c r="B131" s="17" t="s">
        <v>702</v>
      </c>
      <c r="C131" s="140">
        <v>0</v>
      </c>
      <c r="D131" s="140">
        <v>0</v>
      </c>
      <c r="E131" s="140">
        <v>-1927.39</v>
      </c>
      <c r="F131" s="140">
        <v>0</v>
      </c>
      <c r="G131" s="140">
        <v>-224.23000000000002</v>
      </c>
      <c r="H131" s="140">
        <v>0</v>
      </c>
      <c r="I131" s="140">
        <v>-2151.62</v>
      </c>
      <c r="J131" s="140">
        <v>0</v>
      </c>
      <c r="K131" s="140">
        <v>-2151.62</v>
      </c>
      <c r="L131" s="140">
        <v>0</v>
      </c>
    </row>
    <row r="132" spans="1:12" x14ac:dyDescent="0.3">
      <c r="A132" s="139" t="s">
        <v>703</v>
      </c>
      <c r="B132" s="17" t="s">
        <v>704</v>
      </c>
      <c r="C132" s="140">
        <v>0</v>
      </c>
      <c r="D132" s="140">
        <v>0</v>
      </c>
      <c r="E132" s="140">
        <v>-1617.8500000000001</v>
      </c>
      <c r="F132" s="140">
        <v>0</v>
      </c>
      <c r="G132" s="140">
        <v>-212.91</v>
      </c>
      <c r="H132" s="140">
        <v>0</v>
      </c>
      <c r="I132" s="140">
        <v>-1830.76</v>
      </c>
      <c r="J132" s="140">
        <v>0</v>
      </c>
      <c r="K132" s="140">
        <v>-1830.76</v>
      </c>
      <c r="L132" s="140">
        <v>0</v>
      </c>
    </row>
    <row r="133" spans="1:12" x14ac:dyDescent="0.3">
      <c r="A133" s="139" t="s">
        <v>705</v>
      </c>
      <c r="B133" s="17" t="s">
        <v>706</v>
      </c>
      <c r="C133" s="140">
        <v>0</v>
      </c>
      <c r="D133" s="140">
        <v>0</v>
      </c>
      <c r="E133" s="140">
        <v>-474.21000000000004</v>
      </c>
      <c r="F133" s="140">
        <v>0</v>
      </c>
      <c r="G133" s="140">
        <v>-92.74</v>
      </c>
      <c r="H133" s="140">
        <v>0</v>
      </c>
      <c r="I133" s="140">
        <v>-566.95000000000005</v>
      </c>
      <c r="J133" s="140">
        <v>0</v>
      </c>
      <c r="K133" s="140">
        <v>-566.95000000000005</v>
      </c>
      <c r="L133" s="140">
        <v>0</v>
      </c>
    </row>
    <row r="134" spans="1:12" x14ac:dyDescent="0.3">
      <c r="A134" s="139" t="s">
        <v>707</v>
      </c>
      <c r="B134" s="17" t="s">
        <v>708</v>
      </c>
      <c r="C134" s="140">
        <v>0</v>
      </c>
      <c r="D134" s="140">
        <v>0</v>
      </c>
      <c r="E134" s="140">
        <v>-279.73</v>
      </c>
      <c r="F134" s="140">
        <v>0</v>
      </c>
      <c r="G134" s="140">
        <v>-12.36</v>
      </c>
      <c r="H134" s="140">
        <v>0</v>
      </c>
      <c r="I134" s="140">
        <v>-292.09000000000003</v>
      </c>
      <c r="J134" s="140">
        <v>0</v>
      </c>
      <c r="K134" s="140">
        <v>-292.09000000000003</v>
      </c>
      <c r="L134" s="140">
        <v>0</v>
      </c>
    </row>
    <row r="135" spans="1:12" x14ac:dyDescent="0.3">
      <c r="A135" s="139" t="s">
        <v>709</v>
      </c>
      <c r="B135" s="17" t="s">
        <v>710</v>
      </c>
      <c r="C135" s="140">
        <v>0</v>
      </c>
      <c r="D135" s="140">
        <v>0</v>
      </c>
      <c r="E135" s="140">
        <v>-34.74</v>
      </c>
      <c r="F135" s="140">
        <v>0</v>
      </c>
      <c r="G135" s="140">
        <v>-8.8000000000000007</v>
      </c>
      <c r="H135" s="140">
        <v>0</v>
      </c>
      <c r="I135" s="140">
        <v>-43.54</v>
      </c>
      <c r="J135" s="140">
        <v>0</v>
      </c>
      <c r="K135" s="140">
        <v>-43.54</v>
      </c>
      <c r="L135" s="140">
        <v>0</v>
      </c>
    </row>
    <row r="136" spans="1:12" x14ac:dyDescent="0.3">
      <c r="A136" s="139" t="s">
        <v>711</v>
      </c>
      <c r="B136" s="17" t="s">
        <v>712</v>
      </c>
      <c r="C136" s="140">
        <v>0</v>
      </c>
      <c r="D136" s="140">
        <v>0</v>
      </c>
      <c r="E136" s="140">
        <v>-851.29</v>
      </c>
      <c r="F136" s="140">
        <v>0</v>
      </c>
      <c r="G136" s="140">
        <v>-63.5</v>
      </c>
      <c r="H136" s="140">
        <v>0</v>
      </c>
      <c r="I136" s="140">
        <v>-914.79</v>
      </c>
      <c r="J136" s="140">
        <v>0</v>
      </c>
      <c r="K136" s="140">
        <v>-914.79</v>
      </c>
      <c r="L136" s="140">
        <v>0</v>
      </c>
    </row>
    <row r="137" spans="1:12" x14ac:dyDescent="0.3">
      <c r="A137" s="139" t="s">
        <v>713</v>
      </c>
      <c r="B137" s="17" t="s">
        <v>714</v>
      </c>
      <c r="C137" s="140">
        <v>0</v>
      </c>
      <c r="D137" s="140">
        <v>0</v>
      </c>
      <c r="E137" s="140">
        <v>-193.37</v>
      </c>
      <c r="F137" s="140">
        <v>0</v>
      </c>
      <c r="G137" s="140">
        <v>-45.27</v>
      </c>
      <c r="H137" s="140">
        <v>0</v>
      </c>
      <c r="I137" s="140">
        <v>-238.64000000000001</v>
      </c>
      <c r="J137" s="140">
        <v>0</v>
      </c>
      <c r="K137" s="140">
        <v>-238.64000000000001</v>
      </c>
      <c r="L137" s="140">
        <v>0</v>
      </c>
    </row>
    <row r="138" spans="1:12" x14ac:dyDescent="0.3">
      <c r="A138" s="139" t="s">
        <v>715</v>
      </c>
      <c r="B138" s="17" t="s">
        <v>716</v>
      </c>
      <c r="C138" s="140">
        <v>0</v>
      </c>
      <c r="D138" s="140">
        <v>0</v>
      </c>
      <c r="E138" s="140">
        <v>-600.53</v>
      </c>
      <c r="F138" s="140">
        <v>0</v>
      </c>
      <c r="G138" s="140">
        <v>-206.45000000000002</v>
      </c>
      <c r="H138" s="140">
        <v>0</v>
      </c>
      <c r="I138" s="140">
        <v>-806.98</v>
      </c>
      <c r="J138" s="140">
        <v>0</v>
      </c>
      <c r="K138" s="140">
        <v>-806.98</v>
      </c>
      <c r="L138" s="140">
        <v>0</v>
      </c>
    </row>
    <row r="139" spans="1:12" x14ac:dyDescent="0.3">
      <c r="A139" s="139" t="s">
        <v>717</v>
      </c>
      <c r="B139" s="17" t="s">
        <v>718</v>
      </c>
      <c r="C139" s="140">
        <v>0</v>
      </c>
      <c r="D139" s="140">
        <v>0</v>
      </c>
      <c r="E139" s="140">
        <v>-196.56</v>
      </c>
      <c r="F139" s="140">
        <v>0</v>
      </c>
      <c r="G139" s="140">
        <v>-63.68</v>
      </c>
      <c r="H139" s="140">
        <v>0</v>
      </c>
      <c r="I139" s="140">
        <v>-260.24</v>
      </c>
      <c r="J139" s="140">
        <v>0</v>
      </c>
      <c r="K139" s="140">
        <v>-260.24</v>
      </c>
      <c r="L139" s="140">
        <v>0</v>
      </c>
    </row>
    <row r="140" spans="1:12" x14ac:dyDescent="0.3">
      <c r="A140" s="139" t="s">
        <v>719</v>
      </c>
      <c r="B140" s="17" t="s">
        <v>720</v>
      </c>
      <c r="C140" s="140">
        <v>0</v>
      </c>
      <c r="D140" s="140">
        <v>0</v>
      </c>
      <c r="E140" s="140">
        <v>-74.86</v>
      </c>
      <c r="F140" s="140">
        <v>0</v>
      </c>
      <c r="G140" s="140">
        <v>-13.47</v>
      </c>
      <c r="H140" s="140">
        <v>0</v>
      </c>
      <c r="I140" s="140">
        <v>-88.33</v>
      </c>
      <c r="J140" s="140">
        <v>0</v>
      </c>
      <c r="K140" s="140">
        <v>-88.33</v>
      </c>
      <c r="L140" s="140">
        <v>0</v>
      </c>
    </row>
    <row r="141" spans="1:12" x14ac:dyDescent="0.3">
      <c r="A141" s="139" t="s">
        <v>721</v>
      </c>
      <c r="B141" s="17" t="s">
        <v>722</v>
      </c>
      <c r="C141" s="140">
        <v>0</v>
      </c>
      <c r="D141" s="140">
        <v>0</v>
      </c>
      <c r="E141" s="140">
        <v>-921.49</v>
      </c>
      <c r="F141" s="140">
        <v>0</v>
      </c>
      <c r="G141" s="140">
        <v>0</v>
      </c>
      <c r="H141" s="140">
        <v>0</v>
      </c>
      <c r="I141" s="140">
        <v>-921.49</v>
      </c>
      <c r="J141" s="140">
        <v>0</v>
      </c>
      <c r="K141" s="140">
        <v>-921.49</v>
      </c>
      <c r="L141" s="140">
        <v>0</v>
      </c>
    </row>
    <row r="142" spans="1:12" x14ac:dyDescent="0.3">
      <c r="A142" s="139" t="s">
        <v>723</v>
      </c>
      <c r="B142" s="17" t="s">
        <v>724</v>
      </c>
      <c r="C142" s="140">
        <v>0</v>
      </c>
      <c r="D142" s="140">
        <v>0</v>
      </c>
      <c r="E142" s="140">
        <v>-12346.74</v>
      </c>
      <c r="F142" s="140">
        <v>0</v>
      </c>
      <c r="G142" s="140">
        <v>-2117.14</v>
      </c>
      <c r="H142" s="140">
        <v>0</v>
      </c>
      <c r="I142" s="140">
        <v>-14463.880000000001</v>
      </c>
      <c r="J142" s="140">
        <v>0</v>
      </c>
      <c r="K142" s="140">
        <v>-14463.880000000001</v>
      </c>
      <c r="L142" s="140">
        <v>0</v>
      </c>
    </row>
    <row r="143" spans="1:12" x14ac:dyDescent="0.3">
      <c r="A143" s="139" t="s">
        <v>725</v>
      </c>
      <c r="B143" s="17" t="s">
        <v>726</v>
      </c>
      <c r="C143" s="140">
        <v>0</v>
      </c>
      <c r="D143" s="140">
        <v>0</v>
      </c>
      <c r="E143" s="140">
        <v>-2695.94</v>
      </c>
      <c r="F143" s="140">
        <v>0</v>
      </c>
      <c r="G143" s="140">
        <v>-583.16</v>
      </c>
      <c r="H143" s="140">
        <v>0</v>
      </c>
      <c r="I143" s="140">
        <v>-3279.1</v>
      </c>
      <c r="J143" s="140">
        <v>0</v>
      </c>
      <c r="K143" s="140">
        <v>-3279.1</v>
      </c>
      <c r="L143" s="140">
        <v>0</v>
      </c>
    </row>
    <row r="144" spans="1:12" x14ac:dyDescent="0.3">
      <c r="A144" s="139" t="s">
        <v>727</v>
      </c>
      <c r="B144" s="17" t="s">
        <v>728</v>
      </c>
      <c r="C144" s="140">
        <v>0</v>
      </c>
      <c r="D144" s="140">
        <v>0</v>
      </c>
      <c r="E144" s="140">
        <v>-644.13</v>
      </c>
      <c r="F144" s="140">
        <v>0</v>
      </c>
      <c r="G144" s="140">
        <v>-54.77</v>
      </c>
      <c r="H144" s="140">
        <v>0</v>
      </c>
      <c r="I144" s="140">
        <v>-698.9</v>
      </c>
      <c r="J144" s="140">
        <v>0</v>
      </c>
      <c r="K144" s="140">
        <v>-698.9</v>
      </c>
      <c r="L144" s="140">
        <v>0</v>
      </c>
    </row>
    <row r="145" spans="1:12" x14ac:dyDescent="0.3">
      <c r="A145" s="139" t="s">
        <v>729</v>
      </c>
      <c r="B145" s="17" t="s">
        <v>730</v>
      </c>
      <c r="C145" s="140">
        <v>0</v>
      </c>
      <c r="D145" s="140">
        <v>0</v>
      </c>
      <c r="E145" s="140">
        <v>-13326.19</v>
      </c>
      <c r="F145" s="140">
        <v>0</v>
      </c>
      <c r="G145" s="140">
        <v>-712.82</v>
      </c>
      <c r="H145" s="140">
        <v>0</v>
      </c>
      <c r="I145" s="140">
        <v>-14039.01</v>
      </c>
      <c r="J145" s="140">
        <v>0</v>
      </c>
      <c r="K145" s="140">
        <v>-14039.01</v>
      </c>
      <c r="L145" s="140">
        <v>0</v>
      </c>
    </row>
    <row r="146" spans="1:12" x14ac:dyDescent="0.3">
      <c r="A146" s="139" t="s">
        <v>731</v>
      </c>
      <c r="B146" s="17" t="s">
        <v>732</v>
      </c>
      <c r="C146" s="140">
        <v>0</v>
      </c>
      <c r="D146" s="140">
        <v>0</v>
      </c>
      <c r="E146" s="140">
        <v>-156.70000000000002</v>
      </c>
      <c r="F146" s="140">
        <v>0</v>
      </c>
      <c r="G146" s="140">
        <v>-21.63</v>
      </c>
      <c r="H146" s="140">
        <v>0</v>
      </c>
      <c r="I146" s="140">
        <v>-178.33</v>
      </c>
      <c r="J146" s="140">
        <v>0</v>
      </c>
      <c r="K146" s="140">
        <v>-178.33</v>
      </c>
      <c r="L146" s="140">
        <v>0</v>
      </c>
    </row>
    <row r="147" spans="1:12" x14ac:dyDescent="0.3">
      <c r="A147" s="139" t="s">
        <v>733</v>
      </c>
      <c r="B147" s="17" t="s">
        <v>734</v>
      </c>
      <c r="C147" s="140">
        <v>0</v>
      </c>
      <c r="D147" s="140">
        <v>0</v>
      </c>
      <c r="E147" s="140">
        <v>-376.67</v>
      </c>
      <c r="F147" s="140">
        <v>0</v>
      </c>
      <c r="G147" s="140">
        <v>-56.21</v>
      </c>
      <c r="H147" s="140">
        <v>0</v>
      </c>
      <c r="I147" s="140">
        <v>-432.88</v>
      </c>
      <c r="J147" s="140">
        <v>0</v>
      </c>
      <c r="K147" s="140">
        <v>-432.88</v>
      </c>
      <c r="L147" s="140">
        <v>0</v>
      </c>
    </row>
    <row r="148" spans="1:12" x14ac:dyDescent="0.3">
      <c r="A148" s="139" t="s">
        <v>735</v>
      </c>
      <c r="B148" s="17" t="s">
        <v>736</v>
      </c>
      <c r="C148" s="140">
        <v>0</v>
      </c>
      <c r="D148" s="140">
        <v>0</v>
      </c>
      <c r="E148" s="140">
        <v>38.51</v>
      </c>
      <c r="F148" s="140">
        <v>0</v>
      </c>
      <c r="G148" s="140">
        <v>0</v>
      </c>
      <c r="H148" s="140">
        <v>0</v>
      </c>
      <c r="I148" s="140">
        <v>38.51</v>
      </c>
      <c r="J148" s="140">
        <v>0</v>
      </c>
      <c r="K148" s="140">
        <v>38.51</v>
      </c>
      <c r="L148" s="140">
        <v>0</v>
      </c>
    </row>
    <row r="149" spans="1:12" x14ac:dyDescent="0.3">
      <c r="A149" s="139" t="s">
        <v>737</v>
      </c>
      <c r="B149" s="17" t="s">
        <v>738</v>
      </c>
      <c r="C149" s="140">
        <v>0</v>
      </c>
      <c r="D149" s="140">
        <v>0</v>
      </c>
      <c r="E149" s="140">
        <v>0</v>
      </c>
      <c r="F149" s="140">
        <v>0</v>
      </c>
      <c r="G149" s="140">
        <v>14.56</v>
      </c>
      <c r="H149" s="140">
        <v>0</v>
      </c>
      <c r="I149" s="140">
        <v>14.56</v>
      </c>
      <c r="J149" s="140">
        <v>0</v>
      </c>
      <c r="K149" s="140">
        <v>14.56</v>
      </c>
      <c r="L149" s="140">
        <v>0</v>
      </c>
    </row>
    <row r="150" spans="1:12" x14ac:dyDescent="0.3">
      <c r="A150" s="139" t="s">
        <v>739</v>
      </c>
      <c r="B150" s="17" t="s">
        <v>740</v>
      </c>
      <c r="C150" s="140">
        <v>0</v>
      </c>
      <c r="D150" s="140">
        <v>0</v>
      </c>
      <c r="E150" s="140">
        <v>612.51</v>
      </c>
      <c r="F150" s="140">
        <v>0</v>
      </c>
      <c r="G150" s="140">
        <v>293.79000000000002</v>
      </c>
      <c r="H150" s="140">
        <v>368.72</v>
      </c>
      <c r="I150" s="140">
        <v>2752.01</v>
      </c>
      <c r="J150" s="140">
        <v>2214.4299999999998</v>
      </c>
      <c r="K150" s="140">
        <v>537.58000000000004</v>
      </c>
      <c r="L150" s="140">
        <v>0</v>
      </c>
    </row>
    <row r="151" spans="1:12" x14ac:dyDescent="0.3">
      <c r="A151" s="139" t="s">
        <v>741</v>
      </c>
      <c r="B151" s="17" t="s">
        <v>742</v>
      </c>
      <c r="C151" s="140">
        <v>0</v>
      </c>
      <c r="D151" s="140">
        <v>0</v>
      </c>
      <c r="E151" s="140">
        <v>-16.72</v>
      </c>
      <c r="F151" s="140">
        <v>0</v>
      </c>
      <c r="G151" s="140">
        <v>38.28</v>
      </c>
      <c r="H151" s="140">
        <v>0</v>
      </c>
      <c r="I151" s="140">
        <v>21.56</v>
      </c>
      <c r="J151" s="140">
        <v>0</v>
      </c>
      <c r="K151" s="140">
        <v>21.56</v>
      </c>
      <c r="L151" s="140">
        <v>0</v>
      </c>
    </row>
    <row r="152" spans="1:12" x14ac:dyDescent="0.3">
      <c r="A152" s="139" t="s">
        <v>743</v>
      </c>
      <c r="B152" s="17" t="s">
        <v>744</v>
      </c>
      <c r="C152" s="140">
        <v>0</v>
      </c>
      <c r="D152" s="140">
        <v>0</v>
      </c>
      <c r="E152" s="140">
        <v>383.32</v>
      </c>
      <c r="F152" s="140">
        <v>0</v>
      </c>
      <c r="G152" s="140">
        <v>-12.55</v>
      </c>
      <c r="H152" s="140">
        <v>0</v>
      </c>
      <c r="I152" s="140">
        <v>370.77</v>
      </c>
      <c r="J152" s="140">
        <v>0</v>
      </c>
      <c r="K152" s="140">
        <v>370.77</v>
      </c>
      <c r="L152" s="140">
        <v>0</v>
      </c>
    </row>
    <row r="153" spans="1:12" x14ac:dyDescent="0.3">
      <c r="A153" s="139" t="s">
        <v>745</v>
      </c>
      <c r="B153" s="17" t="s">
        <v>746</v>
      </c>
      <c r="C153" s="140">
        <v>0</v>
      </c>
      <c r="D153" s="140">
        <v>0</v>
      </c>
      <c r="E153" s="140">
        <v>9.07</v>
      </c>
      <c r="F153" s="140">
        <v>0</v>
      </c>
      <c r="G153" s="140">
        <v>-2.74</v>
      </c>
      <c r="H153" s="140">
        <v>0</v>
      </c>
      <c r="I153" s="140">
        <v>6.33</v>
      </c>
      <c r="J153" s="140">
        <v>0</v>
      </c>
      <c r="K153" s="140">
        <v>6.33</v>
      </c>
      <c r="L153" s="140">
        <v>0</v>
      </c>
    </row>
    <row r="154" spans="1:12" x14ac:dyDescent="0.3">
      <c r="A154" s="139" t="s">
        <v>747</v>
      </c>
      <c r="B154" s="17" t="s">
        <v>748</v>
      </c>
      <c r="C154" s="140">
        <v>0</v>
      </c>
      <c r="D154" s="140">
        <v>0</v>
      </c>
      <c r="E154" s="140">
        <v>70.650000000000006</v>
      </c>
      <c r="F154" s="140">
        <v>0</v>
      </c>
      <c r="G154" s="140">
        <v>-64.48</v>
      </c>
      <c r="H154" s="140">
        <v>0</v>
      </c>
      <c r="I154" s="140">
        <v>6.17</v>
      </c>
      <c r="J154" s="140">
        <v>0</v>
      </c>
      <c r="K154" s="140">
        <v>6.17</v>
      </c>
      <c r="L154" s="140">
        <v>0</v>
      </c>
    </row>
    <row r="155" spans="1:12" x14ac:dyDescent="0.3">
      <c r="A155" s="139" t="s">
        <v>749</v>
      </c>
      <c r="B155" s="17" t="s">
        <v>750</v>
      </c>
      <c r="C155" s="140">
        <v>0</v>
      </c>
      <c r="D155" s="140">
        <v>0</v>
      </c>
      <c r="E155" s="140">
        <v>-38.020000000000003</v>
      </c>
      <c r="F155" s="140">
        <v>0</v>
      </c>
      <c r="G155" s="140">
        <v>12.26</v>
      </c>
      <c r="H155" s="140">
        <v>0</v>
      </c>
      <c r="I155" s="140">
        <v>-25.76</v>
      </c>
      <c r="J155" s="140">
        <v>0</v>
      </c>
      <c r="K155" s="140">
        <v>-25.76</v>
      </c>
      <c r="L155" s="140">
        <v>0</v>
      </c>
    </row>
    <row r="156" spans="1:12" x14ac:dyDescent="0.3">
      <c r="A156" s="139" t="s">
        <v>751</v>
      </c>
      <c r="B156" s="17" t="s">
        <v>752</v>
      </c>
      <c r="C156" s="140">
        <v>0</v>
      </c>
      <c r="D156" s="140">
        <v>0</v>
      </c>
      <c r="E156" s="140">
        <v>-130.92000000000002</v>
      </c>
      <c r="F156" s="140">
        <v>0</v>
      </c>
      <c r="G156" s="140">
        <v>-134.38</v>
      </c>
      <c r="H156" s="140">
        <v>0</v>
      </c>
      <c r="I156" s="140">
        <v>-265.3</v>
      </c>
      <c r="J156" s="140">
        <v>0</v>
      </c>
      <c r="K156" s="140">
        <v>-265.3</v>
      </c>
      <c r="L156" s="140">
        <v>0</v>
      </c>
    </row>
    <row r="157" spans="1:12" x14ac:dyDescent="0.3">
      <c r="A157" s="139" t="s">
        <v>753</v>
      </c>
      <c r="B157" s="17" t="s">
        <v>754</v>
      </c>
      <c r="C157" s="140">
        <v>0</v>
      </c>
      <c r="D157" s="140">
        <v>0</v>
      </c>
      <c r="E157" s="140">
        <v>6.24</v>
      </c>
      <c r="F157" s="140">
        <v>0</v>
      </c>
      <c r="G157" s="140">
        <v>3.12</v>
      </c>
      <c r="H157" s="140">
        <v>0</v>
      </c>
      <c r="I157" s="140">
        <v>9.36</v>
      </c>
      <c r="J157" s="140">
        <v>0</v>
      </c>
      <c r="K157" s="140">
        <v>9.36</v>
      </c>
      <c r="L157" s="140">
        <v>0</v>
      </c>
    </row>
    <row r="158" spans="1:12" x14ac:dyDescent="0.3">
      <c r="A158" s="139" t="s">
        <v>755</v>
      </c>
      <c r="B158" s="17" t="s">
        <v>756</v>
      </c>
      <c r="C158" s="140">
        <v>0</v>
      </c>
      <c r="D158" s="140">
        <v>0</v>
      </c>
      <c r="E158" s="140">
        <v>56.39</v>
      </c>
      <c r="F158" s="140">
        <v>0</v>
      </c>
      <c r="G158" s="140">
        <v>-27.900000000000002</v>
      </c>
      <c r="H158" s="140">
        <v>0</v>
      </c>
      <c r="I158" s="140">
        <v>28.490000000000002</v>
      </c>
      <c r="J158" s="140">
        <v>0</v>
      </c>
      <c r="K158" s="140">
        <v>28.490000000000002</v>
      </c>
      <c r="L158" s="140">
        <v>0</v>
      </c>
    </row>
    <row r="159" spans="1:12" x14ac:dyDescent="0.3">
      <c r="A159" s="139" t="s">
        <v>757</v>
      </c>
      <c r="B159" s="17" t="s">
        <v>758</v>
      </c>
      <c r="C159" s="140">
        <v>0</v>
      </c>
      <c r="D159" s="140">
        <v>0</v>
      </c>
      <c r="E159" s="140">
        <v>252.6</v>
      </c>
      <c r="F159" s="140">
        <v>0</v>
      </c>
      <c r="G159" s="140">
        <v>182.70000000000002</v>
      </c>
      <c r="H159" s="140">
        <v>0</v>
      </c>
      <c r="I159" s="140">
        <v>435.3</v>
      </c>
      <c r="J159" s="140">
        <v>0</v>
      </c>
      <c r="K159" s="140">
        <v>435.3</v>
      </c>
      <c r="L159" s="140">
        <v>0</v>
      </c>
    </row>
    <row r="160" spans="1:12" x14ac:dyDescent="0.3">
      <c r="A160" s="139" t="s">
        <v>759</v>
      </c>
      <c r="B160" s="17" t="s">
        <v>760</v>
      </c>
      <c r="C160" s="140">
        <v>0</v>
      </c>
      <c r="D160" s="140">
        <v>0</v>
      </c>
      <c r="E160" s="140">
        <v>4543</v>
      </c>
      <c r="F160" s="140">
        <v>0</v>
      </c>
      <c r="G160" s="140">
        <v>0</v>
      </c>
      <c r="H160" s="140">
        <v>0</v>
      </c>
      <c r="I160" s="140">
        <v>4543</v>
      </c>
      <c r="J160" s="140">
        <v>0</v>
      </c>
      <c r="K160" s="140">
        <v>4543</v>
      </c>
      <c r="L160" s="140">
        <v>0</v>
      </c>
    </row>
    <row r="161" spans="1:12" x14ac:dyDescent="0.3">
      <c r="A161" s="139" t="s">
        <v>761</v>
      </c>
      <c r="B161" s="17" t="s">
        <v>762</v>
      </c>
      <c r="C161" s="140">
        <v>0</v>
      </c>
      <c r="D161" s="140">
        <v>0</v>
      </c>
      <c r="E161" s="140">
        <v>220</v>
      </c>
      <c r="F161" s="140">
        <v>0</v>
      </c>
      <c r="G161" s="140">
        <v>121.5</v>
      </c>
      <c r="H161" s="140">
        <v>0</v>
      </c>
      <c r="I161" s="140">
        <v>341.5</v>
      </c>
      <c r="J161" s="140">
        <v>0</v>
      </c>
      <c r="K161" s="140">
        <v>341.5</v>
      </c>
      <c r="L161" s="140">
        <v>0</v>
      </c>
    </row>
    <row r="162" spans="1:12" x14ac:dyDescent="0.3">
      <c r="A162" s="139" t="s">
        <v>763</v>
      </c>
      <c r="B162" s="17" t="s">
        <v>764</v>
      </c>
      <c r="C162" s="140">
        <v>0</v>
      </c>
      <c r="D162" s="140">
        <v>0</v>
      </c>
      <c r="E162" s="140">
        <v>0</v>
      </c>
      <c r="F162" s="140">
        <v>0</v>
      </c>
      <c r="G162" s="140">
        <v>0</v>
      </c>
      <c r="H162" s="140">
        <v>0</v>
      </c>
      <c r="I162" s="140">
        <v>0</v>
      </c>
      <c r="J162" s="140">
        <v>0</v>
      </c>
      <c r="K162" s="140">
        <v>0</v>
      </c>
      <c r="L162" s="140">
        <v>0</v>
      </c>
    </row>
    <row r="163" spans="1:12" x14ac:dyDescent="0.3">
      <c r="A163" s="139" t="s">
        <v>765</v>
      </c>
      <c r="B163" s="17" t="s">
        <v>766</v>
      </c>
      <c r="C163" s="140">
        <v>0</v>
      </c>
      <c r="D163" s="140">
        <v>0</v>
      </c>
      <c r="E163" s="140">
        <v>86.600000000000009</v>
      </c>
      <c r="F163" s="140">
        <v>0</v>
      </c>
      <c r="G163" s="140">
        <v>7.5600000000000005</v>
      </c>
      <c r="H163" s="140">
        <v>0</v>
      </c>
      <c r="I163" s="140">
        <v>94.16</v>
      </c>
      <c r="J163" s="140">
        <v>0</v>
      </c>
      <c r="K163" s="140">
        <v>94.16</v>
      </c>
      <c r="L163" s="140">
        <v>0</v>
      </c>
    </row>
    <row r="164" spans="1:12" x14ac:dyDescent="0.3">
      <c r="A164" s="139" t="s">
        <v>767</v>
      </c>
      <c r="B164" s="17" t="s">
        <v>768</v>
      </c>
      <c r="C164" s="140">
        <v>0</v>
      </c>
      <c r="D164" s="140">
        <v>0</v>
      </c>
      <c r="E164" s="140">
        <v>591.06000000000006</v>
      </c>
      <c r="F164" s="140">
        <v>0</v>
      </c>
      <c r="G164" s="140">
        <v>55</v>
      </c>
      <c r="H164" s="140">
        <v>0</v>
      </c>
      <c r="I164" s="140">
        <v>646.06000000000006</v>
      </c>
      <c r="J164" s="140">
        <v>0</v>
      </c>
      <c r="K164" s="140">
        <v>646.06000000000006</v>
      </c>
      <c r="L164" s="140">
        <v>0</v>
      </c>
    </row>
    <row r="165" spans="1:12" x14ac:dyDescent="0.3">
      <c r="A165" s="139" t="s">
        <v>769</v>
      </c>
      <c r="B165" s="17" t="s">
        <v>770</v>
      </c>
      <c r="C165" s="140">
        <v>0</v>
      </c>
      <c r="D165" s="140">
        <v>0</v>
      </c>
      <c r="E165" s="140">
        <v>106.3</v>
      </c>
      <c r="F165" s="140">
        <v>0</v>
      </c>
      <c r="G165" s="140">
        <v>7.5</v>
      </c>
      <c r="H165" s="140">
        <v>0</v>
      </c>
      <c r="I165" s="140">
        <v>113.8</v>
      </c>
      <c r="J165" s="140">
        <v>0</v>
      </c>
      <c r="K165" s="140">
        <v>113.8</v>
      </c>
      <c r="L165" s="140">
        <v>0</v>
      </c>
    </row>
    <row r="166" spans="1:12" x14ac:dyDescent="0.3">
      <c r="A166" s="139" t="s">
        <v>771</v>
      </c>
      <c r="B166" s="17" t="s">
        <v>772</v>
      </c>
      <c r="C166" s="140">
        <v>0</v>
      </c>
      <c r="D166" s="140">
        <v>0</v>
      </c>
      <c r="E166" s="140">
        <v>118.77</v>
      </c>
      <c r="F166" s="140">
        <v>0</v>
      </c>
      <c r="G166" s="140">
        <v>7.92</v>
      </c>
      <c r="H166" s="140">
        <v>0</v>
      </c>
      <c r="I166" s="140">
        <v>126.69</v>
      </c>
      <c r="J166" s="140">
        <v>0</v>
      </c>
      <c r="K166" s="140">
        <v>126.69</v>
      </c>
      <c r="L166" s="140">
        <v>0</v>
      </c>
    </row>
    <row r="167" spans="1:12" x14ac:dyDescent="0.3">
      <c r="A167" s="139" t="s">
        <v>773</v>
      </c>
      <c r="B167" s="17" t="s">
        <v>774</v>
      </c>
      <c r="C167" s="140">
        <v>0</v>
      </c>
      <c r="D167" s="140">
        <v>0</v>
      </c>
      <c r="E167" s="140">
        <v>44</v>
      </c>
      <c r="F167" s="140">
        <v>0</v>
      </c>
      <c r="G167" s="140">
        <v>54</v>
      </c>
      <c r="H167" s="140">
        <v>0</v>
      </c>
      <c r="I167" s="140">
        <v>98</v>
      </c>
      <c r="J167" s="140">
        <v>0</v>
      </c>
      <c r="K167" s="140">
        <v>98</v>
      </c>
      <c r="L167" s="140">
        <v>0</v>
      </c>
    </row>
    <row r="168" spans="1:12" x14ac:dyDescent="0.3">
      <c r="A168" s="139" t="s">
        <v>775</v>
      </c>
      <c r="B168" s="17" t="s">
        <v>776</v>
      </c>
      <c r="C168" s="140">
        <v>0</v>
      </c>
      <c r="D168" s="140">
        <v>0</v>
      </c>
      <c r="E168" s="140">
        <v>0</v>
      </c>
      <c r="F168" s="140">
        <v>0</v>
      </c>
      <c r="G168" s="140">
        <v>9047.2800000000007</v>
      </c>
      <c r="H168" s="140">
        <v>0</v>
      </c>
      <c r="I168" s="140">
        <v>9047.2800000000007</v>
      </c>
      <c r="J168" s="140">
        <v>0</v>
      </c>
      <c r="K168" s="140">
        <v>9047.2800000000007</v>
      </c>
      <c r="L168" s="140">
        <v>0</v>
      </c>
    </row>
    <row r="169" spans="1:12" x14ac:dyDescent="0.3">
      <c r="A169" s="139" t="s">
        <v>777</v>
      </c>
      <c r="B169" s="17" t="s">
        <v>778</v>
      </c>
      <c r="C169" s="140">
        <v>0</v>
      </c>
      <c r="D169" s="140">
        <v>0</v>
      </c>
      <c r="E169" s="140">
        <v>128.18</v>
      </c>
      <c r="F169" s="140">
        <v>0</v>
      </c>
      <c r="G169" s="140">
        <v>36</v>
      </c>
      <c r="H169" s="140">
        <v>0</v>
      </c>
      <c r="I169" s="140">
        <v>164.18</v>
      </c>
      <c r="J169" s="140">
        <v>0</v>
      </c>
      <c r="K169" s="140">
        <v>164.18</v>
      </c>
      <c r="L169" s="140">
        <v>0</v>
      </c>
    </row>
    <row r="170" spans="1:12" x14ac:dyDescent="0.3">
      <c r="A170" s="139" t="s">
        <v>779</v>
      </c>
      <c r="B170" s="17" t="s">
        <v>780</v>
      </c>
      <c r="C170" s="140">
        <v>0</v>
      </c>
      <c r="D170" s="140">
        <v>0</v>
      </c>
      <c r="E170" s="140">
        <v>7</v>
      </c>
      <c r="F170" s="140">
        <v>0</v>
      </c>
      <c r="G170" s="140">
        <v>0</v>
      </c>
      <c r="H170" s="140">
        <v>0</v>
      </c>
      <c r="I170" s="140">
        <v>7</v>
      </c>
      <c r="J170" s="140">
        <v>0</v>
      </c>
      <c r="K170" s="140">
        <v>7</v>
      </c>
      <c r="L170" s="140">
        <v>0</v>
      </c>
    </row>
    <row r="171" spans="1:12" x14ac:dyDescent="0.3">
      <c r="A171" s="139" t="s">
        <v>781</v>
      </c>
      <c r="B171" s="17" t="s">
        <v>782</v>
      </c>
      <c r="C171" s="140">
        <v>0</v>
      </c>
      <c r="D171" s="140">
        <v>0</v>
      </c>
      <c r="E171" s="140">
        <v>9263.57</v>
      </c>
      <c r="F171" s="140">
        <v>0</v>
      </c>
      <c r="G171" s="140">
        <v>856.63</v>
      </c>
      <c r="H171" s="140">
        <v>0</v>
      </c>
      <c r="I171" s="140">
        <v>10120.200000000001</v>
      </c>
      <c r="J171" s="140">
        <v>0</v>
      </c>
      <c r="K171" s="140">
        <v>10120.200000000001</v>
      </c>
      <c r="L171" s="140">
        <v>0</v>
      </c>
    </row>
    <row r="172" spans="1:12" x14ac:dyDescent="0.3">
      <c r="A172" s="139" t="s">
        <v>783</v>
      </c>
      <c r="B172" s="17" t="s">
        <v>784</v>
      </c>
      <c r="C172" s="140">
        <v>0</v>
      </c>
      <c r="D172" s="140">
        <v>0</v>
      </c>
      <c r="E172" s="140">
        <v>0</v>
      </c>
      <c r="F172" s="140">
        <v>0</v>
      </c>
      <c r="G172" s="140">
        <v>400</v>
      </c>
      <c r="H172" s="140">
        <v>0</v>
      </c>
      <c r="I172" s="140">
        <v>400</v>
      </c>
      <c r="J172" s="140">
        <v>0</v>
      </c>
      <c r="K172" s="140">
        <v>400</v>
      </c>
      <c r="L172" s="140">
        <v>0</v>
      </c>
    </row>
    <row r="173" spans="1:12" x14ac:dyDescent="0.3">
      <c r="A173" s="139" t="s">
        <v>785</v>
      </c>
      <c r="B173" s="17" t="s">
        <v>786</v>
      </c>
      <c r="C173" s="140">
        <v>0</v>
      </c>
      <c r="D173" s="140">
        <v>0</v>
      </c>
      <c r="E173" s="140">
        <v>65.95</v>
      </c>
      <c r="F173" s="140">
        <v>0</v>
      </c>
      <c r="G173" s="140">
        <v>5.04</v>
      </c>
      <c r="H173" s="140">
        <v>0</v>
      </c>
      <c r="I173" s="140">
        <v>70.989999999999995</v>
      </c>
      <c r="J173" s="140">
        <v>0</v>
      </c>
      <c r="K173" s="140">
        <v>70.989999999999995</v>
      </c>
      <c r="L173" s="140">
        <v>0</v>
      </c>
    </row>
    <row r="174" spans="1:12" x14ac:dyDescent="0.3">
      <c r="A174" s="139" t="s">
        <v>787</v>
      </c>
      <c r="B174" s="17" t="s">
        <v>788</v>
      </c>
      <c r="C174" s="140">
        <v>0</v>
      </c>
      <c r="D174" s="140">
        <v>0</v>
      </c>
      <c r="E174" s="140">
        <v>198</v>
      </c>
      <c r="F174" s="140">
        <v>0</v>
      </c>
      <c r="G174" s="140">
        <v>0</v>
      </c>
      <c r="H174" s="140">
        <v>0</v>
      </c>
      <c r="I174" s="140">
        <v>198</v>
      </c>
      <c r="J174" s="140">
        <v>0</v>
      </c>
      <c r="K174" s="140">
        <v>198</v>
      </c>
      <c r="L174" s="140">
        <v>0</v>
      </c>
    </row>
    <row r="175" spans="1:12" x14ac:dyDescent="0.3">
      <c r="A175" s="139" t="s">
        <v>789</v>
      </c>
      <c r="B175" s="17" t="s">
        <v>790</v>
      </c>
      <c r="C175" s="140">
        <v>0</v>
      </c>
      <c r="D175" s="140">
        <v>0</v>
      </c>
      <c r="E175" s="140">
        <v>587</v>
      </c>
      <c r="F175" s="140">
        <v>0</v>
      </c>
      <c r="G175" s="140">
        <v>0</v>
      </c>
      <c r="H175" s="140">
        <v>0</v>
      </c>
      <c r="I175" s="140">
        <v>587</v>
      </c>
      <c r="J175" s="140">
        <v>0</v>
      </c>
      <c r="K175" s="140">
        <v>587</v>
      </c>
      <c r="L175" s="140">
        <v>0</v>
      </c>
    </row>
    <row r="176" spans="1:12" x14ac:dyDescent="0.3">
      <c r="A176" s="139" t="s">
        <v>791</v>
      </c>
      <c r="B176" s="17" t="s">
        <v>792</v>
      </c>
      <c r="C176" s="140">
        <v>0</v>
      </c>
      <c r="D176" s="140">
        <v>0</v>
      </c>
      <c r="E176" s="140">
        <v>-224</v>
      </c>
      <c r="F176" s="140">
        <v>0</v>
      </c>
      <c r="G176" s="140">
        <v>-29.34</v>
      </c>
      <c r="H176" s="140">
        <v>0</v>
      </c>
      <c r="I176" s="140">
        <v>-253.34</v>
      </c>
      <c r="J176" s="140">
        <v>0</v>
      </c>
      <c r="K176" s="140">
        <v>-253.34</v>
      </c>
      <c r="L176" s="140">
        <v>0</v>
      </c>
    </row>
    <row r="177" spans="1:12" x14ac:dyDescent="0.3">
      <c r="A177" s="139" t="s">
        <v>793</v>
      </c>
      <c r="B177" s="17" t="s">
        <v>794</v>
      </c>
      <c r="C177" s="140">
        <v>0</v>
      </c>
      <c r="D177" s="140">
        <v>0</v>
      </c>
      <c r="E177" s="140">
        <v>712.25</v>
      </c>
      <c r="F177" s="140">
        <v>0</v>
      </c>
      <c r="G177" s="140">
        <v>80.040000000000006</v>
      </c>
      <c r="H177" s="140">
        <v>0</v>
      </c>
      <c r="I177" s="140">
        <v>792.29</v>
      </c>
      <c r="J177" s="140">
        <v>0</v>
      </c>
      <c r="K177" s="140">
        <v>792.29</v>
      </c>
      <c r="L177" s="140">
        <v>0</v>
      </c>
    </row>
    <row r="178" spans="1:12" x14ac:dyDescent="0.3">
      <c r="A178" s="139" t="s">
        <v>795</v>
      </c>
      <c r="B178" s="17" t="s">
        <v>796</v>
      </c>
      <c r="C178" s="140">
        <v>0</v>
      </c>
      <c r="D178" s="140">
        <v>0</v>
      </c>
      <c r="E178" s="140">
        <v>175</v>
      </c>
      <c r="F178" s="140">
        <v>0</v>
      </c>
      <c r="G178" s="140">
        <v>30</v>
      </c>
      <c r="H178" s="140">
        <v>0</v>
      </c>
      <c r="I178" s="140">
        <v>205</v>
      </c>
      <c r="J178" s="140">
        <v>0</v>
      </c>
      <c r="K178" s="140">
        <v>205</v>
      </c>
      <c r="L178" s="140">
        <v>0</v>
      </c>
    </row>
    <row r="179" spans="1:12" x14ac:dyDescent="0.3">
      <c r="A179" s="139" t="s">
        <v>797</v>
      </c>
      <c r="B179" s="17" t="s">
        <v>798</v>
      </c>
      <c r="C179" s="140">
        <v>0</v>
      </c>
      <c r="D179" s="140">
        <v>0</v>
      </c>
      <c r="E179" s="140">
        <v>1202.96</v>
      </c>
      <c r="F179" s="140">
        <v>0</v>
      </c>
      <c r="G179" s="140">
        <v>68.33</v>
      </c>
      <c r="H179" s="140">
        <v>0</v>
      </c>
      <c r="I179" s="140">
        <v>1271.29</v>
      </c>
      <c r="J179" s="140">
        <v>0</v>
      </c>
      <c r="K179" s="140">
        <v>1271.29</v>
      </c>
      <c r="L179" s="140">
        <v>0</v>
      </c>
    </row>
    <row r="180" spans="1:12" x14ac:dyDescent="0.3">
      <c r="A180" s="139" t="s">
        <v>799</v>
      </c>
      <c r="B180" s="17" t="s">
        <v>800</v>
      </c>
      <c r="C180" s="140">
        <v>0</v>
      </c>
      <c r="D180" s="140">
        <v>0</v>
      </c>
      <c r="E180" s="140">
        <v>146</v>
      </c>
      <c r="F180" s="140">
        <v>0</v>
      </c>
      <c r="G180" s="140">
        <v>0</v>
      </c>
      <c r="H180" s="140">
        <v>0</v>
      </c>
      <c r="I180" s="140">
        <v>146</v>
      </c>
      <c r="J180" s="140">
        <v>0</v>
      </c>
      <c r="K180" s="140">
        <v>146</v>
      </c>
      <c r="L180" s="140">
        <v>0</v>
      </c>
    </row>
    <row r="181" spans="1:12" x14ac:dyDescent="0.3">
      <c r="A181" s="139" t="s">
        <v>801</v>
      </c>
      <c r="B181" s="17" t="s">
        <v>802</v>
      </c>
      <c r="C181" s="140">
        <v>0</v>
      </c>
      <c r="D181" s="140">
        <v>0</v>
      </c>
      <c r="E181" s="140">
        <v>0</v>
      </c>
      <c r="F181" s="140">
        <v>0</v>
      </c>
      <c r="G181" s="140">
        <v>37.89</v>
      </c>
      <c r="H181" s="140">
        <v>0</v>
      </c>
      <c r="I181" s="140">
        <v>37.89</v>
      </c>
      <c r="J181" s="140">
        <v>0</v>
      </c>
      <c r="K181" s="140">
        <v>37.89</v>
      </c>
      <c r="L181" s="140">
        <v>0</v>
      </c>
    </row>
    <row r="182" spans="1:12" x14ac:dyDescent="0.3">
      <c r="A182" s="139" t="s">
        <v>803</v>
      </c>
      <c r="B182" s="17" t="s">
        <v>804</v>
      </c>
      <c r="C182" s="140">
        <v>0</v>
      </c>
      <c r="D182" s="140">
        <v>0</v>
      </c>
      <c r="E182" s="140">
        <v>26272.27</v>
      </c>
      <c r="F182" s="140">
        <v>0</v>
      </c>
      <c r="G182" s="140">
        <v>2500.77</v>
      </c>
      <c r="H182" s="140">
        <v>0</v>
      </c>
      <c r="I182" s="140">
        <v>28773.040000000001</v>
      </c>
      <c r="J182" s="140">
        <v>0</v>
      </c>
      <c r="K182" s="140">
        <v>28773.040000000001</v>
      </c>
      <c r="L182" s="140">
        <v>0</v>
      </c>
    </row>
    <row r="183" spans="1:12" x14ac:dyDescent="0.3">
      <c r="A183" s="139" t="s">
        <v>805</v>
      </c>
      <c r="B183" s="17" t="s">
        <v>806</v>
      </c>
      <c r="C183" s="140">
        <v>0</v>
      </c>
      <c r="D183" s="140">
        <v>0</v>
      </c>
      <c r="E183" s="140">
        <v>4582.55</v>
      </c>
      <c r="F183" s="140">
        <v>0</v>
      </c>
      <c r="G183" s="140">
        <v>259.55</v>
      </c>
      <c r="H183" s="140">
        <v>0</v>
      </c>
      <c r="I183" s="140">
        <v>4842.1000000000004</v>
      </c>
      <c r="J183" s="140">
        <v>0</v>
      </c>
      <c r="K183" s="140">
        <v>4842.1000000000004</v>
      </c>
      <c r="L183" s="140">
        <v>0</v>
      </c>
    </row>
    <row r="184" spans="1:12" x14ac:dyDescent="0.3">
      <c r="A184" s="139" t="s">
        <v>807</v>
      </c>
      <c r="B184" s="17" t="s">
        <v>808</v>
      </c>
      <c r="C184" s="140">
        <v>0</v>
      </c>
      <c r="D184" s="140">
        <v>0</v>
      </c>
      <c r="E184" s="140">
        <v>759.25</v>
      </c>
      <c r="F184" s="140">
        <v>0</v>
      </c>
      <c r="G184" s="140">
        <v>0</v>
      </c>
      <c r="H184" s="140">
        <v>0</v>
      </c>
      <c r="I184" s="140">
        <v>759.25</v>
      </c>
      <c r="J184" s="140">
        <v>0</v>
      </c>
      <c r="K184" s="140">
        <v>759.25</v>
      </c>
      <c r="L184" s="140">
        <v>0</v>
      </c>
    </row>
    <row r="185" spans="1:12" x14ac:dyDescent="0.3">
      <c r="A185" s="139" t="s">
        <v>809</v>
      </c>
      <c r="B185" s="17" t="s">
        <v>810</v>
      </c>
      <c r="C185" s="140">
        <v>0</v>
      </c>
      <c r="D185" s="140">
        <v>0</v>
      </c>
      <c r="E185" s="140">
        <v>89.15</v>
      </c>
      <c r="F185" s="140">
        <v>0</v>
      </c>
      <c r="G185" s="140">
        <v>0</v>
      </c>
      <c r="H185" s="140">
        <v>0</v>
      </c>
      <c r="I185" s="140">
        <v>89.15</v>
      </c>
      <c r="J185" s="140">
        <v>0</v>
      </c>
      <c r="K185" s="140">
        <v>89.15</v>
      </c>
      <c r="L185" s="140">
        <v>0</v>
      </c>
    </row>
    <row r="186" spans="1:12" x14ac:dyDescent="0.3">
      <c r="A186" s="139" t="s">
        <v>811</v>
      </c>
      <c r="B186" s="17" t="s">
        <v>812</v>
      </c>
      <c r="C186" s="140">
        <v>0</v>
      </c>
      <c r="D186" s="140">
        <v>0</v>
      </c>
      <c r="E186" s="140">
        <v>41.18</v>
      </c>
      <c r="F186" s="140">
        <v>0</v>
      </c>
      <c r="G186" s="140">
        <v>0</v>
      </c>
      <c r="H186" s="140">
        <v>0</v>
      </c>
      <c r="I186" s="140">
        <v>41.18</v>
      </c>
      <c r="J186" s="140">
        <v>0</v>
      </c>
      <c r="K186" s="140">
        <v>41.18</v>
      </c>
      <c r="L186" s="140">
        <v>0</v>
      </c>
    </row>
    <row r="187" spans="1:12" x14ac:dyDescent="0.3">
      <c r="A187" s="139" t="s">
        <v>813</v>
      </c>
      <c r="B187" s="17" t="s">
        <v>814</v>
      </c>
      <c r="C187" s="140">
        <v>0</v>
      </c>
      <c r="D187" s="140">
        <v>0</v>
      </c>
      <c r="E187" s="140">
        <v>0</v>
      </c>
      <c r="F187" s="140">
        <v>0</v>
      </c>
      <c r="G187" s="140">
        <v>0</v>
      </c>
      <c r="H187" s="140">
        <v>0</v>
      </c>
      <c r="I187" s="140">
        <v>0</v>
      </c>
      <c r="J187" s="140">
        <v>0</v>
      </c>
      <c r="K187" s="140">
        <v>0</v>
      </c>
      <c r="L187" s="140">
        <v>0</v>
      </c>
    </row>
    <row r="188" spans="1:12" x14ac:dyDescent="0.3">
      <c r="A188" s="139" t="s">
        <v>815</v>
      </c>
      <c r="B188" s="17" t="s">
        <v>816</v>
      </c>
      <c r="C188" s="140">
        <v>0</v>
      </c>
      <c r="D188" s="140">
        <v>0</v>
      </c>
      <c r="E188" s="140">
        <v>1066.4000000000001</v>
      </c>
      <c r="F188" s="140">
        <v>0</v>
      </c>
      <c r="G188" s="140">
        <v>53</v>
      </c>
      <c r="H188" s="140">
        <v>0</v>
      </c>
      <c r="I188" s="140">
        <v>1119.4000000000001</v>
      </c>
      <c r="J188" s="140">
        <v>0</v>
      </c>
      <c r="K188" s="140">
        <v>1119.4000000000001</v>
      </c>
      <c r="L188" s="140">
        <v>0</v>
      </c>
    </row>
    <row r="189" spans="1:12" x14ac:dyDescent="0.3">
      <c r="A189" s="139" t="s">
        <v>817</v>
      </c>
      <c r="B189" s="17" t="s">
        <v>818</v>
      </c>
      <c r="C189" s="140">
        <v>0</v>
      </c>
      <c r="D189" s="140">
        <v>0</v>
      </c>
      <c r="E189" s="140">
        <v>366.3</v>
      </c>
      <c r="F189" s="140">
        <v>0</v>
      </c>
      <c r="G189" s="140">
        <v>19.600000000000001</v>
      </c>
      <c r="H189" s="140">
        <v>0</v>
      </c>
      <c r="I189" s="140">
        <v>385.90000000000003</v>
      </c>
      <c r="J189" s="140">
        <v>0</v>
      </c>
      <c r="K189" s="140">
        <v>385.90000000000003</v>
      </c>
      <c r="L189" s="140">
        <v>0</v>
      </c>
    </row>
    <row r="190" spans="1:12" x14ac:dyDescent="0.3">
      <c r="A190" s="139" t="s">
        <v>819</v>
      </c>
      <c r="B190" s="17" t="s">
        <v>820</v>
      </c>
      <c r="C190" s="140">
        <v>0</v>
      </c>
      <c r="D190" s="140">
        <v>0</v>
      </c>
      <c r="E190" s="140">
        <v>64</v>
      </c>
      <c r="F190" s="140">
        <v>0</v>
      </c>
      <c r="G190" s="140">
        <v>0</v>
      </c>
      <c r="H190" s="140">
        <v>0</v>
      </c>
      <c r="I190" s="140">
        <v>64</v>
      </c>
      <c r="J190" s="140">
        <v>0</v>
      </c>
      <c r="K190" s="140">
        <v>64</v>
      </c>
      <c r="L190" s="140">
        <v>0</v>
      </c>
    </row>
    <row r="191" spans="1:12" x14ac:dyDescent="0.3">
      <c r="A191" s="139" t="s">
        <v>821</v>
      </c>
      <c r="B191" s="17" t="s">
        <v>822</v>
      </c>
      <c r="C191" s="140">
        <v>0</v>
      </c>
      <c r="D191" s="140">
        <v>0</v>
      </c>
      <c r="E191" s="140">
        <v>811.80000000000007</v>
      </c>
      <c r="F191" s="140">
        <v>0</v>
      </c>
      <c r="G191" s="140">
        <v>72.3</v>
      </c>
      <c r="H191" s="140">
        <v>0</v>
      </c>
      <c r="I191" s="140">
        <v>884.1</v>
      </c>
      <c r="J191" s="140">
        <v>0</v>
      </c>
      <c r="K191" s="140">
        <v>884.1</v>
      </c>
      <c r="L191" s="140">
        <v>0</v>
      </c>
    </row>
    <row r="192" spans="1:12" x14ac:dyDescent="0.3">
      <c r="A192" s="139" t="s">
        <v>823</v>
      </c>
      <c r="B192" s="17" t="s">
        <v>824</v>
      </c>
      <c r="C192" s="140">
        <v>0</v>
      </c>
      <c r="D192" s="140">
        <v>0</v>
      </c>
      <c r="E192" s="140">
        <v>0</v>
      </c>
      <c r="F192" s="140">
        <v>0</v>
      </c>
      <c r="G192" s="140">
        <v>-429.92</v>
      </c>
      <c r="H192" s="140">
        <v>0</v>
      </c>
      <c r="I192" s="140">
        <v>-429.92</v>
      </c>
      <c r="J192" s="140">
        <v>0</v>
      </c>
      <c r="K192" s="140">
        <v>-429.92</v>
      </c>
      <c r="L192" s="140">
        <v>0</v>
      </c>
    </row>
    <row r="193" spans="1:12" x14ac:dyDescent="0.3">
      <c r="A193" s="139" t="s">
        <v>825</v>
      </c>
      <c r="B193" s="17" t="s">
        <v>826</v>
      </c>
      <c r="C193" s="140">
        <v>0</v>
      </c>
      <c r="D193" s="140">
        <v>0</v>
      </c>
      <c r="E193" s="140">
        <v>602.51</v>
      </c>
      <c r="F193" s="140">
        <v>0</v>
      </c>
      <c r="G193" s="140">
        <v>-2.5100000000000002</v>
      </c>
      <c r="H193" s="140">
        <v>0</v>
      </c>
      <c r="I193" s="140">
        <v>600</v>
      </c>
      <c r="J193" s="140">
        <v>0</v>
      </c>
      <c r="K193" s="140">
        <v>600</v>
      </c>
      <c r="L193" s="140">
        <v>0</v>
      </c>
    </row>
    <row r="194" spans="1:12" x14ac:dyDescent="0.3">
      <c r="A194" s="139" t="s">
        <v>827</v>
      </c>
      <c r="B194" s="17" t="s">
        <v>828</v>
      </c>
      <c r="C194" s="140">
        <v>0</v>
      </c>
      <c r="D194" s="140">
        <v>0</v>
      </c>
      <c r="E194" s="140">
        <v>0</v>
      </c>
      <c r="F194" s="140">
        <v>0</v>
      </c>
      <c r="G194" s="140">
        <v>83.33</v>
      </c>
      <c r="H194" s="140">
        <v>0</v>
      </c>
      <c r="I194" s="140">
        <v>83.33</v>
      </c>
      <c r="J194" s="140">
        <v>0</v>
      </c>
      <c r="K194" s="140">
        <v>83.33</v>
      </c>
      <c r="L194" s="140">
        <v>0</v>
      </c>
    </row>
    <row r="195" spans="1:12" x14ac:dyDescent="0.3">
      <c r="A195" s="139" t="s">
        <v>829</v>
      </c>
      <c r="B195" s="17" t="s">
        <v>830</v>
      </c>
      <c r="C195" s="140">
        <v>0</v>
      </c>
      <c r="D195" s="140">
        <v>0</v>
      </c>
      <c r="E195" s="140">
        <v>4411.1500000000005</v>
      </c>
      <c r="F195" s="140">
        <v>0</v>
      </c>
      <c r="G195" s="140">
        <v>181.82</v>
      </c>
      <c r="H195" s="140">
        <v>0</v>
      </c>
      <c r="I195" s="140">
        <v>4592.97</v>
      </c>
      <c r="J195" s="140">
        <v>0</v>
      </c>
      <c r="K195" s="140">
        <v>4592.97</v>
      </c>
      <c r="L195" s="140">
        <v>0</v>
      </c>
    </row>
    <row r="196" spans="1:12" x14ac:dyDescent="0.3">
      <c r="A196" s="139" t="s">
        <v>831</v>
      </c>
      <c r="B196" s="17" t="s">
        <v>832</v>
      </c>
      <c r="C196" s="140">
        <v>0</v>
      </c>
      <c r="D196" s="140">
        <v>0</v>
      </c>
      <c r="E196" s="140">
        <v>8874.73</v>
      </c>
      <c r="F196" s="140">
        <v>0</v>
      </c>
      <c r="G196" s="140">
        <v>247.44</v>
      </c>
      <c r="H196" s="140">
        <v>0</v>
      </c>
      <c r="I196" s="140">
        <v>9122.17</v>
      </c>
      <c r="J196" s="140">
        <v>0</v>
      </c>
      <c r="K196" s="140">
        <v>9122.17</v>
      </c>
      <c r="L196" s="140">
        <v>0</v>
      </c>
    </row>
    <row r="197" spans="1:12" x14ac:dyDescent="0.3">
      <c r="A197" s="139" t="s">
        <v>833</v>
      </c>
      <c r="B197" s="17" t="s">
        <v>834</v>
      </c>
      <c r="C197" s="140">
        <v>0</v>
      </c>
      <c r="D197" s="140">
        <v>0</v>
      </c>
      <c r="E197" s="140">
        <v>3521.98</v>
      </c>
      <c r="F197" s="140">
        <v>0</v>
      </c>
      <c r="G197" s="140">
        <v>98.22</v>
      </c>
      <c r="H197" s="140">
        <v>0</v>
      </c>
      <c r="I197" s="140">
        <v>3620.2000000000003</v>
      </c>
      <c r="J197" s="140">
        <v>0</v>
      </c>
      <c r="K197" s="140">
        <v>3620.2000000000003</v>
      </c>
      <c r="L197" s="140">
        <v>0</v>
      </c>
    </row>
    <row r="198" spans="1:12" x14ac:dyDescent="0.3">
      <c r="A198" s="139" t="s">
        <v>835</v>
      </c>
      <c r="B198" s="17" t="s">
        <v>836</v>
      </c>
      <c r="C198" s="140">
        <v>0</v>
      </c>
      <c r="D198" s="140">
        <v>0</v>
      </c>
      <c r="E198" s="140">
        <v>473.3</v>
      </c>
      <c r="F198" s="140">
        <v>0</v>
      </c>
      <c r="G198" s="140">
        <v>31.580000000000002</v>
      </c>
      <c r="H198" s="140">
        <v>0</v>
      </c>
      <c r="I198" s="140">
        <v>504.88</v>
      </c>
      <c r="J198" s="140">
        <v>0</v>
      </c>
      <c r="K198" s="140">
        <v>504.88</v>
      </c>
      <c r="L198" s="140">
        <v>0</v>
      </c>
    </row>
    <row r="199" spans="1:12" x14ac:dyDescent="0.3">
      <c r="A199" s="139" t="s">
        <v>837</v>
      </c>
      <c r="B199" s="17" t="s">
        <v>838</v>
      </c>
      <c r="C199" s="140">
        <v>0</v>
      </c>
      <c r="D199" s="140">
        <v>0</v>
      </c>
      <c r="E199" s="140">
        <v>187.82</v>
      </c>
      <c r="F199" s="140">
        <v>0</v>
      </c>
      <c r="G199" s="140">
        <v>12.530000000000001</v>
      </c>
      <c r="H199" s="140">
        <v>0</v>
      </c>
      <c r="I199" s="140">
        <v>200.35</v>
      </c>
      <c r="J199" s="140">
        <v>0</v>
      </c>
      <c r="K199" s="140">
        <v>200.35</v>
      </c>
      <c r="L199" s="140">
        <v>0</v>
      </c>
    </row>
    <row r="200" spans="1:12" x14ac:dyDescent="0.3">
      <c r="A200" s="139" t="s">
        <v>839</v>
      </c>
      <c r="B200" s="17" t="s">
        <v>840</v>
      </c>
      <c r="C200" s="140">
        <v>0</v>
      </c>
      <c r="D200" s="140">
        <v>0</v>
      </c>
      <c r="E200" s="140">
        <v>0</v>
      </c>
      <c r="F200" s="140">
        <v>0</v>
      </c>
      <c r="G200" s="140">
        <v>-108.33</v>
      </c>
      <c r="H200" s="140">
        <v>0</v>
      </c>
      <c r="I200" s="140">
        <v>-108.33</v>
      </c>
      <c r="J200" s="140">
        <v>0</v>
      </c>
      <c r="K200" s="140">
        <v>-108.33</v>
      </c>
      <c r="L200" s="140">
        <v>0</v>
      </c>
    </row>
    <row r="201" spans="1:12" x14ac:dyDescent="0.3">
      <c r="A201" s="139" t="s">
        <v>841</v>
      </c>
      <c r="B201" s="17" t="s">
        <v>842</v>
      </c>
      <c r="C201" s="140">
        <v>0</v>
      </c>
      <c r="D201" s="140">
        <v>0</v>
      </c>
      <c r="E201" s="140">
        <v>0</v>
      </c>
      <c r="F201" s="140">
        <v>0</v>
      </c>
      <c r="G201" s="140">
        <v>-42.99</v>
      </c>
      <c r="H201" s="140">
        <v>0</v>
      </c>
      <c r="I201" s="140">
        <v>-42.99</v>
      </c>
      <c r="J201" s="140">
        <v>0</v>
      </c>
      <c r="K201" s="140">
        <v>-42.99</v>
      </c>
      <c r="L201" s="140">
        <v>0</v>
      </c>
    </row>
    <row r="202" spans="1:12" x14ac:dyDescent="0.3">
      <c r="A202" s="139" t="s">
        <v>843</v>
      </c>
      <c r="B202" s="17" t="s">
        <v>844</v>
      </c>
      <c r="C202" s="140">
        <v>0</v>
      </c>
      <c r="D202" s="140">
        <v>0</v>
      </c>
      <c r="E202" s="140">
        <v>-327.60000000000002</v>
      </c>
      <c r="F202" s="140">
        <v>0</v>
      </c>
      <c r="G202" s="140">
        <v>478.8</v>
      </c>
      <c r="H202" s="140">
        <v>0</v>
      </c>
      <c r="I202" s="140">
        <v>151.20000000000002</v>
      </c>
      <c r="J202" s="140">
        <v>0</v>
      </c>
      <c r="K202" s="140">
        <v>151.20000000000002</v>
      </c>
      <c r="L202" s="140">
        <v>0</v>
      </c>
    </row>
    <row r="203" spans="1:12" x14ac:dyDescent="0.3">
      <c r="A203" s="139" t="s">
        <v>845</v>
      </c>
      <c r="B203" s="17" t="s">
        <v>846</v>
      </c>
      <c r="C203" s="140">
        <v>0</v>
      </c>
      <c r="D203" s="140">
        <v>0</v>
      </c>
      <c r="E203" s="140">
        <v>-130</v>
      </c>
      <c r="F203" s="140">
        <v>0</v>
      </c>
      <c r="G203" s="140">
        <v>190</v>
      </c>
      <c r="H203" s="140">
        <v>0</v>
      </c>
      <c r="I203" s="140">
        <v>60</v>
      </c>
      <c r="J203" s="140">
        <v>0</v>
      </c>
      <c r="K203" s="140">
        <v>60</v>
      </c>
      <c r="L203" s="140">
        <v>0</v>
      </c>
    </row>
    <row r="204" spans="1:12" x14ac:dyDescent="0.3">
      <c r="A204" s="139" t="s">
        <v>847</v>
      </c>
      <c r="B204" s="17" t="s">
        <v>848</v>
      </c>
      <c r="C204" s="140">
        <v>0</v>
      </c>
      <c r="D204" s="140">
        <v>0</v>
      </c>
      <c r="E204" s="140">
        <v>0</v>
      </c>
      <c r="F204" s="140">
        <v>0</v>
      </c>
      <c r="G204" s="140">
        <v>21</v>
      </c>
      <c r="H204" s="140">
        <v>0</v>
      </c>
      <c r="I204" s="140">
        <v>21</v>
      </c>
      <c r="J204" s="140">
        <v>0</v>
      </c>
      <c r="K204" s="140">
        <v>21</v>
      </c>
      <c r="L204" s="140">
        <v>0</v>
      </c>
    </row>
    <row r="205" spans="1:12" x14ac:dyDescent="0.3">
      <c r="A205" s="139" t="s">
        <v>849</v>
      </c>
      <c r="B205" s="17" t="s">
        <v>850</v>
      </c>
      <c r="C205" s="140">
        <v>0</v>
      </c>
      <c r="D205" s="140">
        <v>0</v>
      </c>
      <c r="E205" s="140">
        <v>0</v>
      </c>
      <c r="F205" s="140">
        <v>0</v>
      </c>
      <c r="G205" s="140">
        <v>8.33</v>
      </c>
      <c r="H205" s="140">
        <v>0</v>
      </c>
      <c r="I205" s="140">
        <v>8.33</v>
      </c>
      <c r="J205" s="140">
        <v>0</v>
      </c>
      <c r="K205" s="140">
        <v>8.33</v>
      </c>
      <c r="L205" s="140">
        <v>0</v>
      </c>
    </row>
    <row r="206" spans="1:12" x14ac:dyDescent="0.3">
      <c r="A206" s="139" t="s">
        <v>851</v>
      </c>
      <c r="B206" s="17" t="s">
        <v>852</v>
      </c>
      <c r="C206" s="140">
        <v>0</v>
      </c>
      <c r="D206" s="140">
        <v>0</v>
      </c>
      <c r="E206" s="140">
        <v>1552.58</v>
      </c>
      <c r="F206" s="140">
        <v>0</v>
      </c>
      <c r="G206" s="140">
        <v>63.99</v>
      </c>
      <c r="H206" s="140">
        <v>0</v>
      </c>
      <c r="I206" s="140">
        <v>1616.57</v>
      </c>
      <c r="J206" s="140">
        <v>0</v>
      </c>
      <c r="K206" s="140">
        <v>1616.57</v>
      </c>
      <c r="L206" s="140">
        <v>0</v>
      </c>
    </row>
    <row r="207" spans="1:12" x14ac:dyDescent="0.3">
      <c r="A207" s="139" t="s">
        <v>853</v>
      </c>
      <c r="B207" s="17" t="s">
        <v>854</v>
      </c>
      <c r="C207" s="140">
        <v>0</v>
      </c>
      <c r="D207" s="140">
        <v>0</v>
      </c>
      <c r="E207" s="140">
        <v>179.21</v>
      </c>
      <c r="F207" s="140">
        <v>0</v>
      </c>
      <c r="G207" s="140">
        <v>16.080000000000002</v>
      </c>
      <c r="H207" s="140">
        <v>0</v>
      </c>
      <c r="I207" s="140">
        <v>195.29</v>
      </c>
      <c r="J207" s="140">
        <v>0</v>
      </c>
      <c r="K207" s="140">
        <v>195.29</v>
      </c>
      <c r="L207" s="140">
        <v>0</v>
      </c>
    </row>
    <row r="208" spans="1:12" x14ac:dyDescent="0.3">
      <c r="A208" s="139" t="s">
        <v>855</v>
      </c>
      <c r="B208" s="17" t="s">
        <v>856</v>
      </c>
      <c r="C208" s="140">
        <v>0</v>
      </c>
      <c r="D208" s="140">
        <v>0</v>
      </c>
      <c r="E208" s="140">
        <v>465.27</v>
      </c>
      <c r="F208" s="140">
        <v>0</v>
      </c>
      <c r="G208" s="140">
        <v>0</v>
      </c>
      <c r="H208" s="140">
        <v>0</v>
      </c>
      <c r="I208" s="140">
        <v>465.27</v>
      </c>
      <c r="J208" s="140">
        <v>0</v>
      </c>
      <c r="K208" s="140">
        <v>465.27</v>
      </c>
      <c r="L208" s="140">
        <v>0</v>
      </c>
    </row>
    <row r="209" spans="1:12" x14ac:dyDescent="0.3">
      <c r="A209" s="139" t="s">
        <v>857</v>
      </c>
      <c r="B209" s="17" t="s">
        <v>858</v>
      </c>
      <c r="C209" s="140">
        <v>0</v>
      </c>
      <c r="D209" s="140">
        <v>0</v>
      </c>
      <c r="E209" s="140">
        <v>576.20000000000005</v>
      </c>
      <c r="F209" s="140">
        <v>0</v>
      </c>
      <c r="G209" s="140">
        <v>108.5</v>
      </c>
      <c r="H209" s="140">
        <v>17.5</v>
      </c>
      <c r="I209" s="140">
        <v>716.7</v>
      </c>
      <c r="J209" s="140">
        <v>49.5</v>
      </c>
      <c r="K209" s="140">
        <v>667.2</v>
      </c>
      <c r="L209" s="140">
        <v>0</v>
      </c>
    </row>
    <row r="210" spans="1:12" x14ac:dyDescent="0.3">
      <c r="A210" s="139" t="s">
        <v>859</v>
      </c>
      <c r="B210" s="17" t="s">
        <v>860</v>
      </c>
      <c r="C210" s="140">
        <v>0</v>
      </c>
      <c r="D210" s="140">
        <v>0</v>
      </c>
      <c r="E210" s="140">
        <v>735.77</v>
      </c>
      <c r="F210" s="140">
        <v>0</v>
      </c>
      <c r="G210" s="140">
        <v>0</v>
      </c>
      <c r="H210" s="140">
        <v>0</v>
      </c>
      <c r="I210" s="140">
        <v>735.77</v>
      </c>
      <c r="J210" s="140">
        <v>0</v>
      </c>
      <c r="K210" s="140">
        <v>735.77</v>
      </c>
      <c r="L210" s="140">
        <v>0</v>
      </c>
    </row>
    <row r="211" spans="1:12" x14ac:dyDescent="0.3">
      <c r="A211" s="139" t="s">
        <v>861</v>
      </c>
      <c r="B211" s="17" t="s">
        <v>862</v>
      </c>
      <c r="C211" s="140">
        <v>0</v>
      </c>
      <c r="D211" s="140">
        <v>0</v>
      </c>
      <c r="E211" s="140">
        <v>1143.47</v>
      </c>
      <c r="F211" s="140">
        <v>0</v>
      </c>
      <c r="G211" s="140">
        <v>104.84</v>
      </c>
      <c r="H211" s="140">
        <v>0</v>
      </c>
      <c r="I211" s="140">
        <v>1248.31</v>
      </c>
      <c r="J211" s="140">
        <v>0</v>
      </c>
      <c r="K211" s="140">
        <v>1248.31</v>
      </c>
      <c r="L211" s="140">
        <v>0</v>
      </c>
    </row>
    <row r="212" spans="1:12" x14ac:dyDescent="0.3">
      <c r="A212" s="139" t="s">
        <v>863</v>
      </c>
      <c r="B212" s="17" t="s">
        <v>864</v>
      </c>
      <c r="C212" s="140">
        <v>0</v>
      </c>
      <c r="D212" s="140">
        <v>0</v>
      </c>
      <c r="E212" s="140">
        <v>60</v>
      </c>
      <c r="F212" s="140">
        <v>0</v>
      </c>
      <c r="G212" s="140">
        <v>0</v>
      </c>
      <c r="H212" s="140">
        <v>0</v>
      </c>
      <c r="I212" s="140">
        <v>60</v>
      </c>
      <c r="J212" s="140">
        <v>0</v>
      </c>
      <c r="K212" s="140">
        <v>60</v>
      </c>
      <c r="L212" s="140">
        <v>0</v>
      </c>
    </row>
    <row r="213" spans="1:12" x14ac:dyDescent="0.3">
      <c r="A213" s="139" t="s">
        <v>865</v>
      </c>
      <c r="B213" s="17" t="s">
        <v>866</v>
      </c>
      <c r="C213" s="140">
        <v>0</v>
      </c>
      <c r="D213" s="140">
        <v>0</v>
      </c>
      <c r="E213" s="140">
        <v>76.55</v>
      </c>
      <c r="F213" s="140">
        <v>0</v>
      </c>
      <c r="G213" s="140">
        <v>7.5600000000000005</v>
      </c>
      <c r="H213" s="140">
        <v>0</v>
      </c>
      <c r="I213" s="140">
        <v>84.11</v>
      </c>
      <c r="J213" s="140">
        <v>0</v>
      </c>
      <c r="K213" s="140">
        <v>84.11</v>
      </c>
      <c r="L213" s="140">
        <v>0</v>
      </c>
    </row>
    <row r="214" spans="1:12" x14ac:dyDescent="0.3">
      <c r="A214" s="139" t="s">
        <v>867</v>
      </c>
      <c r="B214" s="17" t="s">
        <v>868</v>
      </c>
      <c r="C214" s="140">
        <v>0</v>
      </c>
      <c r="D214" s="140">
        <v>0</v>
      </c>
      <c r="E214" s="140">
        <v>0</v>
      </c>
      <c r="F214" s="140">
        <v>0</v>
      </c>
      <c r="G214" s="140">
        <v>0</v>
      </c>
      <c r="H214" s="140">
        <v>0</v>
      </c>
      <c r="I214" s="140">
        <v>0</v>
      </c>
      <c r="J214" s="140">
        <v>0</v>
      </c>
      <c r="K214" s="140">
        <v>0</v>
      </c>
      <c r="L214" s="140">
        <v>0</v>
      </c>
    </row>
    <row r="215" spans="1:12" x14ac:dyDescent="0.3">
      <c r="A215" s="139" t="s">
        <v>869</v>
      </c>
      <c r="B215" s="17" t="s">
        <v>870</v>
      </c>
      <c r="C215" s="140">
        <v>0</v>
      </c>
      <c r="D215" s="140">
        <v>0</v>
      </c>
      <c r="E215" s="140">
        <v>356</v>
      </c>
      <c r="F215" s="140">
        <v>0</v>
      </c>
      <c r="G215" s="140">
        <v>0</v>
      </c>
      <c r="H215" s="140">
        <v>0</v>
      </c>
      <c r="I215" s="140">
        <v>356</v>
      </c>
      <c r="J215" s="140">
        <v>0</v>
      </c>
      <c r="K215" s="140">
        <v>356</v>
      </c>
      <c r="L215" s="140">
        <v>0</v>
      </c>
    </row>
    <row r="216" spans="1:12" x14ac:dyDescent="0.3">
      <c r="A216" s="139" t="s">
        <v>871</v>
      </c>
      <c r="B216" s="17" t="s">
        <v>603</v>
      </c>
      <c r="C216" s="140">
        <v>0</v>
      </c>
      <c r="D216" s="140">
        <v>0</v>
      </c>
      <c r="E216" s="140">
        <v>55.68</v>
      </c>
      <c r="F216" s="140">
        <v>0</v>
      </c>
      <c r="G216" s="140">
        <v>0</v>
      </c>
      <c r="H216" s="140">
        <v>0</v>
      </c>
      <c r="I216" s="140">
        <v>55.68</v>
      </c>
      <c r="J216" s="140">
        <v>0</v>
      </c>
      <c r="K216" s="140">
        <v>55.68</v>
      </c>
      <c r="L216" s="140">
        <v>0</v>
      </c>
    </row>
    <row r="217" spans="1:12" x14ac:dyDescent="0.3">
      <c r="A217" s="139" t="s">
        <v>872</v>
      </c>
      <c r="B217" s="17" t="s">
        <v>873</v>
      </c>
      <c r="C217" s="140">
        <v>0</v>
      </c>
      <c r="D217" s="140">
        <v>0</v>
      </c>
      <c r="E217" s="140">
        <v>500</v>
      </c>
      <c r="F217" s="140">
        <v>0</v>
      </c>
      <c r="G217" s="140">
        <v>0</v>
      </c>
      <c r="H217" s="140">
        <v>0</v>
      </c>
      <c r="I217" s="140">
        <v>500</v>
      </c>
      <c r="J217" s="140">
        <v>0</v>
      </c>
      <c r="K217" s="140">
        <v>500</v>
      </c>
      <c r="L217" s="140">
        <v>0</v>
      </c>
    </row>
    <row r="218" spans="1:12" x14ac:dyDescent="0.3">
      <c r="A218" s="139" t="s">
        <v>874</v>
      </c>
      <c r="B218" s="17" t="s">
        <v>875</v>
      </c>
      <c r="C218" s="140">
        <v>0</v>
      </c>
      <c r="D218" s="140">
        <v>0</v>
      </c>
      <c r="E218" s="140">
        <v>-6.91</v>
      </c>
      <c r="F218" s="140">
        <v>0</v>
      </c>
      <c r="G218" s="140">
        <v>162.54</v>
      </c>
      <c r="H218" s="140">
        <v>162.56</v>
      </c>
      <c r="I218" s="140">
        <v>4566.55</v>
      </c>
      <c r="J218" s="140">
        <v>4573.4800000000005</v>
      </c>
      <c r="K218" s="140">
        <v>-6.93</v>
      </c>
      <c r="L218" s="140">
        <v>0</v>
      </c>
    </row>
    <row r="219" spans="1:12" x14ac:dyDescent="0.3">
      <c r="A219" s="139" t="s">
        <v>876</v>
      </c>
      <c r="B219" s="17" t="s">
        <v>877</v>
      </c>
      <c r="C219" s="140">
        <v>0</v>
      </c>
      <c r="D219" s="140">
        <v>0</v>
      </c>
      <c r="E219" s="140">
        <v>0.72</v>
      </c>
      <c r="F219" s="140">
        <v>0</v>
      </c>
      <c r="G219" s="140">
        <v>0.35000000000000003</v>
      </c>
      <c r="H219" s="140">
        <v>0</v>
      </c>
      <c r="I219" s="140">
        <v>1.07</v>
      </c>
      <c r="J219" s="140">
        <v>0</v>
      </c>
      <c r="K219" s="140">
        <v>1.07</v>
      </c>
      <c r="L219" s="140">
        <v>0</v>
      </c>
    </row>
    <row r="220" spans="1:12" x14ac:dyDescent="0.3">
      <c r="A220" s="139" t="s">
        <v>878</v>
      </c>
      <c r="B220" s="17" t="s">
        <v>879</v>
      </c>
      <c r="C220" s="140">
        <v>0</v>
      </c>
      <c r="D220" s="140">
        <v>0</v>
      </c>
      <c r="E220" s="140">
        <v>634.34</v>
      </c>
      <c r="F220" s="140">
        <v>0</v>
      </c>
      <c r="G220" s="140">
        <v>52.68</v>
      </c>
      <c r="H220" s="140">
        <v>0</v>
      </c>
      <c r="I220" s="140">
        <v>687.02</v>
      </c>
      <c r="J220" s="140">
        <v>0</v>
      </c>
      <c r="K220" s="140">
        <v>687.02</v>
      </c>
      <c r="L220" s="140">
        <v>0</v>
      </c>
    </row>
    <row r="221" spans="1:12" x14ac:dyDescent="0.3">
      <c r="A221" s="139" t="s">
        <v>880</v>
      </c>
      <c r="B221" s="17" t="s">
        <v>881</v>
      </c>
      <c r="C221" s="140">
        <v>0</v>
      </c>
      <c r="D221" s="140">
        <v>0</v>
      </c>
      <c r="E221" s="140">
        <v>130</v>
      </c>
      <c r="F221" s="140">
        <v>0</v>
      </c>
      <c r="G221" s="140">
        <v>0</v>
      </c>
      <c r="H221" s="140">
        <v>0</v>
      </c>
      <c r="I221" s="140">
        <v>130</v>
      </c>
      <c r="J221" s="140">
        <v>0</v>
      </c>
      <c r="K221" s="140">
        <v>130</v>
      </c>
      <c r="L221" s="140">
        <v>0</v>
      </c>
    </row>
    <row r="222" spans="1:12" x14ac:dyDescent="0.3">
      <c r="A222" s="139" t="s">
        <v>882</v>
      </c>
      <c r="B222" s="17" t="s">
        <v>883</v>
      </c>
      <c r="C222" s="140">
        <v>0</v>
      </c>
      <c r="D222" s="140">
        <v>0</v>
      </c>
      <c r="E222" s="140">
        <v>26.98</v>
      </c>
      <c r="F222" s="140">
        <v>0</v>
      </c>
      <c r="G222" s="140">
        <v>2.19</v>
      </c>
      <c r="H222" s="140">
        <v>0</v>
      </c>
      <c r="I222" s="140">
        <v>29.17</v>
      </c>
      <c r="J222" s="140">
        <v>0</v>
      </c>
      <c r="K222" s="140">
        <v>29.17</v>
      </c>
      <c r="L222" s="140">
        <v>0</v>
      </c>
    </row>
    <row r="223" spans="1:12" x14ac:dyDescent="0.3">
      <c r="A223" s="139" t="s">
        <v>884</v>
      </c>
      <c r="B223" s="17" t="s">
        <v>885</v>
      </c>
      <c r="C223" s="140">
        <v>0</v>
      </c>
      <c r="D223" s="140">
        <v>0</v>
      </c>
      <c r="E223" s="140">
        <v>24.71</v>
      </c>
      <c r="F223" s="140">
        <v>0</v>
      </c>
      <c r="G223" s="140">
        <v>0</v>
      </c>
      <c r="H223" s="140">
        <v>0</v>
      </c>
      <c r="I223" s="140">
        <v>24.71</v>
      </c>
      <c r="J223" s="140">
        <v>0</v>
      </c>
      <c r="K223" s="140">
        <v>24.71</v>
      </c>
      <c r="L223" s="140">
        <v>0</v>
      </c>
    </row>
    <row r="224" spans="1:12" x14ac:dyDescent="0.3">
      <c r="A224" s="139" t="s">
        <v>886</v>
      </c>
      <c r="B224" s="17" t="s">
        <v>887</v>
      </c>
      <c r="C224" s="140">
        <v>0</v>
      </c>
      <c r="D224" s="140">
        <v>0</v>
      </c>
      <c r="E224" s="140">
        <v>0</v>
      </c>
      <c r="F224" s="140">
        <v>0</v>
      </c>
      <c r="G224" s="140">
        <v>0</v>
      </c>
      <c r="H224" s="140">
        <v>0</v>
      </c>
      <c r="I224" s="140">
        <v>38.51</v>
      </c>
      <c r="J224" s="140">
        <v>38.51</v>
      </c>
      <c r="K224" s="140">
        <v>0</v>
      </c>
      <c r="L224" s="140">
        <v>0</v>
      </c>
    </row>
    <row r="225" spans="1:12" x14ac:dyDescent="0.3">
      <c r="A225" s="139" t="s">
        <v>888</v>
      </c>
      <c r="B225" s="17" t="s">
        <v>889</v>
      </c>
      <c r="C225" s="140">
        <v>0</v>
      </c>
      <c r="D225" s="140">
        <v>0</v>
      </c>
      <c r="E225" s="140">
        <v>1414.27</v>
      </c>
      <c r="F225" s="140">
        <v>0</v>
      </c>
      <c r="G225" s="140">
        <v>128.57</v>
      </c>
      <c r="H225" s="140">
        <v>0</v>
      </c>
      <c r="I225" s="140">
        <v>1542.8400000000001</v>
      </c>
      <c r="J225" s="140">
        <v>0</v>
      </c>
      <c r="K225" s="140">
        <v>1542.8400000000001</v>
      </c>
      <c r="L225" s="140">
        <v>0</v>
      </c>
    </row>
    <row r="226" spans="1:12" x14ac:dyDescent="0.3">
      <c r="A226" s="139" t="s">
        <v>890</v>
      </c>
      <c r="B226" s="17" t="s">
        <v>891</v>
      </c>
      <c r="C226" s="140">
        <v>0</v>
      </c>
      <c r="D226" s="140">
        <v>0</v>
      </c>
      <c r="E226" s="140">
        <v>1310.1000000000001</v>
      </c>
      <c r="F226" s="140">
        <v>0</v>
      </c>
      <c r="G226" s="140">
        <v>119.10000000000001</v>
      </c>
      <c r="H226" s="140">
        <v>0</v>
      </c>
      <c r="I226" s="140">
        <v>1429.2</v>
      </c>
      <c r="J226" s="140">
        <v>0</v>
      </c>
      <c r="K226" s="140">
        <v>1429.2</v>
      </c>
      <c r="L226" s="140">
        <v>0</v>
      </c>
    </row>
    <row r="227" spans="1:12" x14ac:dyDescent="0.3">
      <c r="A227" s="139" t="s">
        <v>892</v>
      </c>
      <c r="B227" s="17" t="s">
        <v>893</v>
      </c>
      <c r="C227" s="140">
        <v>0</v>
      </c>
      <c r="D227" s="140">
        <v>0</v>
      </c>
      <c r="E227" s="140">
        <v>720.83</v>
      </c>
      <c r="F227" s="140">
        <v>0</v>
      </c>
      <c r="G227" s="140">
        <v>65.53</v>
      </c>
      <c r="H227" s="140">
        <v>0</v>
      </c>
      <c r="I227" s="140">
        <v>786.36</v>
      </c>
      <c r="J227" s="140">
        <v>0</v>
      </c>
      <c r="K227" s="140">
        <v>786.36</v>
      </c>
      <c r="L227" s="140">
        <v>0</v>
      </c>
    </row>
    <row r="228" spans="1:12" x14ac:dyDescent="0.3">
      <c r="A228" s="139" t="s">
        <v>894</v>
      </c>
      <c r="B228" s="17" t="s">
        <v>895</v>
      </c>
      <c r="C228" s="140">
        <v>0</v>
      </c>
      <c r="D228" s="140">
        <v>0</v>
      </c>
      <c r="E228" s="140">
        <v>331.76</v>
      </c>
      <c r="F228" s="140">
        <v>0</v>
      </c>
      <c r="G228" s="140">
        <v>30.16</v>
      </c>
      <c r="H228" s="140">
        <v>0</v>
      </c>
      <c r="I228" s="140">
        <v>361.92</v>
      </c>
      <c r="J228" s="140">
        <v>0</v>
      </c>
      <c r="K228" s="140">
        <v>361.92</v>
      </c>
      <c r="L228" s="140">
        <v>0</v>
      </c>
    </row>
    <row r="229" spans="1:12" x14ac:dyDescent="0.3">
      <c r="A229" s="139" t="s">
        <v>896</v>
      </c>
      <c r="B229" s="17" t="s">
        <v>897</v>
      </c>
      <c r="C229" s="140">
        <v>0</v>
      </c>
      <c r="D229" s="140">
        <v>0</v>
      </c>
      <c r="E229" s="140">
        <v>116.7</v>
      </c>
      <c r="F229" s="140">
        <v>0</v>
      </c>
      <c r="G229" s="140">
        <v>23.34</v>
      </c>
      <c r="H229" s="140">
        <v>0</v>
      </c>
      <c r="I229" s="140">
        <v>140.04</v>
      </c>
      <c r="J229" s="140">
        <v>0</v>
      </c>
      <c r="K229" s="140">
        <v>140.04</v>
      </c>
      <c r="L229" s="140">
        <v>0</v>
      </c>
    </row>
    <row r="230" spans="1:12" x14ac:dyDescent="0.3">
      <c r="A230" s="139" t="s">
        <v>898</v>
      </c>
      <c r="B230" s="17" t="s">
        <v>899</v>
      </c>
      <c r="C230" s="140">
        <v>0</v>
      </c>
      <c r="D230" s="140">
        <v>0</v>
      </c>
      <c r="E230" s="140">
        <v>1122.8</v>
      </c>
      <c r="F230" s="140">
        <v>0</v>
      </c>
      <c r="G230" s="140">
        <v>113.56</v>
      </c>
      <c r="H230" s="140">
        <v>0</v>
      </c>
      <c r="I230" s="140">
        <v>1236.3600000000001</v>
      </c>
      <c r="J230" s="140">
        <v>0</v>
      </c>
      <c r="K230" s="140">
        <v>1236.3600000000001</v>
      </c>
      <c r="L230" s="140">
        <v>0</v>
      </c>
    </row>
    <row r="231" spans="1:12" x14ac:dyDescent="0.3">
      <c r="A231" s="139" t="s">
        <v>900</v>
      </c>
      <c r="B231" s="17" t="s">
        <v>901</v>
      </c>
      <c r="C231" s="140">
        <v>0</v>
      </c>
      <c r="D231" s="140">
        <v>0</v>
      </c>
      <c r="E231" s="140">
        <v>1004.72</v>
      </c>
      <c r="F231" s="140">
        <v>0</v>
      </c>
      <c r="G231" s="140">
        <v>94.54</v>
      </c>
      <c r="H231" s="140">
        <v>0</v>
      </c>
      <c r="I231" s="140">
        <v>1099.26</v>
      </c>
      <c r="J231" s="140">
        <v>0</v>
      </c>
      <c r="K231" s="140">
        <v>1099.26</v>
      </c>
      <c r="L231" s="140">
        <v>0</v>
      </c>
    </row>
    <row r="232" spans="1:12" x14ac:dyDescent="0.3">
      <c r="A232" s="139" t="s">
        <v>902</v>
      </c>
      <c r="B232" s="17" t="s">
        <v>903</v>
      </c>
      <c r="C232" s="140">
        <v>0</v>
      </c>
      <c r="D232" s="140">
        <v>0</v>
      </c>
      <c r="E232" s="140">
        <v>0</v>
      </c>
      <c r="F232" s="140">
        <v>0</v>
      </c>
      <c r="G232" s="140">
        <v>0</v>
      </c>
      <c r="H232" s="140">
        <v>0</v>
      </c>
      <c r="I232" s="140">
        <v>0</v>
      </c>
      <c r="J232" s="140">
        <v>0</v>
      </c>
      <c r="K232" s="140">
        <v>0</v>
      </c>
      <c r="L232" s="140">
        <v>0</v>
      </c>
    </row>
    <row r="233" spans="1:12" x14ac:dyDescent="0.3">
      <c r="A233" s="139" t="s">
        <v>904</v>
      </c>
      <c r="B233" s="17" t="s">
        <v>905</v>
      </c>
      <c r="C233" s="140">
        <v>0</v>
      </c>
      <c r="D233" s="140">
        <v>0</v>
      </c>
      <c r="E233" s="140">
        <v>0</v>
      </c>
      <c r="F233" s="140">
        <v>0</v>
      </c>
      <c r="G233" s="140">
        <v>0</v>
      </c>
      <c r="H233" s="140">
        <v>0</v>
      </c>
      <c r="I233" s="140">
        <v>0</v>
      </c>
      <c r="J233" s="140">
        <v>0</v>
      </c>
      <c r="K233" s="140">
        <v>0</v>
      </c>
      <c r="L233" s="140">
        <v>0</v>
      </c>
    </row>
    <row r="234" spans="1:12" x14ac:dyDescent="0.3">
      <c r="A234" s="139" t="s">
        <v>906</v>
      </c>
      <c r="B234" s="17" t="s">
        <v>907</v>
      </c>
      <c r="C234" s="140">
        <v>0</v>
      </c>
      <c r="D234" s="140">
        <v>0</v>
      </c>
      <c r="E234" s="140">
        <v>385.19</v>
      </c>
      <c r="F234" s="140">
        <v>0</v>
      </c>
      <c r="G234" s="140">
        <v>36.1</v>
      </c>
      <c r="H234" s="140">
        <v>0</v>
      </c>
      <c r="I234" s="140">
        <v>421.29</v>
      </c>
      <c r="J234" s="140">
        <v>0</v>
      </c>
      <c r="K234" s="140">
        <v>421.29</v>
      </c>
      <c r="L234" s="140">
        <v>0</v>
      </c>
    </row>
    <row r="235" spans="1:12" x14ac:dyDescent="0.3">
      <c r="A235" s="139" t="s">
        <v>908</v>
      </c>
      <c r="B235" s="17" t="s">
        <v>909</v>
      </c>
      <c r="C235" s="140">
        <v>0</v>
      </c>
      <c r="D235" s="140">
        <v>0</v>
      </c>
      <c r="E235" s="140">
        <v>612.41999999999996</v>
      </c>
      <c r="F235" s="140">
        <v>0</v>
      </c>
      <c r="G235" s="140">
        <v>70.19</v>
      </c>
      <c r="H235" s="140">
        <v>0</v>
      </c>
      <c r="I235" s="140">
        <v>682.61</v>
      </c>
      <c r="J235" s="140">
        <v>0</v>
      </c>
      <c r="K235" s="140">
        <v>682.61</v>
      </c>
      <c r="L235" s="140">
        <v>0</v>
      </c>
    </row>
    <row r="236" spans="1:12" x14ac:dyDescent="0.3">
      <c r="A236" s="139" t="s">
        <v>910</v>
      </c>
      <c r="B236" s="17" t="s">
        <v>911</v>
      </c>
      <c r="C236" s="140">
        <v>0</v>
      </c>
      <c r="D236" s="140">
        <v>0</v>
      </c>
      <c r="E236" s="140">
        <v>0</v>
      </c>
      <c r="F236" s="140">
        <v>0</v>
      </c>
      <c r="G236" s="140">
        <v>4058.86</v>
      </c>
      <c r="H236" s="140">
        <v>0</v>
      </c>
      <c r="I236" s="140">
        <v>4058.86</v>
      </c>
      <c r="J236" s="140">
        <v>0</v>
      </c>
      <c r="K236" s="140">
        <v>4058.86</v>
      </c>
      <c r="L236" s="140">
        <v>0</v>
      </c>
    </row>
    <row r="237" spans="1:12" x14ac:dyDescent="0.3">
      <c r="A237" s="139" t="s">
        <v>912</v>
      </c>
      <c r="B237" s="17" t="s">
        <v>258</v>
      </c>
      <c r="C237" s="140">
        <v>0</v>
      </c>
      <c r="D237" s="140">
        <v>0</v>
      </c>
      <c r="E237" s="140">
        <v>0</v>
      </c>
      <c r="F237" s="140">
        <v>0</v>
      </c>
      <c r="G237" s="140">
        <v>1357.8</v>
      </c>
      <c r="H237" s="140">
        <v>1803.26</v>
      </c>
      <c r="I237" s="140">
        <v>1357.8</v>
      </c>
      <c r="J237" s="140">
        <v>1803.26</v>
      </c>
      <c r="K237" s="140">
        <v>-445.46000000000004</v>
      </c>
      <c r="L237" s="140">
        <v>0</v>
      </c>
    </row>
    <row r="238" spans="1:12" x14ac:dyDescent="0.3">
      <c r="A238" s="139" t="s">
        <v>913</v>
      </c>
      <c r="B238" s="17" t="s">
        <v>914</v>
      </c>
      <c r="C238" s="140">
        <v>0</v>
      </c>
      <c r="D238" s="140">
        <v>0</v>
      </c>
      <c r="E238" s="140">
        <v>0</v>
      </c>
      <c r="F238" s="140">
        <v>28.400000000000002</v>
      </c>
      <c r="G238" s="140">
        <v>0</v>
      </c>
      <c r="H238" s="140">
        <v>0</v>
      </c>
      <c r="I238" s="140">
        <v>0</v>
      </c>
      <c r="J238" s="140">
        <v>28.400000000000002</v>
      </c>
      <c r="K238" s="140">
        <v>0</v>
      </c>
      <c r="L238" s="140">
        <v>28.400000000000002</v>
      </c>
    </row>
    <row r="239" spans="1:12" x14ac:dyDescent="0.3">
      <c r="A239" s="139" t="s">
        <v>915</v>
      </c>
      <c r="B239" s="17" t="s">
        <v>916</v>
      </c>
      <c r="C239" s="140">
        <v>0</v>
      </c>
      <c r="D239" s="140">
        <v>0</v>
      </c>
      <c r="E239" s="140">
        <v>0</v>
      </c>
      <c r="F239" s="140">
        <v>112.7</v>
      </c>
      <c r="G239" s="140">
        <v>0</v>
      </c>
      <c r="H239" s="140">
        <v>0</v>
      </c>
      <c r="I239" s="140">
        <v>0</v>
      </c>
      <c r="J239" s="140">
        <v>112.7</v>
      </c>
      <c r="K239" s="140">
        <v>0</v>
      </c>
      <c r="L239" s="140">
        <v>112.7</v>
      </c>
    </row>
    <row r="240" spans="1:12" x14ac:dyDescent="0.3">
      <c r="A240" s="139" t="s">
        <v>917</v>
      </c>
      <c r="B240" s="17" t="s">
        <v>918</v>
      </c>
      <c r="C240" s="140">
        <v>0</v>
      </c>
      <c r="D240" s="140">
        <v>0</v>
      </c>
      <c r="E240" s="140">
        <v>0</v>
      </c>
      <c r="F240" s="140">
        <v>0</v>
      </c>
      <c r="G240" s="140">
        <v>0</v>
      </c>
      <c r="H240" s="140">
        <v>0</v>
      </c>
      <c r="I240" s="140">
        <v>0</v>
      </c>
      <c r="J240" s="140">
        <v>0</v>
      </c>
      <c r="K240" s="140">
        <v>0</v>
      </c>
      <c r="L240" s="140">
        <v>0</v>
      </c>
    </row>
    <row r="241" spans="1:12" x14ac:dyDescent="0.3">
      <c r="A241" s="139" t="s">
        <v>919</v>
      </c>
      <c r="B241" s="17" t="s">
        <v>920</v>
      </c>
      <c r="C241" s="140">
        <v>0</v>
      </c>
      <c r="D241" s="140">
        <v>0</v>
      </c>
      <c r="E241" s="140">
        <v>0</v>
      </c>
      <c r="F241" s="140">
        <v>25.97</v>
      </c>
      <c r="G241" s="140">
        <v>0</v>
      </c>
      <c r="H241" s="140">
        <v>0</v>
      </c>
      <c r="I241" s="140">
        <v>0</v>
      </c>
      <c r="J241" s="140">
        <v>25.97</v>
      </c>
      <c r="K241" s="140">
        <v>0</v>
      </c>
      <c r="L241" s="140">
        <v>25.97</v>
      </c>
    </row>
    <row r="242" spans="1:12" x14ac:dyDescent="0.3">
      <c r="A242" s="139" t="s">
        <v>921</v>
      </c>
      <c r="B242" s="17" t="s">
        <v>922</v>
      </c>
      <c r="C242" s="140">
        <v>0</v>
      </c>
      <c r="D242" s="140">
        <v>0</v>
      </c>
      <c r="E242" s="140">
        <v>0</v>
      </c>
      <c r="F242" s="140">
        <v>248425.48</v>
      </c>
      <c r="G242" s="140">
        <v>0</v>
      </c>
      <c r="H242" s="140">
        <v>21244.86</v>
      </c>
      <c r="I242" s="140">
        <v>0</v>
      </c>
      <c r="J242" s="140">
        <v>269670.34000000003</v>
      </c>
      <c r="K242" s="140">
        <v>0</v>
      </c>
      <c r="L242" s="140">
        <v>269670.34000000003</v>
      </c>
    </row>
    <row r="243" spans="1:12" x14ac:dyDescent="0.3">
      <c r="A243" s="139" t="s">
        <v>923</v>
      </c>
      <c r="B243" s="17" t="s">
        <v>924</v>
      </c>
      <c r="C243" s="140">
        <v>0</v>
      </c>
      <c r="D243" s="140">
        <v>0</v>
      </c>
      <c r="E243" s="140">
        <v>0</v>
      </c>
      <c r="F243" s="140">
        <v>56241.270000000004</v>
      </c>
      <c r="G243" s="140">
        <v>0</v>
      </c>
      <c r="H243" s="140">
        <v>5684.68</v>
      </c>
      <c r="I243" s="140">
        <v>0</v>
      </c>
      <c r="J243" s="140">
        <v>61925.950000000004</v>
      </c>
      <c r="K243" s="140">
        <v>0</v>
      </c>
      <c r="L243" s="140">
        <v>61925.950000000004</v>
      </c>
    </row>
    <row r="244" spans="1:12" x14ac:dyDescent="0.3">
      <c r="A244" s="139" t="s">
        <v>925</v>
      </c>
      <c r="B244" s="17" t="s">
        <v>926</v>
      </c>
      <c r="C244" s="140">
        <v>0</v>
      </c>
      <c r="D244" s="140">
        <v>0</v>
      </c>
      <c r="E244" s="140">
        <v>0</v>
      </c>
      <c r="F244" s="140">
        <v>92070.680000000008</v>
      </c>
      <c r="G244" s="140">
        <v>0</v>
      </c>
      <c r="H244" s="140">
        <v>12148.380000000001</v>
      </c>
      <c r="I244" s="140">
        <v>0</v>
      </c>
      <c r="J244" s="140">
        <v>104219.06</v>
      </c>
      <c r="K244" s="140">
        <v>0</v>
      </c>
      <c r="L244" s="140">
        <v>104219.06</v>
      </c>
    </row>
    <row r="245" spans="1:12" x14ac:dyDescent="0.3">
      <c r="A245" s="139" t="s">
        <v>927</v>
      </c>
      <c r="B245" s="17" t="s">
        <v>928</v>
      </c>
      <c r="C245" s="140">
        <v>0</v>
      </c>
      <c r="D245" s="140">
        <v>0</v>
      </c>
      <c r="E245" s="140">
        <v>0</v>
      </c>
      <c r="F245" s="140">
        <v>27169.38</v>
      </c>
      <c r="G245" s="140">
        <v>0</v>
      </c>
      <c r="H245" s="140">
        <v>2770.43</v>
      </c>
      <c r="I245" s="140">
        <v>0</v>
      </c>
      <c r="J245" s="140">
        <v>29939.81</v>
      </c>
      <c r="K245" s="140">
        <v>0</v>
      </c>
      <c r="L245" s="140">
        <v>29939.81</v>
      </c>
    </row>
    <row r="246" spans="1:12" x14ac:dyDescent="0.3">
      <c r="A246" s="139" t="s">
        <v>929</v>
      </c>
      <c r="B246" s="17" t="s">
        <v>930</v>
      </c>
      <c r="C246" s="140">
        <v>0</v>
      </c>
      <c r="D246" s="140">
        <v>0</v>
      </c>
      <c r="E246" s="140">
        <v>0</v>
      </c>
      <c r="F246" s="140">
        <v>-7497.83</v>
      </c>
      <c r="G246" s="140">
        <v>0</v>
      </c>
      <c r="H246" s="140">
        <v>-656.19</v>
      </c>
      <c r="I246" s="140">
        <v>0</v>
      </c>
      <c r="J246" s="140">
        <v>-8154.02</v>
      </c>
      <c r="K246" s="140">
        <v>0</v>
      </c>
      <c r="L246" s="140">
        <v>-8154.02</v>
      </c>
    </row>
    <row r="247" spans="1:12" x14ac:dyDescent="0.3">
      <c r="A247" s="139" t="s">
        <v>931</v>
      </c>
      <c r="B247" s="17" t="s">
        <v>932</v>
      </c>
      <c r="C247" s="140">
        <v>0</v>
      </c>
      <c r="D247" s="140">
        <v>0</v>
      </c>
      <c r="E247" s="140">
        <v>0</v>
      </c>
      <c r="F247" s="140">
        <v>-1486.81</v>
      </c>
      <c r="G247" s="140">
        <v>0</v>
      </c>
      <c r="H247" s="140">
        <v>-209.59</v>
      </c>
      <c r="I247" s="140">
        <v>0</v>
      </c>
      <c r="J247" s="140">
        <v>-1696.4</v>
      </c>
      <c r="K247" s="140">
        <v>0</v>
      </c>
      <c r="L247" s="140">
        <v>-1696.4</v>
      </c>
    </row>
    <row r="248" spans="1:12" x14ac:dyDescent="0.3">
      <c r="A248" s="139" t="s">
        <v>933</v>
      </c>
      <c r="B248" s="17" t="s">
        <v>934</v>
      </c>
      <c r="C248" s="140">
        <v>0</v>
      </c>
      <c r="D248" s="140">
        <v>0</v>
      </c>
      <c r="E248" s="140">
        <v>0</v>
      </c>
      <c r="F248" s="140">
        <v>5071.5600000000004</v>
      </c>
      <c r="G248" s="140">
        <v>0</v>
      </c>
      <c r="H248" s="140">
        <v>170.16</v>
      </c>
      <c r="I248" s="140">
        <v>0</v>
      </c>
      <c r="J248" s="140">
        <v>5241.72</v>
      </c>
      <c r="K248" s="140">
        <v>0</v>
      </c>
      <c r="L248" s="140">
        <v>5241.72</v>
      </c>
    </row>
    <row r="249" spans="1:12" x14ac:dyDescent="0.3">
      <c r="A249" s="139" t="s">
        <v>935</v>
      </c>
      <c r="B249" s="17" t="s">
        <v>936</v>
      </c>
      <c r="C249" s="140">
        <v>0</v>
      </c>
      <c r="D249" s="140">
        <v>0</v>
      </c>
      <c r="E249" s="140">
        <v>0</v>
      </c>
      <c r="F249" s="140">
        <v>335.32</v>
      </c>
      <c r="G249" s="140">
        <v>0</v>
      </c>
      <c r="H249" s="140">
        <v>34.82</v>
      </c>
      <c r="I249" s="140">
        <v>0</v>
      </c>
      <c r="J249" s="140">
        <v>370.14</v>
      </c>
      <c r="K249" s="140">
        <v>0</v>
      </c>
      <c r="L249" s="140">
        <v>370.14</v>
      </c>
    </row>
    <row r="250" spans="1:12" x14ac:dyDescent="0.3">
      <c r="A250" s="139" t="s">
        <v>937</v>
      </c>
      <c r="B250" s="17" t="s">
        <v>938</v>
      </c>
      <c r="C250" s="140">
        <v>0</v>
      </c>
      <c r="D250" s="140">
        <v>0</v>
      </c>
      <c r="E250" s="140">
        <v>0</v>
      </c>
      <c r="F250" s="140">
        <v>6.15</v>
      </c>
      <c r="G250" s="140">
        <v>0</v>
      </c>
      <c r="H250" s="140">
        <v>0.15</v>
      </c>
      <c r="I250" s="140">
        <v>0</v>
      </c>
      <c r="J250" s="140">
        <v>6.3</v>
      </c>
      <c r="K250" s="140">
        <v>0</v>
      </c>
      <c r="L250" s="140">
        <v>6.3</v>
      </c>
    </row>
    <row r="251" spans="1:12" x14ac:dyDescent="0.3">
      <c r="A251" s="139" t="s">
        <v>939</v>
      </c>
      <c r="B251" s="17" t="s">
        <v>940</v>
      </c>
      <c r="C251" s="140">
        <v>0</v>
      </c>
      <c r="D251" s="140">
        <v>0</v>
      </c>
      <c r="E251" s="140">
        <v>0</v>
      </c>
      <c r="F251" s="140">
        <v>6937.49</v>
      </c>
      <c r="G251" s="140">
        <v>0</v>
      </c>
      <c r="H251" s="140">
        <v>283.31</v>
      </c>
      <c r="I251" s="140">
        <v>0</v>
      </c>
      <c r="J251" s="140">
        <v>7220.8</v>
      </c>
      <c r="K251" s="140">
        <v>0</v>
      </c>
      <c r="L251" s="140">
        <v>7220.8</v>
      </c>
    </row>
    <row r="252" spans="1:12" x14ac:dyDescent="0.3">
      <c r="A252" s="139" t="s">
        <v>941</v>
      </c>
      <c r="B252" s="17" t="s">
        <v>877</v>
      </c>
      <c r="C252" s="140">
        <v>0</v>
      </c>
      <c r="D252" s="140">
        <v>0</v>
      </c>
      <c r="E252" s="140">
        <v>0</v>
      </c>
      <c r="F252" s="140">
        <v>10.370000000000001</v>
      </c>
      <c r="G252" s="140">
        <v>0</v>
      </c>
      <c r="H252" s="140">
        <v>2.67</v>
      </c>
      <c r="I252" s="140">
        <v>0</v>
      </c>
      <c r="J252" s="140">
        <v>13.040000000000001</v>
      </c>
      <c r="K252" s="140">
        <v>0</v>
      </c>
      <c r="L252" s="140">
        <v>13.040000000000001</v>
      </c>
    </row>
    <row r="253" spans="1:12" x14ac:dyDescent="0.3">
      <c r="A253" s="139" t="s">
        <v>942</v>
      </c>
      <c r="B253" s="17" t="s">
        <v>943</v>
      </c>
      <c r="C253" s="140">
        <v>0</v>
      </c>
      <c r="D253" s="140">
        <v>0</v>
      </c>
      <c r="E253" s="140">
        <v>0</v>
      </c>
      <c r="F253" s="140">
        <v>10</v>
      </c>
      <c r="G253" s="140">
        <v>0</v>
      </c>
      <c r="H253" s="140">
        <v>20.76</v>
      </c>
      <c r="I253" s="140">
        <v>0</v>
      </c>
      <c r="J253" s="140">
        <v>30.76</v>
      </c>
      <c r="K253" s="140">
        <v>0</v>
      </c>
      <c r="L253" s="140">
        <v>30.76</v>
      </c>
    </row>
    <row r="254" spans="1:12" x14ac:dyDescent="0.3">
      <c r="A254" s="139" t="s">
        <v>944</v>
      </c>
      <c r="B254" s="17" t="s">
        <v>945</v>
      </c>
      <c r="C254" s="140">
        <v>0</v>
      </c>
      <c r="D254" s="140">
        <v>0</v>
      </c>
      <c r="E254" s="140">
        <v>0</v>
      </c>
      <c r="F254" s="140">
        <v>0</v>
      </c>
      <c r="G254" s="140">
        <v>0</v>
      </c>
      <c r="H254" s="140">
        <v>0</v>
      </c>
      <c r="I254" s="140">
        <v>0</v>
      </c>
      <c r="J254" s="140">
        <v>0</v>
      </c>
      <c r="K254" s="140">
        <v>0</v>
      </c>
      <c r="L254" s="140">
        <v>0</v>
      </c>
    </row>
    <row r="255" spans="1:12" x14ac:dyDescent="0.3">
      <c r="A255" s="139" t="s">
        <v>946</v>
      </c>
      <c r="B255" s="17" t="s">
        <v>947</v>
      </c>
      <c r="C255" s="140">
        <v>0</v>
      </c>
      <c r="D255" s="140">
        <v>0</v>
      </c>
      <c r="E255" s="140">
        <v>0</v>
      </c>
      <c r="F255" s="140">
        <v>502.03000000000003</v>
      </c>
      <c r="G255" s="140">
        <v>0</v>
      </c>
      <c r="H255" s="140">
        <v>79.36</v>
      </c>
      <c r="I255" s="140">
        <v>0</v>
      </c>
      <c r="J255" s="140">
        <v>581.39</v>
      </c>
      <c r="K255" s="140">
        <v>0</v>
      </c>
      <c r="L255" s="140">
        <v>581.39</v>
      </c>
    </row>
    <row r="256" spans="1:12" x14ac:dyDescent="0.3">
      <c r="A256" s="139" t="s">
        <v>948</v>
      </c>
      <c r="B256" s="17" t="s">
        <v>949</v>
      </c>
      <c r="C256" s="140">
        <v>0</v>
      </c>
      <c r="D256" s="140">
        <v>0</v>
      </c>
      <c r="E256" s="140">
        <v>0</v>
      </c>
      <c r="F256" s="140">
        <v>0</v>
      </c>
      <c r="G256" s="140">
        <v>0</v>
      </c>
      <c r="H256" s="140">
        <v>0</v>
      </c>
      <c r="I256" s="140">
        <v>0</v>
      </c>
      <c r="J256" s="140">
        <v>0</v>
      </c>
      <c r="K256" s="140">
        <v>0</v>
      </c>
      <c r="L256" s="140">
        <v>0</v>
      </c>
    </row>
    <row r="257" spans="1:12" x14ac:dyDescent="0.3">
      <c r="A257" s="139" t="s">
        <v>950</v>
      </c>
      <c r="B257" s="17" t="s">
        <v>951</v>
      </c>
      <c r="C257" s="140">
        <v>0</v>
      </c>
      <c r="D257" s="140">
        <v>0</v>
      </c>
      <c r="E257" s="140">
        <v>0</v>
      </c>
      <c r="F257" s="140">
        <v>45</v>
      </c>
      <c r="G257" s="140">
        <v>0</v>
      </c>
      <c r="H257" s="140">
        <v>0</v>
      </c>
      <c r="I257" s="140">
        <v>0</v>
      </c>
      <c r="J257" s="140">
        <v>45</v>
      </c>
      <c r="K257" s="140">
        <v>0</v>
      </c>
      <c r="L257" s="140">
        <v>45</v>
      </c>
    </row>
    <row r="258" spans="1:12" x14ac:dyDescent="0.3">
      <c r="A258" s="139" t="s">
        <v>952</v>
      </c>
      <c r="B258" s="17" t="s">
        <v>903</v>
      </c>
      <c r="C258" s="140">
        <v>0</v>
      </c>
      <c r="D258" s="140">
        <v>0</v>
      </c>
      <c r="E258" s="140">
        <v>0</v>
      </c>
      <c r="F258" s="140">
        <v>886.5</v>
      </c>
      <c r="G258" s="140">
        <v>0</v>
      </c>
      <c r="H258" s="140">
        <v>129.34</v>
      </c>
      <c r="I258" s="140">
        <v>0</v>
      </c>
      <c r="J258" s="140">
        <v>1015.84</v>
      </c>
      <c r="K258" s="140">
        <v>0</v>
      </c>
      <c r="L258" s="140">
        <v>1015.84</v>
      </c>
    </row>
    <row r="259" spans="1:12" x14ac:dyDescent="0.3">
      <c r="A259" s="139" t="s">
        <v>953</v>
      </c>
      <c r="B259" s="17" t="s">
        <v>954</v>
      </c>
      <c r="C259" s="140">
        <v>0</v>
      </c>
      <c r="D259" s="140">
        <v>0</v>
      </c>
      <c r="E259" s="140">
        <v>50</v>
      </c>
      <c r="F259" s="140">
        <v>0</v>
      </c>
      <c r="G259" s="140">
        <v>0</v>
      </c>
      <c r="H259" s="140">
        <v>0</v>
      </c>
      <c r="I259" s="140">
        <v>50</v>
      </c>
      <c r="J259" s="140">
        <v>0</v>
      </c>
      <c r="K259" s="140">
        <v>50</v>
      </c>
      <c r="L259" s="140">
        <v>0</v>
      </c>
    </row>
    <row r="260" spans="1:12" x14ac:dyDescent="0.3">
      <c r="A260" s="139" t="s">
        <v>955</v>
      </c>
      <c r="B260" s="17" t="s">
        <v>956</v>
      </c>
      <c r="C260" s="140">
        <v>0</v>
      </c>
      <c r="D260" s="140">
        <v>0</v>
      </c>
      <c r="E260" s="140">
        <v>-50</v>
      </c>
      <c r="F260" s="140">
        <v>0</v>
      </c>
      <c r="G260" s="140">
        <v>0</v>
      </c>
      <c r="H260" s="140">
        <v>0</v>
      </c>
      <c r="I260" s="140">
        <v>0</v>
      </c>
      <c r="J260" s="140">
        <v>50</v>
      </c>
      <c r="K260" s="140">
        <v>-50</v>
      </c>
      <c r="L260" s="140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24"/>
  <sheetViews>
    <sheetView workbookViewId="0">
      <selection activeCell="B4" sqref="B4"/>
    </sheetView>
  </sheetViews>
  <sheetFormatPr defaultColWidth="9.109375" defaultRowHeight="14.4" x14ac:dyDescent="0.3"/>
  <cols>
    <col min="1" max="1" width="16.109375" style="139" customWidth="1"/>
    <col min="2" max="2" width="46.6640625" style="17" customWidth="1"/>
    <col min="3" max="3" width="15.33203125" style="140" customWidth="1"/>
    <col min="4" max="4" width="15.33203125" style="140" bestFit="1" customWidth="1"/>
    <col min="5" max="5" width="15.109375" style="140" customWidth="1"/>
    <col min="6" max="7" width="15.33203125" style="140" bestFit="1" customWidth="1"/>
    <col min="8" max="8" width="15.33203125" style="140" customWidth="1"/>
    <col min="9" max="11" width="15.33203125" style="140" bestFit="1" customWidth="1"/>
    <col min="12" max="12" width="14.88671875" style="140" customWidth="1"/>
  </cols>
  <sheetData>
    <row r="1" spans="1:12" ht="20.399999999999999" x14ac:dyDescent="0.3">
      <c r="A1" s="144" t="s">
        <v>390</v>
      </c>
      <c r="B1" s="145" t="s">
        <v>391</v>
      </c>
      <c r="C1" s="146" t="s">
        <v>370</v>
      </c>
      <c r="D1" s="146" t="s">
        <v>371</v>
      </c>
      <c r="E1" s="146" t="s">
        <v>372</v>
      </c>
      <c r="F1" s="146" t="s">
        <v>373</v>
      </c>
      <c r="G1" s="146" t="s">
        <v>374</v>
      </c>
      <c r="H1" s="146" t="s">
        <v>375</v>
      </c>
      <c r="I1" s="146" t="s">
        <v>376</v>
      </c>
      <c r="J1" s="146" t="s">
        <v>377</v>
      </c>
      <c r="K1" s="146" t="s">
        <v>378</v>
      </c>
      <c r="L1" s="146" t="s">
        <v>379</v>
      </c>
    </row>
    <row r="2" spans="1:12" x14ac:dyDescent="0.3">
      <c r="A2" s="136" t="s">
        <v>975</v>
      </c>
      <c r="B2" s="137" t="s">
        <v>447</v>
      </c>
      <c r="C2" s="138">
        <v>948</v>
      </c>
      <c r="D2" s="138">
        <v>0</v>
      </c>
      <c r="E2" s="138">
        <v>1508</v>
      </c>
      <c r="F2" s="138">
        <v>0</v>
      </c>
      <c r="G2" s="138">
        <v>0</v>
      </c>
      <c r="H2" s="138">
        <v>0</v>
      </c>
      <c r="I2" s="138">
        <v>560</v>
      </c>
      <c r="J2" s="138">
        <v>0</v>
      </c>
      <c r="K2" s="138">
        <v>1508</v>
      </c>
      <c r="L2" s="138">
        <v>0</v>
      </c>
    </row>
    <row r="3" spans="1:12" x14ac:dyDescent="0.3">
      <c r="A3" s="136" t="s">
        <v>976</v>
      </c>
      <c r="B3" s="137" t="s">
        <v>30</v>
      </c>
      <c r="C3" s="138">
        <v>30856.080000000002</v>
      </c>
      <c r="D3" s="138">
        <v>0</v>
      </c>
      <c r="E3" s="138">
        <v>30856.080000000002</v>
      </c>
      <c r="F3" s="138">
        <v>0</v>
      </c>
      <c r="G3" s="138">
        <v>0</v>
      </c>
      <c r="H3" s="138">
        <v>0</v>
      </c>
      <c r="I3" s="138">
        <v>0</v>
      </c>
      <c r="J3" s="138">
        <v>0</v>
      </c>
      <c r="K3" s="138">
        <v>30856.080000000002</v>
      </c>
      <c r="L3" s="138">
        <v>0</v>
      </c>
    </row>
    <row r="4" spans="1:12" x14ac:dyDescent="0.3">
      <c r="A4" s="136" t="s">
        <v>977</v>
      </c>
      <c r="B4" s="137" t="s">
        <v>978</v>
      </c>
      <c r="C4" s="138">
        <v>13293</v>
      </c>
      <c r="D4" s="138">
        <v>0</v>
      </c>
      <c r="E4" s="138">
        <v>15464.2</v>
      </c>
      <c r="F4" s="138">
        <v>0</v>
      </c>
      <c r="G4" s="138">
        <v>0</v>
      </c>
      <c r="H4" s="138">
        <v>0</v>
      </c>
      <c r="I4" s="138">
        <v>2171.1999999999998</v>
      </c>
      <c r="J4" s="138">
        <v>0</v>
      </c>
      <c r="K4" s="138">
        <v>15464.2</v>
      </c>
      <c r="L4" s="138">
        <v>0</v>
      </c>
    </row>
    <row r="5" spans="1:12" x14ac:dyDescent="0.3">
      <c r="A5" s="136" t="s">
        <v>979</v>
      </c>
      <c r="B5" s="137" t="s">
        <v>980</v>
      </c>
      <c r="C5" s="138">
        <v>10422.380000000001</v>
      </c>
      <c r="D5" s="138">
        <v>0</v>
      </c>
      <c r="E5" s="138">
        <v>13068.76</v>
      </c>
      <c r="F5" s="138">
        <v>0</v>
      </c>
      <c r="G5" s="138">
        <v>0</v>
      </c>
      <c r="H5" s="138">
        <v>0</v>
      </c>
      <c r="I5" s="138">
        <v>3049.62</v>
      </c>
      <c r="J5" s="138">
        <v>403.24</v>
      </c>
      <c r="K5" s="138">
        <v>13068.76</v>
      </c>
      <c r="L5" s="138">
        <v>0</v>
      </c>
    </row>
    <row r="6" spans="1:12" x14ac:dyDescent="0.3">
      <c r="A6" s="136" t="s">
        <v>981</v>
      </c>
      <c r="B6" s="137" t="s">
        <v>463</v>
      </c>
      <c r="C6" s="138">
        <v>0</v>
      </c>
      <c r="D6" s="138">
        <v>0</v>
      </c>
      <c r="E6" s="138">
        <v>0</v>
      </c>
      <c r="F6" s="138">
        <v>0</v>
      </c>
      <c r="G6" s="138">
        <v>0</v>
      </c>
      <c r="H6" s="138">
        <v>0</v>
      </c>
      <c r="I6" s="138">
        <v>560</v>
      </c>
      <c r="J6" s="138">
        <v>560</v>
      </c>
      <c r="K6" s="138">
        <v>0</v>
      </c>
      <c r="L6" s="138">
        <v>0</v>
      </c>
    </row>
    <row r="7" spans="1:12" x14ac:dyDescent="0.3">
      <c r="A7" s="136" t="s">
        <v>982</v>
      </c>
      <c r="B7" s="137" t="s">
        <v>465</v>
      </c>
      <c r="C7" s="138">
        <v>565.47</v>
      </c>
      <c r="D7" s="138">
        <v>0</v>
      </c>
      <c r="E7" s="138">
        <v>1691</v>
      </c>
      <c r="F7" s="138">
        <v>0</v>
      </c>
      <c r="G7" s="138">
        <v>479</v>
      </c>
      <c r="H7" s="138">
        <v>0</v>
      </c>
      <c r="I7" s="138">
        <v>6825.35</v>
      </c>
      <c r="J7" s="138">
        <v>5220.82</v>
      </c>
      <c r="K7" s="138">
        <v>2170</v>
      </c>
      <c r="L7" s="138">
        <v>0</v>
      </c>
    </row>
    <row r="8" spans="1:12" x14ac:dyDescent="0.3">
      <c r="A8" s="136" t="s">
        <v>983</v>
      </c>
      <c r="B8" s="137" t="s">
        <v>467</v>
      </c>
      <c r="C8" s="138">
        <v>0</v>
      </c>
      <c r="D8" s="138">
        <v>948</v>
      </c>
      <c r="E8" s="138">
        <v>0</v>
      </c>
      <c r="F8" s="138">
        <v>1064.7</v>
      </c>
      <c r="G8" s="138">
        <v>0</v>
      </c>
      <c r="H8" s="138">
        <v>23.34</v>
      </c>
      <c r="I8" s="138">
        <v>0</v>
      </c>
      <c r="J8" s="138">
        <v>140.04</v>
      </c>
      <c r="K8" s="138">
        <v>0</v>
      </c>
      <c r="L8" s="138">
        <v>1088.04</v>
      </c>
    </row>
    <row r="9" spans="1:12" x14ac:dyDescent="0.3">
      <c r="A9" s="136" t="s">
        <v>984</v>
      </c>
      <c r="B9" s="137" t="s">
        <v>985</v>
      </c>
      <c r="C9" s="138">
        <v>0</v>
      </c>
      <c r="D9" s="138">
        <v>12599.86</v>
      </c>
      <c r="E9" s="138">
        <v>0</v>
      </c>
      <c r="F9" s="138">
        <v>14014.130000000001</v>
      </c>
      <c r="G9" s="138">
        <v>0</v>
      </c>
      <c r="H9" s="138">
        <v>128.57</v>
      </c>
      <c r="I9" s="138">
        <v>0</v>
      </c>
      <c r="J9" s="138">
        <v>1542.8400000000001</v>
      </c>
      <c r="K9" s="138">
        <v>0</v>
      </c>
      <c r="L9" s="138">
        <v>14142.7</v>
      </c>
    </row>
    <row r="10" spans="1:12" x14ac:dyDescent="0.3">
      <c r="A10" s="136" t="s">
        <v>986</v>
      </c>
      <c r="B10" s="137" t="s">
        <v>987</v>
      </c>
      <c r="C10" s="138">
        <v>0</v>
      </c>
      <c r="D10" s="138">
        <v>184.63</v>
      </c>
      <c r="E10" s="138">
        <v>0</v>
      </c>
      <c r="F10" s="138">
        <v>2547.3200000000002</v>
      </c>
      <c r="G10" s="138">
        <v>0</v>
      </c>
      <c r="H10" s="138">
        <v>214.79</v>
      </c>
      <c r="I10" s="138">
        <v>0</v>
      </c>
      <c r="J10" s="138">
        <v>2577.48</v>
      </c>
      <c r="K10" s="138">
        <v>0</v>
      </c>
      <c r="L10" s="138">
        <v>2762.11</v>
      </c>
    </row>
    <row r="11" spans="1:12" x14ac:dyDescent="0.3">
      <c r="A11" s="136" t="s">
        <v>988</v>
      </c>
      <c r="B11" s="137" t="s">
        <v>989</v>
      </c>
      <c r="C11" s="138">
        <v>0</v>
      </c>
      <c r="D11" s="138">
        <v>8476.4699999999993</v>
      </c>
      <c r="E11" s="138">
        <v>0</v>
      </c>
      <c r="F11" s="138">
        <v>10200.75</v>
      </c>
      <c r="G11" s="138">
        <v>0</v>
      </c>
      <c r="H11" s="138">
        <v>208.1</v>
      </c>
      <c r="I11" s="138">
        <v>403.24</v>
      </c>
      <c r="J11" s="138">
        <v>2335.62</v>
      </c>
      <c r="K11" s="138">
        <v>0</v>
      </c>
      <c r="L11" s="138">
        <v>10408.85</v>
      </c>
    </row>
    <row r="12" spans="1:12" x14ac:dyDescent="0.3">
      <c r="A12" s="136" t="s">
        <v>990</v>
      </c>
      <c r="B12" s="137" t="s">
        <v>483</v>
      </c>
      <c r="C12" s="138">
        <v>0</v>
      </c>
      <c r="D12" s="138">
        <v>0</v>
      </c>
      <c r="E12" s="138">
        <v>22.36</v>
      </c>
      <c r="F12" s="138">
        <v>0</v>
      </c>
      <c r="G12" s="138">
        <v>37517.410000000003</v>
      </c>
      <c r="H12" s="138">
        <v>37539.770000000004</v>
      </c>
      <c r="I12" s="138">
        <v>407117.74</v>
      </c>
      <c r="J12" s="138">
        <v>407117.74</v>
      </c>
      <c r="K12" s="138">
        <v>0</v>
      </c>
      <c r="L12" s="138">
        <v>0</v>
      </c>
    </row>
    <row r="13" spans="1:12" x14ac:dyDescent="0.3">
      <c r="A13" s="136" t="s">
        <v>991</v>
      </c>
      <c r="B13" s="137" t="s">
        <v>992</v>
      </c>
      <c r="C13" s="138">
        <v>51992.270000000004</v>
      </c>
      <c r="D13" s="138">
        <v>0</v>
      </c>
      <c r="E13" s="138">
        <v>54228.17</v>
      </c>
      <c r="F13" s="138">
        <v>0</v>
      </c>
      <c r="G13" s="138">
        <v>37603.160000000003</v>
      </c>
      <c r="H13" s="138">
        <v>35566.410000000003</v>
      </c>
      <c r="I13" s="138">
        <v>445055.93</v>
      </c>
      <c r="J13" s="138">
        <v>440783.28</v>
      </c>
      <c r="K13" s="138">
        <v>56264.92</v>
      </c>
      <c r="L13" s="138">
        <v>0</v>
      </c>
    </row>
    <row r="14" spans="1:12" x14ac:dyDescent="0.3">
      <c r="A14" s="136" t="s">
        <v>993</v>
      </c>
      <c r="B14" s="137" t="s">
        <v>489</v>
      </c>
      <c r="C14" s="138">
        <v>0</v>
      </c>
      <c r="D14" s="138">
        <v>0</v>
      </c>
      <c r="E14" s="138">
        <v>887.92000000000007</v>
      </c>
      <c r="F14" s="138">
        <v>0</v>
      </c>
      <c r="G14" s="138">
        <v>1050.3</v>
      </c>
      <c r="H14" s="138">
        <v>887.92000000000007</v>
      </c>
      <c r="I14" s="138">
        <v>14666.66</v>
      </c>
      <c r="J14" s="138">
        <v>13616.36</v>
      </c>
      <c r="K14" s="138">
        <v>1050.3</v>
      </c>
      <c r="L14" s="138">
        <v>0</v>
      </c>
    </row>
    <row r="15" spans="1:12" x14ac:dyDescent="0.3">
      <c r="A15" s="136" t="s">
        <v>994</v>
      </c>
      <c r="B15" s="137" t="s">
        <v>491</v>
      </c>
      <c r="C15" s="138">
        <v>0</v>
      </c>
      <c r="D15" s="138">
        <v>2030.1200000000001</v>
      </c>
      <c r="E15" s="138">
        <v>0</v>
      </c>
      <c r="F15" s="138">
        <v>2982.64</v>
      </c>
      <c r="G15" s="138">
        <v>368.72</v>
      </c>
      <c r="H15" s="138">
        <v>105.4</v>
      </c>
      <c r="I15" s="138">
        <v>2214.4299999999998</v>
      </c>
      <c r="J15" s="138">
        <v>2903.63</v>
      </c>
      <c r="K15" s="138">
        <v>0</v>
      </c>
      <c r="L15" s="138">
        <v>2719.32</v>
      </c>
    </row>
    <row r="16" spans="1:12" x14ac:dyDescent="0.3">
      <c r="A16" s="136" t="s">
        <v>995</v>
      </c>
      <c r="B16" s="137" t="s">
        <v>996</v>
      </c>
      <c r="C16" s="138">
        <v>1357.73</v>
      </c>
      <c r="D16" s="138">
        <v>0</v>
      </c>
      <c r="E16" s="138">
        <v>2455.9500000000003</v>
      </c>
      <c r="F16" s="138">
        <v>0</v>
      </c>
      <c r="G16" s="138">
        <v>22514.13</v>
      </c>
      <c r="H16" s="138">
        <v>21795.78</v>
      </c>
      <c r="I16" s="138">
        <v>219788.17</v>
      </c>
      <c r="J16" s="138">
        <v>217971.6</v>
      </c>
      <c r="K16" s="138">
        <v>3174.3</v>
      </c>
      <c r="L16" s="138">
        <v>0</v>
      </c>
    </row>
    <row r="17" spans="1:12" x14ac:dyDescent="0.3">
      <c r="A17" s="136" t="s">
        <v>997</v>
      </c>
      <c r="B17" s="137" t="s">
        <v>998</v>
      </c>
      <c r="C17" s="138">
        <v>0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38">
        <v>877.2</v>
      </c>
      <c r="J17" s="138">
        <v>877.2</v>
      </c>
      <c r="K17" s="138">
        <v>0</v>
      </c>
      <c r="L17" s="138">
        <v>0</v>
      </c>
    </row>
    <row r="18" spans="1:12" x14ac:dyDescent="0.3">
      <c r="A18" s="136" t="s">
        <v>999</v>
      </c>
      <c r="B18" s="137" t="s">
        <v>1000</v>
      </c>
      <c r="C18" s="138">
        <v>0</v>
      </c>
      <c r="D18" s="138">
        <v>0</v>
      </c>
      <c r="E18" s="138">
        <v>0</v>
      </c>
      <c r="F18" s="138">
        <v>0</v>
      </c>
      <c r="G18" s="138">
        <v>87624.61</v>
      </c>
      <c r="H18" s="138">
        <v>87624.61</v>
      </c>
      <c r="I18" s="138">
        <v>1017066.77</v>
      </c>
      <c r="J18" s="138">
        <v>1017066.77</v>
      </c>
      <c r="K18" s="138">
        <v>0</v>
      </c>
      <c r="L18" s="138">
        <v>0</v>
      </c>
    </row>
    <row r="19" spans="1:12" x14ac:dyDescent="0.3">
      <c r="A19" s="136" t="s">
        <v>1001</v>
      </c>
      <c r="B19" s="137" t="s">
        <v>1002</v>
      </c>
      <c r="C19" s="138">
        <v>0</v>
      </c>
      <c r="D19" s="138">
        <v>0</v>
      </c>
      <c r="E19" s="138">
        <v>0</v>
      </c>
      <c r="F19" s="138">
        <v>0</v>
      </c>
      <c r="G19" s="138">
        <v>10204.75</v>
      </c>
      <c r="H19" s="138">
        <v>10204.75</v>
      </c>
      <c r="I19" s="138">
        <v>113029.12</v>
      </c>
      <c r="J19" s="138">
        <v>113029.12</v>
      </c>
      <c r="K19" s="138">
        <v>0</v>
      </c>
      <c r="L19" s="138">
        <v>0</v>
      </c>
    </row>
    <row r="20" spans="1:12" x14ac:dyDescent="0.3">
      <c r="A20" s="136" t="s">
        <v>1003</v>
      </c>
      <c r="B20" s="137" t="s">
        <v>503</v>
      </c>
      <c r="C20" s="138">
        <v>29855.05</v>
      </c>
      <c r="D20" s="138">
        <v>0</v>
      </c>
      <c r="E20" s="138">
        <v>29481.98</v>
      </c>
      <c r="F20" s="138">
        <v>0</v>
      </c>
      <c r="G20" s="138">
        <v>31026.260000000002</v>
      </c>
      <c r="H20" s="138">
        <v>31240.560000000001</v>
      </c>
      <c r="I20" s="138">
        <v>340790.32</v>
      </c>
      <c r="J20" s="138">
        <v>341377.69</v>
      </c>
      <c r="K20" s="138">
        <v>29267.68</v>
      </c>
      <c r="L20" s="138">
        <v>0</v>
      </c>
    </row>
    <row r="21" spans="1:12" x14ac:dyDescent="0.3">
      <c r="A21" s="136" t="s">
        <v>1004</v>
      </c>
      <c r="B21" s="137" t="s">
        <v>1005</v>
      </c>
      <c r="C21" s="138">
        <v>11069.89</v>
      </c>
      <c r="D21" s="138">
        <v>0</v>
      </c>
      <c r="E21" s="138">
        <v>10493.29</v>
      </c>
      <c r="F21" s="138">
        <v>0</v>
      </c>
      <c r="G21" s="138">
        <v>14991.27</v>
      </c>
      <c r="H21" s="138">
        <v>16859.170000000002</v>
      </c>
      <c r="I21" s="138">
        <v>144610.66</v>
      </c>
      <c r="J21" s="138">
        <v>147055.16</v>
      </c>
      <c r="K21" s="138">
        <v>8625.39</v>
      </c>
      <c r="L21" s="138">
        <v>0</v>
      </c>
    </row>
    <row r="22" spans="1:12" x14ac:dyDescent="0.3">
      <c r="A22" s="136" t="s">
        <v>1006</v>
      </c>
      <c r="B22" s="137" t="s">
        <v>541</v>
      </c>
      <c r="C22" s="138">
        <v>0</v>
      </c>
      <c r="D22" s="138">
        <v>113160.73</v>
      </c>
      <c r="E22" s="138">
        <v>0</v>
      </c>
      <c r="F22" s="138">
        <v>102873.33</v>
      </c>
      <c r="G22" s="138">
        <v>35333.81</v>
      </c>
      <c r="H22" s="138">
        <v>54269.66</v>
      </c>
      <c r="I22" s="138">
        <v>493821.49</v>
      </c>
      <c r="J22" s="138">
        <v>502469.94</v>
      </c>
      <c r="K22" s="138">
        <v>0</v>
      </c>
      <c r="L22" s="138">
        <v>121809.18000000001</v>
      </c>
    </row>
    <row r="23" spans="1:12" x14ac:dyDescent="0.3">
      <c r="A23" s="136" t="s">
        <v>1007</v>
      </c>
      <c r="B23" s="137" t="s">
        <v>1008</v>
      </c>
      <c r="C23" s="138">
        <v>0</v>
      </c>
      <c r="D23" s="138">
        <v>6268.78</v>
      </c>
      <c r="E23" s="138">
        <v>0</v>
      </c>
      <c r="F23" s="138">
        <v>7489.87</v>
      </c>
      <c r="G23" s="138">
        <v>9117.2800000000007</v>
      </c>
      <c r="H23" s="138">
        <v>8737.4699999999993</v>
      </c>
      <c r="I23" s="138">
        <v>9817.2800000000007</v>
      </c>
      <c r="J23" s="138">
        <v>10658.56</v>
      </c>
      <c r="K23" s="138">
        <v>0</v>
      </c>
      <c r="L23" s="138">
        <v>7110.06</v>
      </c>
    </row>
    <row r="24" spans="1:12" x14ac:dyDescent="0.3">
      <c r="A24" s="136" t="s">
        <v>1009</v>
      </c>
      <c r="B24" s="137" t="s">
        <v>567</v>
      </c>
      <c r="C24" s="138">
        <v>0</v>
      </c>
      <c r="D24" s="138">
        <v>66.400000000000006</v>
      </c>
      <c r="E24" s="138">
        <v>0</v>
      </c>
      <c r="F24" s="138">
        <v>0</v>
      </c>
      <c r="G24" s="138">
        <v>1249.8700000000001</v>
      </c>
      <c r="H24" s="138">
        <v>1249.8700000000001</v>
      </c>
      <c r="I24" s="138">
        <v>15371.460000000001</v>
      </c>
      <c r="J24" s="138">
        <v>15305.06</v>
      </c>
      <c r="K24" s="138">
        <v>0</v>
      </c>
      <c r="L24" s="138">
        <v>0</v>
      </c>
    </row>
    <row r="25" spans="1:12" x14ac:dyDescent="0.3">
      <c r="A25" s="136" t="s">
        <v>1010</v>
      </c>
      <c r="B25" s="137" t="s">
        <v>571</v>
      </c>
      <c r="C25" s="138">
        <v>0</v>
      </c>
      <c r="D25" s="138">
        <v>186.38</v>
      </c>
      <c r="E25" s="138">
        <v>0</v>
      </c>
      <c r="F25" s="138">
        <v>0</v>
      </c>
      <c r="G25" s="138">
        <v>101.89</v>
      </c>
      <c r="H25" s="138">
        <v>101.89</v>
      </c>
      <c r="I25" s="138">
        <v>1285.25</v>
      </c>
      <c r="J25" s="138">
        <v>1098.8700000000001</v>
      </c>
      <c r="K25" s="138">
        <v>0</v>
      </c>
      <c r="L25" s="138">
        <v>0</v>
      </c>
    </row>
    <row r="26" spans="1:12" x14ac:dyDescent="0.3">
      <c r="A26" s="136" t="s">
        <v>1011</v>
      </c>
      <c r="B26" s="137" t="s">
        <v>575</v>
      </c>
      <c r="C26" s="138">
        <v>0</v>
      </c>
      <c r="D26" s="138">
        <v>2537.58</v>
      </c>
      <c r="E26" s="138">
        <v>0</v>
      </c>
      <c r="F26" s="138">
        <v>2567.23</v>
      </c>
      <c r="G26" s="138">
        <v>3410.8</v>
      </c>
      <c r="H26" s="138">
        <v>3010.06</v>
      </c>
      <c r="I26" s="138">
        <v>39443.29</v>
      </c>
      <c r="J26" s="138">
        <v>39072.200000000004</v>
      </c>
      <c r="K26" s="138">
        <v>0</v>
      </c>
      <c r="L26" s="138">
        <v>2166.4900000000002</v>
      </c>
    </row>
    <row r="27" spans="1:12" x14ac:dyDescent="0.3">
      <c r="A27" s="136" t="s">
        <v>1012</v>
      </c>
      <c r="B27" s="137" t="s">
        <v>577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130</v>
      </c>
      <c r="J27" s="138">
        <v>130</v>
      </c>
      <c r="K27" s="138">
        <v>0</v>
      </c>
      <c r="L27" s="138">
        <v>0</v>
      </c>
    </row>
    <row r="28" spans="1:12" x14ac:dyDescent="0.3">
      <c r="A28" s="136" t="s">
        <v>1013</v>
      </c>
      <c r="B28" s="137" t="s">
        <v>583</v>
      </c>
      <c r="C28" s="138">
        <v>0</v>
      </c>
      <c r="D28" s="138">
        <v>0</v>
      </c>
      <c r="E28" s="138">
        <v>0</v>
      </c>
      <c r="F28" s="138">
        <v>0</v>
      </c>
      <c r="G28" s="138">
        <v>126</v>
      </c>
      <c r="H28" s="138">
        <v>126</v>
      </c>
      <c r="I28" s="138">
        <v>1076.3</v>
      </c>
      <c r="J28" s="138">
        <v>1076.3</v>
      </c>
      <c r="K28" s="138">
        <v>0</v>
      </c>
      <c r="L28" s="138">
        <v>0</v>
      </c>
    </row>
    <row r="29" spans="1:12" x14ac:dyDescent="0.3">
      <c r="A29" s="136" t="s">
        <v>1014</v>
      </c>
      <c r="B29" s="137" t="s">
        <v>1015</v>
      </c>
      <c r="C29" s="138">
        <v>0</v>
      </c>
      <c r="D29" s="138">
        <v>1745.4</v>
      </c>
      <c r="E29" s="138">
        <v>0</v>
      </c>
      <c r="F29" s="138">
        <v>1728.3</v>
      </c>
      <c r="G29" s="138">
        <v>1728.3</v>
      </c>
      <c r="H29" s="138">
        <v>1462.74</v>
      </c>
      <c r="I29" s="138">
        <v>18849.3</v>
      </c>
      <c r="J29" s="138">
        <v>18566.64</v>
      </c>
      <c r="K29" s="138">
        <v>0</v>
      </c>
      <c r="L29" s="138">
        <v>1462.74</v>
      </c>
    </row>
    <row r="30" spans="1:12" x14ac:dyDescent="0.3">
      <c r="A30" s="136" t="s">
        <v>1016</v>
      </c>
      <c r="B30" s="137" t="s">
        <v>1017</v>
      </c>
      <c r="C30" s="138">
        <v>-2764.16</v>
      </c>
      <c r="D30" s="138">
        <v>0</v>
      </c>
      <c r="E30" s="138">
        <v>0</v>
      </c>
      <c r="F30" s="138">
        <v>0</v>
      </c>
      <c r="G30" s="138">
        <v>0</v>
      </c>
      <c r="H30" s="138">
        <v>4058.86</v>
      </c>
      <c r="I30" s="138">
        <v>2764.16</v>
      </c>
      <c r="J30" s="138">
        <v>4058.86</v>
      </c>
      <c r="K30" s="138">
        <v>-4058.86</v>
      </c>
      <c r="L30" s="138">
        <v>0</v>
      </c>
    </row>
    <row r="31" spans="1:12" x14ac:dyDescent="0.3">
      <c r="A31" s="136" t="s">
        <v>1018</v>
      </c>
      <c r="B31" s="137" t="s">
        <v>1019</v>
      </c>
      <c r="C31" s="138">
        <v>0</v>
      </c>
      <c r="D31" s="138">
        <v>519.54999999999995</v>
      </c>
      <c r="E31" s="138">
        <v>0</v>
      </c>
      <c r="F31" s="138">
        <v>512.68000000000006</v>
      </c>
      <c r="G31" s="138">
        <v>512.68000000000006</v>
      </c>
      <c r="H31" s="138">
        <v>422.78000000000003</v>
      </c>
      <c r="I31" s="138">
        <v>4934.96</v>
      </c>
      <c r="J31" s="138">
        <v>4838.1900000000005</v>
      </c>
      <c r="K31" s="138">
        <v>0</v>
      </c>
      <c r="L31" s="138">
        <v>422.78000000000003</v>
      </c>
    </row>
    <row r="32" spans="1:12" x14ac:dyDescent="0.3">
      <c r="A32" s="136" t="s">
        <v>1020</v>
      </c>
      <c r="B32" s="137" t="s">
        <v>1021</v>
      </c>
      <c r="C32" s="138">
        <v>0</v>
      </c>
      <c r="D32" s="138">
        <v>0</v>
      </c>
      <c r="E32" s="138">
        <v>0</v>
      </c>
      <c r="F32" s="138">
        <v>0</v>
      </c>
      <c r="G32" s="138">
        <v>9001.9500000000007</v>
      </c>
      <c r="H32" s="138">
        <v>9001.9500000000007</v>
      </c>
      <c r="I32" s="138">
        <v>102402.2</v>
      </c>
      <c r="J32" s="138">
        <v>102402.2</v>
      </c>
      <c r="K32" s="138">
        <v>0</v>
      </c>
      <c r="L32" s="138">
        <v>0</v>
      </c>
    </row>
    <row r="33" spans="1:12" x14ac:dyDescent="0.3">
      <c r="A33" s="136" t="s">
        <v>1022</v>
      </c>
      <c r="B33" s="137" t="s">
        <v>603</v>
      </c>
      <c r="C33" s="138">
        <v>0</v>
      </c>
      <c r="D33" s="138">
        <v>0</v>
      </c>
      <c r="E33" s="138">
        <v>0</v>
      </c>
      <c r="F33" s="138">
        <v>0</v>
      </c>
      <c r="G33" s="138">
        <v>0</v>
      </c>
      <c r="H33" s="138">
        <v>0</v>
      </c>
      <c r="I33" s="138">
        <v>555.68000000000006</v>
      </c>
      <c r="J33" s="138">
        <v>555.68000000000006</v>
      </c>
      <c r="K33" s="138">
        <v>0</v>
      </c>
      <c r="L33" s="138">
        <v>0</v>
      </c>
    </row>
    <row r="34" spans="1:12" x14ac:dyDescent="0.3">
      <c r="A34" s="136" t="s">
        <v>1023</v>
      </c>
      <c r="B34" s="137" t="s">
        <v>1024</v>
      </c>
      <c r="C34" s="138">
        <v>0</v>
      </c>
      <c r="D34" s="138">
        <v>0</v>
      </c>
      <c r="E34" s="138">
        <v>0</v>
      </c>
      <c r="F34" s="138">
        <v>0</v>
      </c>
      <c r="G34" s="138">
        <v>0</v>
      </c>
      <c r="H34" s="138">
        <v>0</v>
      </c>
      <c r="I34" s="138">
        <v>45</v>
      </c>
      <c r="J34" s="138">
        <v>45</v>
      </c>
      <c r="K34" s="138">
        <v>0</v>
      </c>
      <c r="L34" s="138">
        <v>0</v>
      </c>
    </row>
    <row r="35" spans="1:12" x14ac:dyDescent="0.3">
      <c r="A35" s="136" t="s">
        <v>1025</v>
      </c>
      <c r="B35" s="137" t="s">
        <v>1026</v>
      </c>
      <c r="C35" s="138">
        <v>42460.590000000004</v>
      </c>
      <c r="D35" s="138">
        <v>0</v>
      </c>
      <c r="E35" s="138">
        <v>49359.83</v>
      </c>
      <c r="F35" s="138">
        <v>0</v>
      </c>
      <c r="G35" s="138">
        <v>11884.460000000001</v>
      </c>
      <c r="H35" s="138">
        <v>0</v>
      </c>
      <c r="I35" s="138">
        <v>63456.36</v>
      </c>
      <c r="J35" s="138">
        <v>44672.66</v>
      </c>
      <c r="K35" s="138">
        <v>61244.29</v>
      </c>
      <c r="L35" s="138">
        <v>0</v>
      </c>
    </row>
    <row r="36" spans="1:12" x14ac:dyDescent="0.3">
      <c r="A36" s="136" t="s">
        <v>1027</v>
      </c>
      <c r="B36" s="137" t="s">
        <v>1028</v>
      </c>
      <c r="C36" s="138">
        <v>0</v>
      </c>
      <c r="D36" s="138">
        <v>0</v>
      </c>
      <c r="E36" s="138">
        <v>0</v>
      </c>
      <c r="F36" s="138">
        <v>0</v>
      </c>
      <c r="G36" s="138">
        <v>46088.12</v>
      </c>
      <c r="H36" s="138">
        <v>46088.12</v>
      </c>
      <c r="I36" s="138">
        <v>495079.4</v>
      </c>
      <c r="J36" s="138">
        <v>495079.4</v>
      </c>
      <c r="K36" s="138">
        <v>0</v>
      </c>
      <c r="L36" s="138">
        <v>0</v>
      </c>
    </row>
    <row r="37" spans="1:12" x14ac:dyDescent="0.3">
      <c r="A37" s="136" t="s">
        <v>1029</v>
      </c>
      <c r="B37" s="137" t="s">
        <v>103</v>
      </c>
      <c r="C37" s="138">
        <v>1112.83</v>
      </c>
      <c r="D37" s="138">
        <v>0</v>
      </c>
      <c r="E37" s="138">
        <v>-131.01</v>
      </c>
      <c r="F37" s="138">
        <v>0</v>
      </c>
      <c r="G37" s="138">
        <v>834.1</v>
      </c>
      <c r="H37" s="138">
        <v>540.54999999999995</v>
      </c>
      <c r="I37" s="138">
        <v>9686.2900000000009</v>
      </c>
      <c r="J37" s="138">
        <v>10636.58</v>
      </c>
      <c r="K37" s="138">
        <v>162.54</v>
      </c>
      <c r="L37" s="138">
        <v>0</v>
      </c>
    </row>
    <row r="38" spans="1:12" x14ac:dyDescent="0.3">
      <c r="A38" s="136" t="s">
        <v>1030</v>
      </c>
      <c r="B38" s="137" t="s">
        <v>1031</v>
      </c>
      <c r="C38" s="138">
        <v>0</v>
      </c>
      <c r="D38" s="138">
        <v>0</v>
      </c>
      <c r="E38" s="138">
        <v>0</v>
      </c>
      <c r="F38" s="138">
        <v>0</v>
      </c>
      <c r="G38" s="138">
        <v>0</v>
      </c>
      <c r="H38" s="138">
        <v>377.99</v>
      </c>
      <c r="I38" s="138">
        <v>3709.01</v>
      </c>
      <c r="J38" s="138">
        <v>4087</v>
      </c>
      <c r="K38" s="138">
        <v>0</v>
      </c>
      <c r="L38" s="138">
        <v>377.99</v>
      </c>
    </row>
    <row r="39" spans="1:12" x14ac:dyDescent="0.3">
      <c r="A39" s="136" t="s">
        <v>1032</v>
      </c>
      <c r="B39" s="137" t="s">
        <v>626</v>
      </c>
      <c r="C39" s="138">
        <v>372.18</v>
      </c>
      <c r="D39" s="138">
        <v>0</v>
      </c>
      <c r="E39" s="138">
        <v>341</v>
      </c>
      <c r="F39" s="138">
        <v>0</v>
      </c>
      <c r="G39" s="138">
        <v>0</v>
      </c>
      <c r="H39" s="138">
        <v>0</v>
      </c>
      <c r="I39" s="138">
        <v>341</v>
      </c>
      <c r="J39" s="138">
        <v>372.18</v>
      </c>
      <c r="K39" s="138">
        <v>341</v>
      </c>
      <c r="L39" s="138">
        <v>0</v>
      </c>
    </row>
    <row r="40" spans="1:12" x14ac:dyDescent="0.3">
      <c r="A40" s="136" t="s">
        <v>1033</v>
      </c>
      <c r="B40" s="137" t="s">
        <v>1034</v>
      </c>
      <c r="C40" s="138">
        <v>0</v>
      </c>
      <c r="D40" s="138">
        <v>169.47</v>
      </c>
      <c r="E40" s="138">
        <v>0</v>
      </c>
      <c r="F40" s="138">
        <v>162.56</v>
      </c>
      <c r="G40" s="138">
        <v>162.56</v>
      </c>
      <c r="H40" s="138">
        <v>162.54</v>
      </c>
      <c r="I40" s="138">
        <v>4573.4800000000005</v>
      </c>
      <c r="J40" s="138">
        <v>4566.55</v>
      </c>
      <c r="K40" s="138">
        <v>0</v>
      </c>
      <c r="L40" s="138">
        <v>162.54</v>
      </c>
    </row>
    <row r="41" spans="1:12" x14ac:dyDescent="0.3">
      <c r="A41" s="136" t="s">
        <v>1035</v>
      </c>
      <c r="B41" s="137" t="s">
        <v>630</v>
      </c>
      <c r="C41" s="138">
        <v>0</v>
      </c>
      <c r="D41" s="138">
        <v>0</v>
      </c>
      <c r="E41" s="138">
        <v>0</v>
      </c>
      <c r="F41" s="138">
        <v>0</v>
      </c>
      <c r="G41" s="138">
        <v>48772.15</v>
      </c>
      <c r="H41" s="138">
        <v>48772.15</v>
      </c>
      <c r="I41" s="138">
        <v>580215.14</v>
      </c>
      <c r="J41" s="138">
        <v>580215.14</v>
      </c>
      <c r="K41" s="138">
        <v>0</v>
      </c>
      <c r="L41" s="138">
        <v>0</v>
      </c>
    </row>
    <row r="42" spans="1:12" x14ac:dyDescent="0.3">
      <c r="A42" s="136" t="s">
        <v>1036</v>
      </c>
      <c r="B42" s="137" t="s">
        <v>262</v>
      </c>
      <c r="C42" s="138">
        <v>0</v>
      </c>
      <c r="D42" s="138">
        <v>5000</v>
      </c>
      <c r="E42" s="138">
        <v>0</v>
      </c>
      <c r="F42" s="138">
        <v>5000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5000</v>
      </c>
    </row>
    <row r="43" spans="1:12" x14ac:dyDescent="0.3">
      <c r="A43" s="136" t="s">
        <v>1037</v>
      </c>
      <c r="B43" s="137" t="s">
        <v>265</v>
      </c>
      <c r="C43" s="138">
        <v>0</v>
      </c>
      <c r="D43" s="138">
        <v>8000</v>
      </c>
      <c r="E43" s="138">
        <v>0</v>
      </c>
      <c r="F43" s="138">
        <v>8000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8000</v>
      </c>
    </row>
    <row r="44" spans="1:12" x14ac:dyDescent="0.3">
      <c r="A44" s="136" t="s">
        <v>1038</v>
      </c>
      <c r="B44" s="137" t="s">
        <v>268</v>
      </c>
      <c r="C44" s="138">
        <v>0</v>
      </c>
      <c r="D44" s="138">
        <v>500</v>
      </c>
      <c r="E44" s="138">
        <v>0</v>
      </c>
      <c r="F44" s="138">
        <v>500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  <c r="L44" s="138">
        <v>500</v>
      </c>
    </row>
    <row r="45" spans="1:12" x14ac:dyDescent="0.3">
      <c r="A45" s="136" t="s">
        <v>1039</v>
      </c>
      <c r="B45" s="137" t="s">
        <v>271</v>
      </c>
      <c r="C45" s="138">
        <v>0</v>
      </c>
      <c r="D45" s="138">
        <v>24209.75</v>
      </c>
      <c r="E45" s="138">
        <v>0</v>
      </c>
      <c r="F45" s="138">
        <v>30313.07</v>
      </c>
      <c r="G45" s="138">
        <v>0</v>
      </c>
      <c r="H45" s="138">
        <v>0</v>
      </c>
      <c r="I45" s="138">
        <v>0</v>
      </c>
      <c r="J45" s="138">
        <v>6103.32</v>
      </c>
      <c r="K45" s="138">
        <v>0</v>
      </c>
      <c r="L45" s="138">
        <v>30313.07</v>
      </c>
    </row>
    <row r="46" spans="1:12" x14ac:dyDescent="0.3">
      <c r="A46" s="136" t="s">
        <v>1040</v>
      </c>
      <c r="B46" s="137" t="s">
        <v>650</v>
      </c>
      <c r="C46" s="138">
        <v>0</v>
      </c>
      <c r="D46" s="138">
        <v>6103.32</v>
      </c>
      <c r="E46" s="138">
        <v>0</v>
      </c>
      <c r="F46" s="138">
        <v>0</v>
      </c>
      <c r="G46" s="138">
        <v>0</v>
      </c>
      <c r="H46" s="138">
        <v>0</v>
      </c>
      <c r="I46" s="138">
        <v>6103.32</v>
      </c>
      <c r="J46" s="138">
        <v>0</v>
      </c>
      <c r="K46" s="138">
        <v>0</v>
      </c>
      <c r="L46" s="138">
        <v>0</v>
      </c>
    </row>
    <row r="47" spans="1:12" x14ac:dyDescent="0.3">
      <c r="A47" s="136" t="s">
        <v>1041</v>
      </c>
      <c r="B47" s="137" t="s">
        <v>652</v>
      </c>
      <c r="C47" s="138">
        <v>0</v>
      </c>
      <c r="D47" s="138">
        <v>192.67000000000002</v>
      </c>
      <c r="E47" s="138">
        <v>0</v>
      </c>
      <c r="F47" s="138">
        <v>266.75</v>
      </c>
      <c r="G47" s="138">
        <v>0</v>
      </c>
      <c r="H47" s="138">
        <v>16.080000000000002</v>
      </c>
      <c r="I47" s="138">
        <v>105.13</v>
      </c>
      <c r="J47" s="138">
        <v>195.29</v>
      </c>
      <c r="K47" s="138">
        <v>0</v>
      </c>
      <c r="L47" s="138">
        <v>282.83</v>
      </c>
    </row>
    <row r="48" spans="1:12" x14ac:dyDescent="0.3">
      <c r="A48" s="136" t="s">
        <v>1042</v>
      </c>
      <c r="B48" s="137" t="s">
        <v>1043</v>
      </c>
      <c r="C48" s="138">
        <v>0</v>
      </c>
      <c r="D48" s="138">
        <v>-1357.8</v>
      </c>
      <c r="E48" s="138">
        <v>0</v>
      </c>
      <c r="F48" s="138">
        <v>-1357.8</v>
      </c>
      <c r="G48" s="138">
        <v>1803.26</v>
      </c>
      <c r="H48" s="138">
        <v>1357.8</v>
      </c>
      <c r="I48" s="138">
        <v>1803.26</v>
      </c>
      <c r="J48" s="138">
        <v>1357.8</v>
      </c>
      <c r="K48" s="138">
        <v>0</v>
      </c>
      <c r="L48" s="138">
        <v>-1803.26</v>
      </c>
    </row>
    <row r="49" spans="1:12" x14ac:dyDescent="0.3">
      <c r="A49" s="136" t="s">
        <v>1044</v>
      </c>
      <c r="B49" s="137" t="s">
        <v>1045</v>
      </c>
      <c r="C49" s="138">
        <v>0</v>
      </c>
      <c r="D49" s="138">
        <v>0</v>
      </c>
      <c r="E49" s="138">
        <v>1431.71</v>
      </c>
      <c r="F49" s="138">
        <v>0</v>
      </c>
      <c r="G49" s="138">
        <v>617.37</v>
      </c>
      <c r="H49" s="138">
        <v>0</v>
      </c>
      <c r="I49" s="138">
        <v>2049.08</v>
      </c>
      <c r="J49" s="138">
        <v>0</v>
      </c>
      <c r="K49" s="138">
        <v>2049.08</v>
      </c>
      <c r="L49" s="138">
        <v>0</v>
      </c>
    </row>
    <row r="50" spans="1:12" x14ac:dyDescent="0.3">
      <c r="A50" s="136" t="s">
        <v>1046</v>
      </c>
      <c r="B50" s="137" t="s">
        <v>1047</v>
      </c>
      <c r="C50" s="138">
        <v>0</v>
      </c>
      <c r="D50" s="138">
        <v>0</v>
      </c>
      <c r="E50" s="138">
        <v>2126.29</v>
      </c>
      <c r="F50" s="138">
        <v>0</v>
      </c>
      <c r="G50" s="138">
        <v>332.52</v>
      </c>
      <c r="H50" s="138">
        <v>0</v>
      </c>
      <c r="I50" s="138">
        <v>2598.81</v>
      </c>
      <c r="J50" s="138">
        <v>140</v>
      </c>
      <c r="K50" s="138">
        <v>2458.81</v>
      </c>
      <c r="L50" s="138">
        <v>0</v>
      </c>
    </row>
    <row r="51" spans="1:12" x14ac:dyDescent="0.3">
      <c r="A51" s="136" t="s">
        <v>1048</v>
      </c>
      <c r="B51" s="137" t="s">
        <v>1049</v>
      </c>
      <c r="C51" s="138">
        <v>0</v>
      </c>
      <c r="D51" s="138">
        <v>0</v>
      </c>
      <c r="E51" s="138">
        <v>320100.75</v>
      </c>
      <c r="F51" s="138">
        <v>0</v>
      </c>
      <c r="G51" s="138">
        <v>30410.87</v>
      </c>
      <c r="H51" s="138">
        <v>21.19</v>
      </c>
      <c r="I51" s="138">
        <v>351117.72000000003</v>
      </c>
      <c r="J51" s="138">
        <v>627.29</v>
      </c>
      <c r="K51" s="138">
        <v>350490.43</v>
      </c>
      <c r="L51" s="138">
        <v>0</v>
      </c>
    </row>
    <row r="52" spans="1:12" x14ac:dyDescent="0.3">
      <c r="A52" s="136" t="s">
        <v>1050</v>
      </c>
      <c r="B52" s="137" t="s">
        <v>740</v>
      </c>
      <c r="C52" s="138">
        <v>0</v>
      </c>
      <c r="D52" s="138">
        <v>0</v>
      </c>
      <c r="E52" s="138">
        <v>952.52</v>
      </c>
      <c r="F52" s="138">
        <v>0</v>
      </c>
      <c r="G52" s="138">
        <v>105.4</v>
      </c>
      <c r="H52" s="138">
        <v>368.72</v>
      </c>
      <c r="I52" s="138">
        <v>2903.63</v>
      </c>
      <c r="J52" s="138">
        <v>2214.4299999999998</v>
      </c>
      <c r="K52" s="138">
        <v>689.2</v>
      </c>
      <c r="L52" s="138">
        <v>0</v>
      </c>
    </row>
    <row r="53" spans="1:12" x14ac:dyDescent="0.3">
      <c r="A53" s="136" t="s">
        <v>1051</v>
      </c>
      <c r="B53" s="137" t="s">
        <v>1052</v>
      </c>
      <c r="C53" s="138">
        <v>0</v>
      </c>
      <c r="D53" s="138">
        <v>0</v>
      </c>
      <c r="E53" s="138">
        <v>5015.6000000000004</v>
      </c>
      <c r="F53" s="138">
        <v>0</v>
      </c>
      <c r="G53" s="138">
        <v>304.2</v>
      </c>
      <c r="H53" s="138">
        <v>0</v>
      </c>
      <c r="I53" s="138">
        <v>5319.8</v>
      </c>
      <c r="J53" s="138">
        <v>0</v>
      </c>
      <c r="K53" s="138">
        <v>5319.8</v>
      </c>
      <c r="L53" s="138">
        <v>0</v>
      </c>
    </row>
    <row r="54" spans="1:12" x14ac:dyDescent="0.3">
      <c r="A54" s="136" t="s">
        <v>1053</v>
      </c>
      <c r="B54" s="137" t="s">
        <v>764</v>
      </c>
      <c r="C54" s="138">
        <v>0</v>
      </c>
      <c r="D54" s="138">
        <v>0</v>
      </c>
      <c r="E54" s="138">
        <v>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138">
        <v>0</v>
      </c>
    </row>
    <row r="55" spans="1:12" x14ac:dyDescent="0.3">
      <c r="A55" s="136" t="s">
        <v>1054</v>
      </c>
      <c r="B55" s="137" t="s">
        <v>914</v>
      </c>
      <c r="C55" s="138">
        <v>0</v>
      </c>
      <c r="D55" s="138">
        <v>0</v>
      </c>
      <c r="E55" s="138">
        <v>13208.64</v>
      </c>
      <c r="F55" s="138">
        <v>0</v>
      </c>
      <c r="G55" s="138">
        <v>10663.85</v>
      </c>
      <c r="H55" s="138">
        <v>0</v>
      </c>
      <c r="I55" s="138">
        <v>23872.49</v>
      </c>
      <c r="J55" s="138">
        <v>0</v>
      </c>
      <c r="K55" s="138">
        <v>23872.49</v>
      </c>
      <c r="L55" s="138">
        <v>0</v>
      </c>
    </row>
    <row r="56" spans="1:12" x14ac:dyDescent="0.3">
      <c r="A56" s="136" t="s">
        <v>1055</v>
      </c>
      <c r="B56" s="137" t="s">
        <v>804</v>
      </c>
      <c r="C56" s="138">
        <v>0</v>
      </c>
      <c r="D56" s="138">
        <v>0</v>
      </c>
      <c r="E56" s="138">
        <v>39066.559999999998</v>
      </c>
      <c r="F56" s="138">
        <v>0</v>
      </c>
      <c r="G56" s="138">
        <v>2737.94</v>
      </c>
      <c r="H56" s="138">
        <v>0</v>
      </c>
      <c r="I56" s="138">
        <v>41804.5</v>
      </c>
      <c r="J56" s="138">
        <v>0</v>
      </c>
      <c r="K56" s="138">
        <v>41804.5</v>
      </c>
      <c r="L56" s="138">
        <v>0</v>
      </c>
    </row>
    <row r="57" spans="1:12" x14ac:dyDescent="0.3">
      <c r="A57" s="136" t="s">
        <v>1056</v>
      </c>
      <c r="B57" s="137" t="s">
        <v>832</v>
      </c>
      <c r="C57" s="138">
        <v>0</v>
      </c>
      <c r="D57" s="138">
        <v>0</v>
      </c>
      <c r="E57" s="138">
        <v>14152.81</v>
      </c>
      <c r="F57" s="138">
        <v>0</v>
      </c>
      <c r="G57" s="138">
        <v>1000.57</v>
      </c>
      <c r="H57" s="138">
        <v>0</v>
      </c>
      <c r="I57" s="138">
        <v>15153.380000000001</v>
      </c>
      <c r="J57" s="138">
        <v>0</v>
      </c>
      <c r="K57" s="138">
        <v>15153.380000000001</v>
      </c>
      <c r="L57" s="138">
        <v>0</v>
      </c>
    </row>
    <row r="58" spans="1:12" x14ac:dyDescent="0.3">
      <c r="A58" s="136" t="s">
        <v>1057</v>
      </c>
      <c r="B58" s="137" t="s">
        <v>1058</v>
      </c>
      <c r="C58" s="138">
        <v>0</v>
      </c>
      <c r="D58" s="138">
        <v>0</v>
      </c>
      <c r="E58" s="138">
        <v>3236.4700000000003</v>
      </c>
      <c r="F58" s="138">
        <v>0</v>
      </c>
      <c r="G58" s="138">
        <v>236.98000000000002</v>
      </c>
      <c r="H58" s="138">
        <v>17.5</v>
      </c>
      <c r="I58" s="138">
        <v>3505.4500000000003</v>
      </c>
      <c r="J58" s="138">
        <v>49.5</v>
      </c>
      <c r="K58" s="138">
        <v>3455.9500000000003</v>
      </c>
      <c r="L58" s="138">
        <v>0</v>
      </c>
    </row>
    <row r="59" spans="1:12" x14ac:dyDescent="0.3">
      <c r="A59" s="136" t="s">
        <v>1059</v>
      </c>
      <c r="B59" s="137" t="s">
        <v>868</v>
      </c>
      <c r="C59" s="138">
        <v>0</v>
      </c>
      <c r="D59" s="138">
        <v>0</v>
      </c>
      <c r="E59" s="138">
        <v>356</v>
      </c>
      <c r="F59" s="138">
        <v>0</v>
      </c>
      <c r="G59" s="138">
        <v>0</v>
      </c>
      <c r="H59" s="138">
        <v>0</v>
      </c>
      <c r="I59" s="138">
        <v>356</v>
      </c>
      <c r="J59" s="138">
        <v>0</v>
      </c>
      <c r="K59" s="138">
        <v>356</v>
      </c>
      <c r="L59" s="138">
        <v>0</v>
      </c>
    </row>
    <row r="60" spans="1:12" x14ac:dyDescent="0.3">
      <c r="A60" s="136" t="s">
        <v>1060</v>
      </c>
      <c r="B60" s="137" t="s">
        <v>603</v>
      </c>
      <c r="C60" s="138">
        <v>0</v>
      </c>
      <c r="D60" s="138">
        <v>0</v>
      </c>
      <c r="E60" s="138">
        <v>55.68</v>
      </c>
      <c r="F60" s="138">
        <v>0</v>
      </c>
      <c r="G60" s="138">
        <v>0</v>
      </c>
      <c r="H60" s="138">
        <v>0</v>
      </c>
      <c r="I60" s="138">
        <v>55.68</v>
      </c>
      <c r="J60" s="138">
        <v>0</v>
      </c>
      <c r="K60" s="138">
        <v>55.68</v>
      </c>
      <c r="L60" s="138">
        <v>0</v>
      </c>
    </row>
    <row r="61" spans="1:12" x14ac:dyDescent="0.3">
      <c r="A61" s="136" t="s">
        <v>1061</v>
      </c>
      <c r="B61" s="137" t="s">
        <v>1062</v>
      </c>
      <c r="C61" s="138">
        <v>0</v>
      </c>
      <c r="D61" s="138">
        <v>0</v>
      </c>
      <c r="E61" s="138">
        <v>500</v>
      </c>
      <c r="F61" s="138">
        <v>0</v>
      </c>
      <c r="G61" s="138">
        <v>0</v>
      </c>
      <c r="H61" s="138">
        <v>0</v>
      </c>
      <c r="I61" s="138">
        <v>500</v>
      </c>
      <c r="J61" s="138">
        <v>0</v>
      </c>
      <c r="K61" s="138">
        <v>500</v>
      </c>
      <c r="L61" s="138">
        <v>0</v>
      </c>
    </row>
    <row r="62" spans="1:12" x14ac:dyDescent="0.3">
      <c r="A62" s="136" t="s">
        <v>1063</v>
      </c>
      <c r="B62" s="137" t="s">
        <v>1064</v>
      </c>
      <c r="C62" s="138">
        <v>0</v>
      </c>
      <c r="D62" s="138">
        <v>0</v>
      </c>
      <c r="E62" s="138">
        <v>-6.91</v>
      </c>
      <c r="F62" s="138">
        <v>0</v>
      </c>
      <c r="G62" s="138">
        <v>162.54</v>
      </c>
      <c r="H62" s="138">
        <v>162.56</v>
      </c>
      <c r="I62" s="138">
        <v>4566.55</v>
      </c>
      <c r="J62" s="138">
        <v>4573.4800000000005</v>
      </c>
      <c r="K62" s="138">
        <v>-6.93</v>
      </c>
      <c r="L62" s="138">
        <v>0</v>
      </c>
    </row>
    <row r="63" spans="1:12" x14ac:dyDescent="0.3">
      <c r="A63" s="136" t="s">
        <v>1065</v>
      </c>
      <c r="B63" s="137" t="s">
        <v>1066</v>
      </c>
      <c r="C63" s="138">
        <v>0</v>
      </c>
      <c r="D63" s="138">
        <v>0</v>
      </c>
      <c r="E63" s="138">
        <v>765.06000000000006</v>
      </c>
      <c r="F63" s="138">
        <v>0</v>
      </c>
      <c r="G63" s="138">
        <v>53.03</v>
      </c>
      <c r="H63" s="138">
        <v>0</v>
      </c>
      <c r="I63" s="138">
        <v>818.09</v>
      </c>
      <c r="J63" s="138">
        <v>0</v>
      </c>
      <c r="K63" s="138">
        <v>818.09</v>
      </c>
      <c r="L63" s="138">
        <v>0</v>
      </c>
    </row>
    <row r="64" spans="1:12" x14ac:dyDescent="0.3">
      <c r="A64" s="136" t="s">
        <v>1067</v>
      </c>
      <c r="B64" s="137" t="s">
        <v>1068</v>
      </c>
      <c r="C64" s="138">
        <v>0</v>
      </c>
      <c r="D64" s="138">
        <v>0</v>
      </c>
      <c r="E64" s="138">
        <v>51.69</v>
      </c>
      <c r="F64" s="138">
        <v>0</v>
      </c>
      <c r="G64" s="138">
        <v>2.19</v>
      </c>
      <c r="H64" s="138">
        <v>0</v>
      </c>
      <c r="I64" s="138">
        <v>92.39</v>
      </c>
      <c r="J64" s="138">
        <v>38.51</v>
      </c>
      <c r="K64" s="138">
        <v>53.88</v>
      </c>
      <c r="L64" s="138">
        <v>0</v>
      </c>
    </row>
    <row r="65" spans="1:12" x14ac:dyDescent="0.3">
      <c r="A65" s="136" t="s">
        <v>1069</v>
      </c>
      <c r="B65" s="137" t="s">
        <v>1070</v>
      </c>
      <c r="C65" s="138">
        <v>0</v>
      </c>
      <c r="D65" s="138">
        <v>0</v>
      </c>
      <c r="E65" s="138">
        <v>6021.18</v>
      </c>
      <c r="F65" s="138">
        <v>0</v>
      </c>
      <c r="G65" s="138">
        <v>574.80000000000007</v>
      </c>
      <c r="H65" s="138">
        <v>0</v>
      </c>
      <c r="I65" s="138">
        <v>6595.9800000000005</v>
      </c>
      <c r="J65" s="138">
        <v>0</v>
      </c>
      <c r="K65" s="138">
        <v>6595.9800000000005</v>
      </c>
      <c r="L65" s="138">
        <v>0</v>
      </c>
    </row>
    <row r="66" spans="1:12" x14ac:dyDescent="0.3">
      <c r="A66" s="136" t="s">
        <v>1071</v>
      </c>
      <c r="B66" s="137" t="s">
        <v>1072</v>
      </c>
      <c r="C66" s="138">
        <v>0</v>
      </c>
      <c r="D66" s="138">
        <v>0</v>
      </c>
      <c r="E66" s="138">
        <v>0</v>
      </c>
      <c r="F66" s="138">
        <v>0</v>
      </c>
      <c r="G66" s="138">
        <v>0</v>
      </c>
      <c r="H66" s="138">
        <v>0</v>
      </c>
      <c r="I66" s="138">
        <v>0</v>
      </c>
      <c r="J66" s="138">
        <v>0</v>
      </c>
      <c r="K66" s="138">
        <v>0</v>
      </c>
      <c r="L66" s="138">
        <v>0</v>
      </c>
    </row>
    <row r="67" spans="1:12" x14ac:dyDescent="0.3">
      <c r="A67" s="136" t="s">
        <v>1073</v>
      </c>
      <c r="B67" s="137" t="s">
        <v>1074</v>
      </c>
      <c r="C67" s="138">
        <v>0</v>
      </c>
      <c r="D67" s="138">
        <v>0</v>
      </c>
      <c r="E67" s="138">
        <v>997.61</v>
      </c>
      <c r="F67" s="138">
        <v>0</v>
      </c>
      <c r="G67" s="138">
        <v>106.29</v>
      </c>
      <c r="H67" s="138">
        <v>0</v>
      </c>
      <c r="I67" s="138">
        <v>1103.9000000000001</v>
      </c>
      <c r="J67" s="138">
        <v>0</v>
      </c>
      <c r="K67" s="138">
        <v>1103.9000000000001</v>
      </c>
      <c r="L67" s="138">
        <v>0</v>
      </c>
    </row>
    <row r="68" spans="1:12" x14ac:dyDescent="0.3">
      <c r="A68" s="136" t="s">
        <v>1075</v>
      </c>
      <c r="B68" s="137" t="s">
        <v>1076</v>
      </c>
      <c r="C68" s="138">
        <v>0</v>
      </c>
      <c r="D68" s="138">
        <v>0</v>
      </c>
      <c r="E68" s="138">
        <v>0</v>
      </c>
      <c r="F68" s="138">
        <v>0</v>
      </c>
      <c r="G68" s="138">
        <v>4058.86</v>
      </c>
      <c r="H68" s="138">
        <v>0</v>
      </c>
      <c r="I68" s="138">
        <v>4058.86</v>
      </c>
      <c r="J68" s="138">
        <v>0</v>
      </c>
      <c r="K68" s="138">
        <v>4058.86</v>
      </c>
      <c r="L68" s="138">
        <v>0</v>
      </c>
    </row>
    <row r="69" spans="1:12" x14ac:dyDescent="0.3">
      <c r="A69" s="136" t="s">
        <v>1077</v>
      </c>
      <c r="B69" s="137" t="s">
        <v>1078</v>
      </c>
      <c r="C69" s="138">
        <v>0</v>
      </c>
      <c r="D69" s="138">
        <v>0</v>
      </c>
      <c r="E69" s="138">
        <v>0</v>
      </c>
      <c r="F69" s="138">
        <v>0</v>
      </c>
      <c r="G69" s="138">
        <v>1357.8</v>
      </c>
      <c r="H69" s="138">
        <v>1803.26</v>
      </c>
      <c r="I69" s="138">
        <v>1357.8</v>
      </c>
      <c r="J69" s="138">
        <v>1803.26</v>
      </c>
      <c r="K69" s="138">
        <v>-445.46000000000004</v>
      </c>
      <c r="L69" s="138">
        <v>0</v>
      </c>
    </row>
    <row r="70" spans="1:12" x14ac:dyDescent="0.3">
      <c r="A70" s="136" t="s">
        <v>1079</v>
      </c>
      <c r="B70" s="137" t="s">
        <v>1080</v>
      </c>
      <c r="C70" s="138">
        <v>0</v>
      </c>
      <c r="D70" s="138">
        <v>0</v>
      </c>
      <c r="E70" s="138">
        <v>0</v>
      </c>
      <c r="F70" s="138">
        <v>167.07</v>
      </c>
      <c r="G70" s="138">
        <v>0</v>
      </c>
      <c r="H70" s="138">
        <v>0</v>
      </c>
      <c r="I70" s="138">
        <v>0</v>
      </c>
      <c r="J70" s="138">
        <v>167.07</v>
      </c>
      <c r="K70" s="138">
        <v>0</v>
      </c>
      <c r="L70" s="138">
        <v>167.07</v>
      </c>
    </row>
    <row r="71" spans="1:12" x14ac:dyDescent="0.3">
      <c r="A71" s="136" t="s">
        <v>1081</v>
      </c>
      <c r="B71" s="137" t="s">
        <v>1082</v>
      </c>
      <c r="C71" s="138">
        <v>0</v>
      </c>
      <c r="D71" s="138">
        <v>0</v>
      </c>
      <c r="E71" s="138">
        <v>0</v>
      </c>
      <c r="F71" s="138">
        <v>427272.69</v>
      </c>
      <c r="G71" s="138">
        <v>0</v>
      </c>
      <c r="H71" s="138">
        <v>41471.01</v>
      </c>
      <c r="I71" s="138">
        <v>0</v>
      </c>
      <c r="J71" s="138">
        <v>468743.7</v>
      </c>
      <c r="K71" s="138">
        <v>0</v>
      </c>
      <c r="L71" s="138">
        <v>468743.7</v>
      </c>
    </row>
    <row r="72" spans="1:12" x14ac:dyDescent="0.3">
      <c r="A72" s="136" t="s">
        <v>1083</v>
      </c>
      <c r="B72" s="137" t="s">
        <v>943</v>
      </c>
      <c r="C72" s="138">
        <v>0</v>
      </c>
      <c r="D72" s="138">
        <v>0</v>
      </c>
      <c r="E72" s="138">
        <v>0</v>
      </c>
      <c r="F72" s="138">
        <v>567.4</v>
      </c>
      <c r="G72" s="138">
        <v>0</v>
      </c>
      <c r="H72" s="138">
        <v>102.79</v>
      </c>
      <c r="I72" s="138">
        <v>0</v>
      </c>
      <c r="J72" s="138">
        <v>670.19</v>
      </c>
      <c r="K72" s="138">
        <v>0</v>
      </c>
      <c r="L72" s="138">
        <v>670.19</v>
      </c>
    </row>
    <row r="73" spans="1:12" x14ac:dyDescent="0.3">
      <c r="A73" s="136" t="s">
        <v>1084</v>
      </c>
      <c r="B73" s="137" t="s">
        <v>1072</v>
      </c>
      <c r="C73" s="138">
        <v>0</v>
      </c>
      <c r="D73" s="138">
        <v>0</v>
      </c>
      <c r="E73" s="138">
        <v>0</v>
      </c>
      <c r="F73" s="138">
        <v>886.5</v>
      </c>
      <c r="G73" s="138">
        <v>0</v>
      </c>
      <c r="H73" s="138">
        <v>129.34</v>
      </c>
      <c r="I73" s="138">
        <v>0</v>
      </c>
      <c r="J73" s="138">
        <v>1015.84</v>
      </c>
      <c r="K73" s="138">
        <v>0</v>
      </c>
      <c r="L73" s="138">
        <v>1015.84</v>
      </c>
    </row>
    <row r="74" spans="1:12" x14ac:dyDescent="0.3">
      <c r="A74" s="136" t="s">
        <v>1085</v>
      </c>
      <c r="B74" s="137" t="s">
        <v>1086</v>
      </c>
      <c r="C74" s="138">
        <v>0</v>
      </c>
      <c r="D74" s="138">
        <v>0</v>
      </c>
      <c r="E74" s="138">
        <v>50</v>
      </c>
      <c r="F74" s="138">
        <v>0</v>
      </c>
      <c r="G74" s="138">
        <v>0</v>
      </c>
      <c r="H74" s="138">
        <v>0</v>
      </c>
      <c r="I74" s="138">
        <v>50</v>
      </c>
      <c r="J74" s="138">
        <v>0</v>
      </c>
      <c r="K74" s="138">
        <v>50</v>
      </c>
      <c r="L74" s="138">
        <v>0</v>
      </c>
    </row>
    <row r="75" spans="1:12" x14ac:dyDescent="0.3">
      <c r="A75" s="136" t="s">
        <v>1087</v>
      </c>
      <c r="B75" s="137" t="s">
        <v>1088</v>
      </c>
      <c r="C75" s="138">
        <v>0</v>
      </c>
      <c r="D75" s="138">
        <v>0</v>
      </c>
      <c r="E75" s="138">
        <v>-50</v>
      </c>
      <c r="F75" s="138">
        <v>0</v>
      </c>
      <c r="G75" s="138">
        <v>0</v>
      </c>
      <c r="H75" s="138">
        <v>0</v>
      </c>
      <c r="I75" s="138">
        <v>0</v>
      </c>
      <c r="J75" s="138">
        <v>50</v>
      </c>
      <c r="K75" s="138">
        <v>-50</v>
      </c>
      <c r="L75" s="138">
        <v>0</v>
      </c>
    </row>
    <row r="76" spans="1:12" x14ac:dyDescent="0.3">
      <c r="A76" s="136"/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138"/>
    </row>
    <row r="77" spans="1:12" x14ac:dyDescent="0.3">
      <c r="A77" s="136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138"/>
    </row>
    <row r="78" spans="1:12" x14ac:dyDescent="0.3">
      <c r="A78" s="136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138"/>
    </row>
    <row r="79" spans="1:12" x14ac:dyDescent="0.3">
      <c r="A79" s="136"/>
      <c r="B79" s="137"/>
      <c r="C79" s="138"/>
      <c r="D79" s="138"/>
      <c r="E79" s="138"/>
      <c r="F79" s="138"/>
      <c r="G79" s="138"/>
      <c r="H79" s="138"/>
      <c r="I79" s="138"/>
      <c r="J79" s="138"/>
      <c r="K79" s="138"/>
      <c r="L79" s="138"/>
    </row>
    <row r="80" spans="1:12" x14ac:dyDescent="0.3">
      <c r="A80" s="136"/>
      <c r="B80" s="137"/>
      <c r="C80" s="138"/>
      <c r="D80" s="138"/>
      <c r="E80" s="138"/>
      <c r="F80" s="138"/>
      <c r="G80" s="138"/>
      <c r="H80" s="138"/>
      <c r="I80" s="138"/>
      <c r="J80" s="138"/>
      <c r="K80" s="138"/>
      <c r="L80" s="138"/>
    </row>
    <row r="81" spans="1:12" x14ac:dyDescent="0.3">
      <c r="A81" s="136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</row>
    <row r="82" spans="1:12" x14ac:dyDescent="0.3">
      <c r="A82" s="136"/>
      <c r="B82" s="137"/>
      <c r="C82" s="138"/>
      <c r="D82" s="138"/>
      <c r="E82" s="138"/>
      <c r="F82" s="138"/>
      <c r="G82" s="138"/>
      <c r="H82" s="138"/>
      <c r="I82" s="138"/>
      <c r="J82" s="138"/>
      <c r="K82" s="138"/>
      <c r="L82" s="138"/>
    </row>
    <row r="83" spans="1:12" x14ac:dyDescent="0.3">
      <c r="A83" s="136"/>
      <c r="B83" s="137"/>
      <c r="C83" s="138"/>
      <c r="D83" s="138"/>
      <c r="E83" s="138"/>
      <c r="F83" s="138"/>
      <c r="G83" s="138"/>
      <c r="H83" s="138"/>
      <c r="I83" s="138"/>
      <c r="J83" s="138"/>
      <c r="K83" s="138"/>
      <c r="L83" s="138"/>
    </row>
    <row r="84" spans="1:12" x14ac:dyDescent="0.3">
      <c r="A84" s="136"/>
      <c r="B84" s="137"/>
      <c r="C84" s="138"/>
      <c r="D84" s="138"/>
      <c r="E84" s="138"/>
      <c r="F84" s="138"/>
      <c r="G84" s="138"/>
      <c r="H84" s="138"/>
      <c r="I84" s="138"/>
      <c r="J84" s="138"/>
      <c r="K84" s="138"/>
      <c r="L84" s="138"/>
    </row>
    <row r="85" spans="1:12" x14ac:dyDescent="0.3">
      <c r="A85" s="136"/>
      <c r="B85" s="137"/>
      <c r="C85" s="138"/>
      <c r="D85" s="138"/>
      <c r="E85" s="138"/>
      <c r="F85" s="138"/>
      <c r="G85" s="138"/>
      <c r="H85" s="138"/>
      <c r="I85" s="138"/>
      <c r="J85" s="138"/>
      <c r="K85" s="138"/>
      <c r="L85" s="138"/>
    </row>
    <row r="86" spans="1:12" x14ac:dyDescent="0.3">
      <c r="A86" s="136"/>
      <c r="B86" s="137"/>
      <c r="C86" s="138"/>
      <c r="D86" s="138"/>
      <c r="E86" s="138"/>
      <c r="F86" s="138"/>
      <c r="G86" s="138"/>
      <c r="H86" s="138"/>
      <c r="I86" s="138"/>
      <c r="J86" s="138"/>
      <c r="K86" s="138"/>
      <c r="L86" s="138"/>
    </row>
    <row r="87" spans="1:12" x14ac:dyDescent="0.3">
      <c r="A87" s="136"/>
      <c r="B87" s="137"/>
      <c r="C87" s="138"/>
      <c r="D87" s="138"/>
      <c r="E87" s="138"/>
      <c r="F87" s="138"/>
      <c r="G87" s="138"/>
      <c r="H87" s="138"/>
      <c r="I87" s="138"/>
      <c r="J87" s="138"/>
      <c r="K87" s="138"/>
      <c r="L87" s="138"/>
    </row>
    <row r="88" spans="1:12" x14ac:dyDescent="0.3">
      <c r="A88" s="136"/>
      <c r="B88" s="137"/>
      <c r="C88" s="138"/>
      <c r="D88" s="138"/>
      <c r="E88" s="138"/>
      <c r="F88" s="138"/>
      <c r="G88" s="138"/>
      <c r="H88" s="138"/>
      <c r="I88" s="138"/>
      <c r="J88" s="138"/>
      <c r="K88" s="138"/>
      <c r="L88" s="138"/>
    </row>
    <row r="89" spans="1:12" x14ac:dyDescent="0.3">
      <c r="A89" s="136"/>
      <c r="B89" s="137"/>
      <c r="C89" s="138"/>
      <c r="D89" s="138"/>
      <c r="E89" s="138"/>
      <c r="F89" s="138"/>
      <c r="G89" s="138"/>
      <c r="H89" s="138"/>
      <c r="I89" s="138"/>
      <c r="J89" s="138"/>
      <c r="K89" s="138"/>
      <c r="L89" s="138"/>
    </row>
    <row r="90" spans="1:12" x14ac:dyDescent="0.3">
      <c r="A90" s="136"/>
      <c r="B90" s="137"/>
      <c r="C90" s="138"/>
      <c r="D90" s="138"/>
      <c r="E90" s="138"/>
      <c r="F90" s="138"/>
      <c r="G90" s="138"/>
      <c r="H90" s="138"/>
      <c r="I90" s="138"/>
      <c r="J90" s="138"/>
      <c r="K90" s="138"/>
      <c r="L90" s="138"/>
    </row>
    <row r="91" spans="1:12" x14ac:dyDescent="0.3">
      <c r="A91" s="136"/>
      <c r="B91" s="137"/>
      <c r="C91" s="138"/>
      <c r="D91" s="138"/>
      <c r="E91" s="138"/>
      <c r="F91" s="138"/>
      <c r="G91" s="138"/>
      <c r="H91" s="138"/>
      <c r="I91" s="138"/>
      <c r="J91" s="138"/>
      <c r="K91" s="138"/>
      <c r="L91" s="138"/>
    </row>
    <row r="92" spans="1:12" x14ac:dyDescent="0.3">
      <c r="A92" s="136"/>
      <c r="B92" s="137"/>
      <c r="C92" s="138"/>
      <c r="D92" s="138"/>
      <c r="E92" s="138"/>
      <c r="F92" s="138"/>
      <c r="G92" s="138"/>
      <c r="H92" s="138"/>
      <c r="I92" s="138"/>
      <c r="J92" s="138"/>
      <c r="K92" s="138"/>
      <c r="L92" s="138"/>
    </row>
    <row r="93" spans="1:12" x14ac:dyDescent="0.3">
      <c r="A93" s="136"/>
      <c r="B93" s="137"/>
      <c r="C93" s="138"/>
      <c r="D93" s="138"/>
      <c r="E93" s="138"/>
      <c r="F93" s="138"/>
      <c r="G93" s="138"/>
      <c r="H93" s="138"/>
      <c r="I93" s="138"/>
      <c r="J93" s="138"/>
      <c r="K93" s="138"/>
      <c r="L93" s="138"/>
    </row>
    <row r="94" spans="1:12" x14ac:dyDescent="0.3">
      <c r="A94" s="136"/>
      <c r="B94" s="137"/>
      <c r="C94" s="138"/>
      <c r="D94" s="138"/>
      <c r="E94" s="138"/>
      <c r="F94" s="138"/>
      <c r="G94" s="138"/>
      <c r="H94" s="138"/>
      <c r="I94" s="138"/>
      <c r="J94" s="138"/>
      <c r="K94" s="138"/>
      <c r="L94" s="138"/>
    </row>
    <row r="95" spans="1:12" x14ac:dyDescent="0.3">
      <c r="A95" s="136"/>
      <c r="B95" s="137"/>
      <c r="C95" s="138"/>
      <c r="D95" s="138"/>
      <c r="E95" s="138"/>
      <c r="F95" s="138"/>
      <c r="G95" s="138"/>
      <c r="H95" s="138"/>
      <c r="I95" s="138"/>
      <c r="J95" s="138"/>
      <c r="K95" s="138"/>
      <c r="L95" s="138"/>
    </row>
    <row r="96" spans="1:12" x14ac:dyDescent="0.3">
      <c r="A96" s="136"/>
      <c r="B96" s="137"/>
      <c r="C96" s="138"/>
      <c r="D96" s="138"/>
      <c r="E96" s="138"/>
      <c r="F96" s="138"/>
      <c r="G96" s="138"/>
      <c r="H96" s="138"/>
      <c r="I96" s="138"/>
      <c r="J96" s="138"/>
      <c r="K96" s="138"/>
      <c r="L96" s="138"/>
    </row>
    <row r="97" spans="1:12" x14ac:dyDescent="0.3">
      <c r="A97" s="136"/>
      <c r="B97" s="137"/>
      <c r="C97" s="138"/>
      <c r="D97" s="138"/>
      <c r="E97" s="138"/>
      <c r="F97" s="138"/>
      <c r="G97" s="138"/>
      <c r="H97" s="138"/>
      <c r="I97" s="138"/>
      <c r="J97" s="138"/>
      <c r="K97" s="138"/>
      <c r="L97" s="138"/>
    </row>
    <row r="98" spans="1:12" x14ac:dyDescent="0.3">
      <c r="A98" s="136"/>
      <c r="B98" s="137"/>
      <c r="C98" s="138"/>
      <c r="D98" s="138"/>
      <c r="E98" s="138"/>
      <c r="F98" s="138"/>
      <c r="G98" s="138"/>
      <c r="H98" s="138"/>
      <c r="I98" s="138"/>
      <c r="J98" s="138"/>
      <c r="K98" s="138"/>
      <c r="L98" s="138"/>
    </row>
    <row r="99" spans="1:12" x14ac:dyDescent="0.3">
      <c r="A99" s="136"/>
      <c r="B99" s="137"/>
      <c r="C99" s="138"/>
      <c r="D99" s="138"/>
      <c r="E99" s="138"/>
      <c r="F99" s="138"/>
      <c r="G99" s="138"/>
      <c r="H99" s="138"/>
      <c r="I99" s="138"/>
      <c r="J99" s="138"/>
      <c r="K99" s="138"/>
      <c r="L99" s="138"/>
    </row>
    <row r="100" spans="1:12" x14ac:dyDescent="0.3">
      <c r="A100" s="136"/>
      <c r="B100" s="137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</row>
    <row r="101" spans="1:12" x14ac:dyDescent="0.3">
      <c r="A101" s="136"/>
      <c r="B101" s="137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</row>
    <row r="102" spans="1:12" x14ac:dyDescent="0.3">
      <c r="A102" s="136"/>
      <c r="B102" s="137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</row>
    <row r="103" spans="1:12" x14ac:dyDescent="0.3">
      <c r="A103" s="136"/>
      <c r="B103" s="137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</row>
    <row r="104" spans="1:12" x14ac:dyDescent="0.3">
      <c r="A104" s="136"/>
      <c r="B104" s="137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</row>
    <row r="105" spans="1:12" x14ac:dyDescent="0.3">
      <c r="A105" s="136"/>
      <c r="B105" s="137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</row>
    <row r="106" spans="1:12" x14ac:dyDescent="0.3">
      <c r="A106" s="136"/>
      <c r="B106" s="137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</row>
    <row r="107" spans="1:12" x14ac:dyDescent="0.3">
      <c r="A107" s="136"/>
      <c r="B107" s="137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</row>
    <row r="108" spans="1:12" x14ac:dyDescent="0.3">
      <c r="A108" s="136"/>
      <c r="B108" s="137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</row>
    <row r="109" spans="1:12" x14ac:dyDescent="0.3">
      <c r="A109" s="136"/>
      <c r="B109" s="137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</row>
    <row r="110" spans="1:12" x14ac:dyDescent="0.3">
      <c r="A110" s="136"/>
      <c r="B110" s="137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</row>
    <row r="111" spans="1:12" x14ac:dyDescent="0.3">
      <c r="A111" s="136"/>
      <c r="B111" s="137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</row>
    <row r="112" spans="1:12" x14ac:dyDescent="0.3">
      <c r="A112" s="136"/>
      <c r="B112" s="137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</row>
    <row r="113" spans="1:12" x14ac:dyDescent="0.3">
      <c r="A113" s="136"/>
      <c r="B113" s="137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</row>
    <row r="114" spans="1:12" x14ac:dyDescent="0.3">
      <c r="A114" s="136"/>
      <c r="B114" s="137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</row>
    <row r="115" spans="1:12" x14ac:dyDescent="0.3">
      <c r="A115" s="136"/>
      <c r="B115" s="137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</row>
    <row r="116" spans="1:12" x14ac:dyDescent="0.3">
      <c r="A116" s="136"/>
      <c r="B116" s="137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</row>
    <row r="117" spans="1:12" x14ac:dyDescent="0.3">
      <c r="A117" s="136"/>
      <c r="B117" s="137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</row>
    <row r="118" spans="1:12" x14ac:dyDescent="0.3">
      <c r="A118" s="136"/>
      <c r="B118" s="137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</row>
    <row r="119" spans="1:12" x14ac:dyDescent="0.3">
      <c r="A119" s="136"/>
      <c r="B119" s="137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</row>
    <row r="120" spans="1:12" x14ac:dyDescent="0.3">
      <c r="A120" s="136"/>
      <c r="B120" s="137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</row>
    <row r="121" spans="1:12" x14ac:dyDescent="0.3">
      <c r="A121" s="136"/>
      <c r="B121" s="137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</row>
    <row r="122" spans="1:12" x14ac:dyDescent="0.3">
      <c r="A122" s="136"/>
      <c r="B122" s="137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</row>
    <row r="123" spans="1:12" x14ac:dyDescent="0.3">
      <c r="A123" s="136"/>
      <c r="B123" s="137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</row>
    <row r="124" spans="1:12" x14ac:dyDescent="0.3">
      <c r="A124" s="136"/>
      <c r="B124" s="137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233"/>
  <sheetViews>
    <sheetView workbookViewId="0">
      <selection activeCell="B2" sqref="B2"/>
    </sheetView>
  </sheetViews>
  <sheetFormatPr defaultColWidth="9.109375" defaultRowHeight="14.4" x14ac:dyDescent="0.3"/>
  <cols>
    <col min="1" max="1" width="16.5546875" style="139" customWidth="1"/>
    <col min="2" max="2" width="46.6640625" style="17" customWidth="1"/>
    <col min="3" max="12" width="15.33203125" style="140" bestFit="1" customWidth="1"/>
  </cols>
  <sheetData>
    <row r="1" spans="1:12" ht="20.399999999999999" x14ac:dyDescent="0.3">
      <c r="A1" s="144" t="s">
        <v>367</v>
      </c>
      <c r="B1" s="145" t="s">
        <v>368</v>
      </c>
      <c r="C1" s="146" t="s">
        <v>370</v>
      </c>
      <c r="D1" s="146" t="s">
        <v>371</v>
      </c>
      <c r="E1" s="146" t="s">
        <v>372</v>
      </c>
      <c r="F1" s="146" t="s">
        <v>373</v>
      </c>
      <c r="G1" s="146" t="s">
        <v>374</v>
      </c>
      <c r="H1" s="146" t="s">
        <v>375</v>
      </c>
      <c r="I1" s="146" t="s">
        <v>376</v>
      </c>
      <c r="J1" s="146" t="s">
        <v>377</v>
      </c>
      <c r="K1" s="146" t="s">
        <v>378</v>
      </c>
      <c r="L1" s="146" t="s">
        <v>379</v>
      </c>
    </row>
    <row r="2" spans="1:12" x14ac:dyDescent="0.3">
      <c r="A2" s="136" t="s">
        <v>446</v>
      </c>
      <c r="B2" s="137" t="s">
        <v>447</v>
      </c>
      <c r="C2" s="138">
        <v>948</v>
      </c>
      <c r="D2" s="138">
        <v>0</v>
      </c>
      <c r="E2" s="138">
        <v>948</v>
      </c>
      <c r="F2" s="138">
        <v>0</v>
      </c>
      <c r="G2" s="138">
        <v>0</v>
      </c>
      <c r="H2" s="138">
        <v>0</v>
      </c>
      <c r="I2" s="138">
        <v>0</v>
      </c>
      <c r="J2" s="138">
        <v>0</v>
      </c>
      <c r="K2" s="138">
        <v>948</v>
      </c>
      <c r="L2" s="138">
        <v>0</v>
      </c>
    </row>
    <row r="3" spans="1:12" x14ac:dyDescent="0.3">
      <c r="A3" s="136" t="s">
        <v>448</v>
      </c>
      <c r="B3" s="137" t="s">
        <v>449</v>
      </c>
      <c r="C3" s="138">
        <v>30856.080000000002</v>
      </c>
      <c r="D3" s="138">
        <v>0</v>
      </c>
      <c r="E3" s="138">
        <v>30856.080000000002</v>
      </c>
      <c r="F3" s="138">
        <v>0</v>
      </c>
      <c r="G3" s="138">
        <v>0</v>
      </c>
      <c r="H3" s="138">
        <v>0</v>
      </c>
      <c r="I3" s="138">
        <v>0</v>
      </c>
      <c r="J3" s="138">
        <v>0</v>
      </c>
      <c r="K3" s="138">
        <v>30856.080000000002</v>
      </c>
      <c r="L3" s="138">
        <v>0</v>
      </c>
    </row>
    <row r="4" spans="1:12" x14ac:dyDescent="0.3">
      <c r="A4" s="136" t="s">
        <v>450</v>
      </c>
      <c r="B4" s="137" t="s">
        <v>451</v>
      </c>
      <c r="C4" s="138">
        <v>0</v>
      </c>
      <c r="D4" s="138">
        <v>0</v>
      </c>
      <c r="E4" s="138">
        <v>0</v>
      </c>
      <c r="F4" s="138">
        <v>0</v>
      </c>
      <c r="G4" s="138">
        <v>8575</v>
      </c>
      <c r="H4" s="138">
        <v>0</v>
      </c>
      <c r="I4" s="138">
        <v>8575</v>
      </c>
      <c r="J4" s="138">
        <v>0</v>
      </c>
      <c r="K4" s="138">
        <v>8575</v>
      </c>
      <c r="L4" s="138">
        <v>0</v>
      </c>
    </row>
    <row r="5" spans="1:12" x14ac:dyDescent="0.3">
      <c r="A5" s="136" t="s">
        <v>452</v>
      </c>
      <c r="B5" s="137" t="s">
        <v>453</v>
      </c>
      <c r="C5" s="138">
        <v>0</v>
      </c>
      <c r="D5" s="138">
        <v>0</v>
      </c>
      <c r="E5" s="138">
        <v>0</v>
      </c>
      <c r="F5" s="138">
        <v>0</v>
      </c>
      <c r="G5" s="138">
        <v>4718</v>
      </c>
      <c r="H5" s="138">
        <v>0</v>
      </c>
      <c r="I5" s="138">
        <v>4718</v>
      </c>
      <c r="J5" s="138">
        <v>0</v>
      </c>
      <c r="K5" s="138">
        <v>4718</v>
      </c>
      <c r="L5" s="138">
        <v>0</v>
      </c>
    </row>
    <row r="6" spans="1:12" x14ac:dyDescent="0.3">
      <c r="A6" s="136" t="s">
        <v>456</v>
      </c>
      <c r="B6" s="137" t="s">
        <v>457</v>
      </c>
      <c r="C6" s="138">
        <v>3753.5</v>
      </c>
      <c r="D6" s="138">
        <v>0</v>
      </c>
      <c r="E6" s="138">
        <v>4363.5</v>
      </c>
      <c r="F6" s="138">
        <v>0</v>
      </c>
      <c r="G6" s="138">
        <v>0</v>
      </c>
      <c r="H6" s="138">
        <v>0</v>
      </c>
      <c r="I6" s="138">
        <v>610</v>
      </c>
      <c r="J6" s="138">
        <v>0</v>
      </c>
      <c r="K6" s="138">
        <v>4363.5</v>
      </c>
      <c r="L6" s="138">
        <v>0</v>
      </c>
    </row>
    <row r="7" spans="1:12" x14ac:dyDescent="0.3">
      <c r="A7" s="136" t="s">
        <v>458</v>
      </c>
      <c r="B7" s="137" t="s">
        <v>459</v>
      </c>
      <c r="C7" s="138">
        <v>1459.72</v>
      </c>
      <c r="D7" s="138">
        <v>0</v>
      </c>
      <c r="E7" s="138">
        <v>1459.72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1459.72</v>
      </c>
      <c r="L7" s="138">
        <v>0</v>
      </c>
    </row>
    <row r="8" spans="1:12" x14ac:dyDescent="0.3">
      <c r="A8" s="136" t="s">
        <v>460</v>
      </c>
      <c r="B8" s="137" t="s">
        <v>461</v>
      </c>
      <c r="C8" s="138">
        <v>5537.36</v>
      </c>
      <c r="D8" s="138">
        <v>0</v>
      </c>
      <c r="E8" s="138">
        <v>4599.16</v>
      </c>
      <c r="F8" s="138">
        <v>0</v>
      </c>
      <c r="G8" s="138">
        <v>0</v>
      </c>
      <c r="H8" s="138">
        <v>0</v>
      </c>
      <c r="I8" s="138">
        <v>1334</v>
      </c>
      <c r="J8" s="138">
        <v>2272.2000000000003</v>
      </c>
      <c r="K8" s="138">
        <v>4599.16</v>
      </c>
      <c r="L8" s="138">
        <v>0</v>
      </c>
    </row>
    <row r="9" spans="1:12" x14ac:dyDescent="0.3">
      <c r="A9" s="136" t="s">
        <v>464</v>
      </c>
      <c r="B9" s="137" t="s">
        <v>465</v>
      </c>
      <c r="C9" s="138">
        <v>0</v>
      </c>
      <c r="D9" s="138">
        <v>0</v>
      </c>
      <c r="E9" s="138">
        <v>0</v>
      </c>
      <c r="F9" s="138">
        <v>0</v>
      </c>
      <c r="G9" s="138">
        <v>13858.470000000001</v>
      </c>
      <c r="H9" s="138">
        <v>13293</v>
      </c>
      <c r="I9" s="138">
        <v>15802.470000000001</v>
      </c>
      <c r="J9" s="138">
        <v>15237</v>
      </c>
      <c r="K9" s="138">
        <v>565.47</v>
      </c>
      <c r="L9" s="138">
        <v>0</v>
      </c>
    </row>
    <row r="10" spans="1:12" x14ac:dyDescent="0.3">
      <c r="A10" s="136" t="s">
        <v>466</v>
      </c>
      <c r="B10" s="137" t="s">
        <v>467</v>
      </c>
      <c r="C10" s="138">
        <v>0</v>
      </c>
      <c r="D10" s="138">
        <v>948</v>
      </c>
      <c r="E10" s="138">
        <v>0</v>
      </c>
      <c r="F10" s="138">
        <v>948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948</v>
      </c>
    </row>
    <row r="11" spans="1:12" x14ac:dyDescent="0.3">
      <c r="A11" s="136" t="s">
        <v>468</v>
      </c>
      <c r="B11" s="137" t="s">
        <v>469</v>
      </c>
      <c r="C11" s="138">
        <v>0</v>
      </c>
      <c r="D11" s="138">
        <v>11057.02</v>
      </c>
      <c r="E11" s="138">
        <v>0</v>
      </c>
      <c r="F11" s="138">
        <v>12471.29</v>
      </c>
      <c r="G11" s="138">
        <v>0</v>
      </c>
      <c r="H11" s="138">
        <v>128.57</v>
      </c>
      <c r="I11" s="138">
        <v>0</v>
      </c>
      <c r="J11" s="138">
        <v>1542.8400000000001</v>
      </c>
      <c r="K11" s="138">
        <v>0</v>
      </c>
      <c r="L11" s="138">
        <v>12599.86</v>
      </c>
    </row>
    <row r="12" spans="1:12" x14ac:dyDescent="0.3">
      <c r="A12" s="136" t="s">
        <v>470</v>
      </c>
      <c r="B12" s="137" t="s">
        <v>471</v>
      </c>
      <c r="C12" s="138">
        <v>0</v>
      </c>
      <c r="D12" s="138">
        <v>0</v>
      </c>
      <c r="E12" s="138">
        <v>0</v>
      </c>
      <c r="F12" s="138">
        <v>0</v>
      </c>
      <c r="G12" s="138">
        <v>0</v>
      </c>
      <c r="H12" s="138">
        <v>119.10000000000001</v>
      </c>
      <c r="I12" s="138">
        <v>0</v>
      </c>
      <c r="J12" s="138">
        <v>119.10000000000001</v>
      </c>
      <c r="K12" s="138">
        <v>0</v>
      </c>
      <c r="L12" s="138">
        <v>119.10000000000001</v>
      </c>
    </row>
    <row r="13" spans="1:12" x14ac:dyDescent="0.3">
      <c r="A13" s="136" t="s">
        <v>472</v>
      </c>
      <c r="B13" s="137" t="s">
        <v>473</v>
      </c>
      <c r="C13" s="138">
        <v>0</v>
      </c>
      <c r="D13" s="138">
        <v>0</v>
      </c>
      <c r="E13" s="138">
        <v>0</v>
      </c>
      <c r="F13" s="138">
        <v>0</v>
      </c>
      <c r="G13" s="138">
        <v>0</v>
      </c>
      <c r="H13" s="138">
        <v>65.53</v>
      </c>
      <c r="I13" s="138">
        <v>0</v>
      </c>
      <c r="J13" s="138">
        <v>65.53</v>
      </c>
      <c r="K13" s="138">
        <v>0</v>
      </c>
      <c r="L13" s="138">
        <v>65.53</v>
      </c>
    </row>
    <row r="14" spans="1:12" x14ac:dyDescent="0.3">
      <c r="A14" s="136" t="s">
        <v>476</v>
      </c>
      <c r="B14" s="137" t="s">
        <v>477</v>
      </c>
      <c r="C14" s="138">
        <v>0</v>
      </c>
      <c r="D14" s="138">
        <v>3207.54</v>
      </c>
      <c r="E14" s="138">
        <v>0</v>
      </c>
      <c r="F14" s="138">
        <v>3566.7000000000003</v>
      </c>
      <c r="G14" s="138">
        <v>0</v>
      </c>
      <c r="H14" s="138">
        <v>55.76</v>
      </c>
      <c r="I14" s="138">
        <v>0</v>
      </c>
      <c r="J14" s="138">
        <v>414.92</v>
      </c>
      <c r="K14" s="138">
        <v>0</v>
      </c>
      <c r="L14" s="138">
        <v>3622.46</v>
      </c>
    </row>
    <row r="15" spans="1:12" x14ac:dyDescent="0.3">
      <c r="A15" s="136" t="s">
        <v>478</v>
      </c>
      <c r="B15" s="137" t="s">
        <v>479</v>
      </c>
      <c r="C15" s="138">
        <v>0</v>
      </c>
      <c r="D15" s="138">
        <v>1459.72</v>
      </c>
      <c r="E15" s="138">
        <v>0</v>
      </c>
      <c r="F15" s="138">
        <v>1459.72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1459.72</v>
      </c>
    </row>
    <row r="16" spans="1:12" x14ac:dyDescent="0.3">
      <c r="A16" s="136" t="s">
        <v>480</v>
      </c>
      <c r="B16" s="137" t="s">
        <v>481</v>
      </c>
      <c r="C16" s="138">
        <v>0</v>
      </c>
      <c r="D16" s="138">
        <v>4258.78</v>
      </c>
      <c r="E16" s="138">
        <v>0</v>
      </c>
      <c r="F16" s="138">
        <v>3035.12</v>
      </c>
      <c r="G16" s="138">
        <v>0</v>
      </c>
      <c r="H16" s="138">
        <v>359.17</v>
      </c>
      <c r="I16" s="138">
        <v>2272.2000000000003</v>
      </c>
      <c r="J16" s="138">
        <v>1407.71</v>
      </c>
      <c r="K16" s="138">
        <v>0</v>
      </c>
      <c r="L16" s="138">
        <v>3394.29</v>
      </c>
    </row>
    <row r="17" spans="1:12" x14ac:dyDescent="0.3">
      <c r="A17" s="136" t="s">
        <v>482</v>
      </c>
      <c r="B17" s="137" t="s">
        <v>483</v>
      </c>
      <c r="C17" s="138">
        <v>0</v>
      </c>
      <c r="D17" s="138">
        <v>0</v>
      </c>
      <c r="E17" s="138">
        <v>0</v>
      </c>
      <c r="F17" s="138">
        <v>0</v>
      </c>
      <c r="G17" s="138">
        <v>40243.410000000003</v>
      </c>
      <c r="H17" s="138">
        <v>40243.410000000003</v>
      </c>
      <c r="I17" s="138">
        <v>399943.95</v>
      </c>
      <c r="J17" s="138">
        <v>399943.95</v>
      </c>
      <c r="K17" s="138">
        <v>0</v>
      </c>
      <c r="L17" s="138">
        <v>0</v>
      </c>
    </row>
    <row r="18" spans="1:12" x14ac:dyDescent="0.3">
      <c r="A18" s="136" t="s">
        <v>484</v>
      </c>
      <c r="B18" s="137" t="s">
        <v>485</v>
      </c>
      <c r="C18" s="138">
        <v>0</v>
      </c>
      <c r="D18" s="138">
        <v>0</v>
      </c>
      <c r="E18" s="138">
        <v>10.450000000000001</v>
      </c>
      <c r="F18" s="138">
        <v>0</v>
      </c>
      <c r="G18" s="138">
        <v>0.27</v>
      </c>
      <c r="H18" s="138">
        <v>10.72</v>
      </c>
      <c r="I18" s="138">
        <v>10.78</v>
      </c>
      <c r="J18" s="138">
        <v>10.78</v>
      </c>
      <c r="K18" s="138">
        <v>0</v>
      </c>
      <c r="L18" s="138">
        <v>0</v>
      </c>
    </row>
    <row r="19" spans="1:12" x14ac:dyDescent="0.3">
      <c r="A19" s="136" t="s">
        <v>486</v>
      </c>
      <c r="B19" s="137" t="s">
        <v>487</v>
      </c>
      <c r="C19" s="138">
        <v>56104.35</v>
      </c>
      <c r="D19" s="138">
        <v>0</v>
      </c>
      <c r="E19" s="138">
        <v>51175.83</v>
      </c>
      <c r="F19" s="138">
        <v>0</v>
      </c>
      <c r="G19" s="138">
        <v>40263.629999999997</v>
      </c>
      <c r="H19" s="138">
        <v>39447.19</v>
      </c>
      <c r="I19" s="138">
        <v>401446.67</v>
      </c>
      <c r="J19" s="138">
        <v>405558.75</v>
      </c>
      <c r="K19" s="138">
        <v>51992.270000000004</v>
      </c>
      <c r="L19" s="138">
        <v>0</v>
      </c>
    </row>
    <row r="20" spans="1:12" x14ac:dyDescent="0.3">
      <c r="A20" s="139" t="s">
        <v>488</v>
      </c>
      <c r="B20" s="17" t="s">
        <v>489</v>
      </c>
      <c r="C20" s="140">
        <v>0</v>
      </c>
      <c r="D20" s="140">
        <v>0</v>
      </c>
      <c r="E20" s="140">
        <v>877.83</v>
      </c>
      <c r="F20" s="140">
        <v>0</v>
      </c>
      <c r="G20" s="140">
        <v>0</v>
      </c>
      <c r="H20" s="140">
        <v>877.83</v>
      </c>
      <c r="I20" s="140">
        <v>12534.68</v>
      </c>
      <c r="J20" s="140">
        <v>12534.68</v>
      </c>
      <c r="K20" s="140">
        <v>0</v>
      </c>
      <c r="L20" s="140">
        <v>0</v>
      </c>
    </row>
    <row r="21" spans="1:12" x14ac:dyDescent="0.3">
      <c r="A21" s="139" t="s">
        <v>490</v>
      </c>
      <c r="B21" s="17" t="s">
        <v>491</v>
      </c>
      <c r="C21" s="140">
        <v>0</v>
      </c>
      <c r="D21" s="140">
        <v>1600.16</v>
      </c>
      <c r="E21" s="140">
        <v>0</v>
      </c>
      <c r="F21" s="140">
        <v>1319.24</v>
      </c>
      <c r="G21" s="140">
        <v>146.26</v>
      </c>
      <c r="H21" s="140">
        <v>52.86</v>
      </c>
      <c r="I21" s="140">
        <v>1258.45</v>
      </c>
      <c r="J21" s="140">
        <v>884.13</v>
      </c>
      <c r="K21" s="140">
        <v>0</v>
      </c>
      <c r="L21" s="140">
        <v>1225.8399999999999</v>
      </c>
    </row>
    <row r="22" spans="1:12" x14ac:dyDescent="0.3">
      <c r="A22" s="139" t="s">
        <v>492</v>
      </c>
      <c r="B22" s="17" t="s">
        <v>493</v>
      </c>
      <c r="C22" s="140">
        <v>0</v>
      </c>
      <c r="D22" s="140">
        <v>389.42</v>
      </c>
      <c r="E22" s="140">
        <v>0</v>
      </c>
      <c r="F22" s="140">
        <v>580.71</v>
      </c>
      <c r="G22" s="140">
        <v>0</v>
      </c>
      <c r="H22" s="140">
        <v>223.57</v>
      </c>
      <c r="I22" s="140">
        <v>0</v>
      </c>
      <c r="J22" s="140">
        <v>414.86</v>
      </c>
      <c r="K22" s="140">
        <v>0</v>
      </c>
      <c r="L22" s="140">
        <v>804.28</v>
      </c>
    </row>
    <row r="23" spans="1:12" x14ac:dyDescent="0.3">
      <c r="A23" s="139" t="s">
        <v>494</v>
      </c>
      <c r="B23" s="17" t="s">
        <v>495</v>
      </c>
      <c r="C23" s="140">
        <v>772.78</v>
      </c>
      <c r="D23" s="140">
        <v>0</v>
      </c>
      <c r="E23" s="140">
        <v>3319.9500000000003</v>
      </c>
      <c r="F23" s="140">
        <v>0</v>
      </c>
      <c r="G23" s="140">
        <v>24528.47</v>
      </c>
      <c r="H23" s="140">
        <v>26490.690000000002</v>
      </c>
      <c r="I23" s="140">
        <v>230855.46</v>
      </c>
      <c r="J23" s="140">
        <v>230270.51</v>
      </c>
      <c r="K23" s="140">
        <v>1357.73</v>
      </c>
      <c r="L23" s="140">
        <v>0</v>
      </c>
    </row>
    <row r="24" spans="1:12" x14ac:dyDescent="0.3">
      <c r="A24" s="139" t="s">
        <v>496</v>
      </c>
      <c r="B24" s="17" t="s">
        <v>497</v>
      </c>
      <c r="C24" s="140">
        <v>0</v>
      </c>
      <c r="D24" s="140">
        <v>0</v>
      </c>
      <c r="E24" s="140">
        <v>0</v>
      </c>
      <c r="F24" s="140">
        <v>0</v>
      </c>
      <c r="G24" s="140">
        <v>159.9</v>
      </c>
      <c r="H24" s="140">
        <v>159.9</v>
      </c>
      <c r="I24" s="140">
        <v>1723.8</v>
      </c>
      <c r="J24" s="140">
        <v>1723.8</v>
      </c>
      <c r="K24" s="140">
        <v>0</v>
      </c>
      <c r="L24" s="140">
        <v>0</v>
      </c>
    </row>
    <row r="25" spans="1:12" x14ac:dyDescent="0.3">
      <c r="A25" s="139" t="s">
        <v>498</v>
      </c>
      <c r="B25" s="17" t="s">
        <v>499</v>
      </c>
      <c r="C25" s="140">
        <v>0</v>
      </c>
      <c r="D25" s="140">
        <v>0</v>
      </c>
      <c r="E25" s="140">
        <v>0</v>
      </c>
      <c r="F25" s="140">
        <v>0</v>
      </c>
      <c r="G25" s="140">
        <v>82165.25</v>
      </c>
      <c r="H25" s="140">
        <v>82165.25</v>
      </c>
      <c r="I25" s="140">
        <v>955364.01</v>
      </c>
      <c r="J25" s="140">
        <v>955364.01</v>
      </c>
      <c r="K25" s="140">
        <v>0</v>
      </c>
      <c r="L25" s="140">
        <v>0</v>
      </c>
    </row>
    <row r="26" spans="1:12" x14ac:dyDescent="0.3">
      <c r="A26" s="139" t="s">
        <v>500</v>
      </c>
      <c r="B26" s="17" t="s">
        <v>501</v>
      </c>
      <c r="C26" s="140">
        <v>0</v>
      </c>
      <c r="D26" s="140">
        <v>0</v>
      </c>
      <c r="E26" s="140">
        <v>0</v>
      </c>
      <c r="F26" s="140">
        <v>0</v>
      </c>
      <c r="G26" s="140">
        <v>15198.7</v>
      </c>
      <c r="H26" s="140">
        <v>15198.7</v>
      </c>
      <c r="I26" s="140">
        <v>129997.95</v>
      </c>
      <c r="J26" s="140">
        <v>129997.95</v>
      </c>
      <c r="K26" s="140">
        <v>0</v>
      </c>
      <c r="L26" s="140">
        <v>0</v>
      </c>
    </row>
    <row r="27" spans="1:12" x14ac:dyDescent="0.3">
      <c r="A27" s="139" t="s">
        <v>502</v>
      </c>
      <c r="B27" s="17" t="s">
        <v>503</v>
      </c>
      <c r="C27" s="140">
        <v>0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57.33</v>
      </c>
      <c r="J27" s="140">
        <v>57.33</v>
      </c>
      <c r="K27" s="140">
        <v>0</v>
      </c>
      <c r="L27" s="140">
        <v>0</v>
      </c>
    </row>
    <row r="28" spans="1:12" x14ac:dyDescent="0.3">
      <c r="A28" s="139" t="s">
        <v>504</v>
      </c>
      <c r="B28" s="17" t="s">
        <v>505</v>
      </c>
      <c r="C28" s="140">
        <v>40566.15</v>
      </c>
      <c r="D28" s="140">
        <v>0</v>
      </c>
      <c r="E28" s="140">
        <v>22489.420000000002</v>
      </c>
      <c r="F28" s="140">
        <v>0</v>
      </c>
      <c r="G28" s="140">
        <v>23557.47</v>
      </c>
      <c r="H28" s="140">
        <v>19293.43</v>
      </c>
      <c r="I28" s="140">
        <v>242228.88</v>
      </c>
      <c r="J28" s="140">
        <v>256041.57</v>
      </c>
      <c r="K28" s="140">
        <v>26753.46</v>
      </c>
      <c r="L28" s="140">
        <v>0</v>
      </c>
    </row>
    <row r="29" spans="1:12" x14ac:dyDescent="0.3">
      <c r="A29" s="139" t="s">
        <v>506</v>
      </c>
      <c r="B29" s="17" t="s">
        <v>507</v>
      </c>
      <c r="C29" s="140">
        <v>1844.99</v>
      </c>
      <c r="D29" s="140">
        <v>0</v>
      </c>
      <c r="E29" s="140">
        <v>0</v>
      </c>
      <c r="F29" s="140">
        <v>0</v>
      </c>
      <c r="G29" s="140">
        <v>2947.37</v>
      </c>
      <c r="H29" s="140">
        <v>0</v>
      </c>
      <c r="I29" s="140">
        <v>16399.16</v>
      </c>
      <c r="J29" s="140">
        <v>15296.78</v>
      </c>
      <c r="K29" s="140">
        <v>2947.37</v>
      </c>
      <c r="L29" s="140">
        <v>0</v>
      </c>
    </row>
    <row r="30" spans="1:12" x14ac:dyDescent="0.3">
      <c r="A30" s="139" t="s">
        <v>508</v>
      </c>
      <c r="B30" s="17" t="s">
        <v>509</v>
      </c>
      <c r="C30" s="140">
        <v>0</v>
      </c>
      <c r="D30" s="140">
        <v>0</v>
      </c>
      <c r="E30" s="140">
        <v>2385.41</v>
      </c>
      <c r="F30" s="140">
        <v>0</v>
      </c>
      <c r="G30" s="140">
        <v>141.64000000000001</v>
      </c>
      <c r="H30" s="140">
        <v>2527.0500000000002</v>
      </c>
      <c r="I30" s="140">
        <v>20973.81</v>
      </c>
      <c r="J30" s="140">
        <v>20973.81</v>
      </c>
      <c r="K30" s="140">
        <v>0</v>
      </c>
      <c r="L30" s="140">
        <v>0</v>
      </c>
    </row>
    <row r="31" spans="1:12" x14ac:dyDescent="0.3">
      <c r="A31" s="139" t="s">
        <v>514</v>
      </c>
      <c r="B31" s="17" t="s">
        <v>515</v>
      </c>
      <c r="C31" s="140">
        <v>53.57</v>
      </c>
      <c r="D31" s="140">
        <v>0</v>
      </c>
      <c r="E31" s="140">
        <v>1119.44</v>
      </c>
      <c r="F31" s="140">
        <v>0</v>
      </c>
      <c r="G31" s="140">
        <v>154.22</v>
      </c>
      <c r="H31" s="140">
        <v>1119.44</v>
      </c>
      <c r="I31" s="140">
        <v>14430.12</v>
      </c>
      <c r="J31" s="140">
        <v>14329.470000000001</v>
      </c>
      <c r="K31" s="140">
        <v>154.22</v>
      </c>
      <c r="L31" s="140">
        <v>0</v>
      </c>
    </row>
    <row r="32" spans="1:12" x14ac:dyDescent="0.3">
      <c r="A32" s="139" t="s">
        <v>516</v>
      </c>
      <c r="B32" s="17" t="s">
        <v>517</v>
      </c>
      <c r="C32" s="140">
        <v>0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  <c r="L32" s="140">
        <v>0</v>
      </c>
    </row>
    <row r="33" spans="1:12" x14ac:dyDescent="0.3">
      <c r="A33" s="139" t="s">
        <v>518</v>
      </c>
      <c r="B33" s="17" t="s">
        <v>519</v>
      </c>
      <c r="C33" s="140">
        <v>238.92000000000002</v>
      </c>
      <c r="D33" s="140">
        <v>0</v>
      </c>
      <c r="E33" s="140">
        <v>137.30000000000001</v>
      </c>
      <c r="F33" s="140">
        <v>0</v>
      </c>
      <c r="G33" s="140">
        <v>-41.77</v>
      </c>
      <c r="H33" s="140">
        <v>-70.48</v>
      </c>
      <c r="I33" s="140">
        <v>-513.45000000000005</v>
      </c>
      <c r="J33" s="140">
        <v>-440.54</v>
      </c>
      <c r="K33" s="140">
        <v>166.01</v>
      </c>
      <c r="L33" s="140">
        <v>0</v>
      </c>
    </row>
    <row r="34" spans="1:12" x14ac:dyDescent="0.3">
      <c r="A34" s="139" t="s">
        <v>520</v>
      </c>
      <c r="B34" s="17" t="s">
        <v>521</v>
      </c>
      <c r="C34" s="140">
        <v>1208.56</v>
      </c>
      <c r="D34" s="140">
        <v>0</v>
      </c>
      <c r="E34" s="140">
        <v>1257.3900000000001</v>
      </c>
      <c r="F34" s="140">
        <v>0</v>
      </c>
      <c r="G34" s="140">
        <v>-1257.3900000000001</v>
      </c>
      <c r="H34" s="140">
        <v>-1370.56</v>
      </c>
      <c r="I34" s="140">
        <v>-13363.73</v>
      </c>
      <c r="J34" s="140">
        <v>-13525.73</v>
      </c>
      <c r="K34" s="140">
        <v>1370.56</v>
      </c>
      <c r="L34" s="140">
        <v>0</v>
      </c>
    </row>
    <row r="35" spans="1:12" x14ac:dyDescent="0.3">
      <c r="A35" s="139" t="s">
        <v>522</v>
      </c>
      <c r="B35" s="17" t="s">
        <v>523</v>
      </c>
      <c r="C35" s="140">
        <v>316.65000000000003</v>
      </c>
      <c r="D35" s="140">
        <v>0</v>
      </c>
      <c r="E35" s="140">
        <v>445.05</v>
      </c>
      <c r="F35" s="140">
        <v>0</v>
      </c>
      <c r="G35" s="140">
        <v>-118.77</v>
      </c>
      <c r="H35" s="140">
        <v>-130.1</v>
      </c>
      <c r="I35" s="140">
        <v>-1014.14</v>
      </c>
      <c r="J35" s="140">
        <v>-1153.8700000000001</v>
      </c>
      <c r="K35" s="140">
        <v>456.38</v>
      </c>
      <c r="L35" s="140">
        <v>0</v>
      </c>
    </row>
    <row r="36" spans="1:12" x14ac:dyDescent="0.3">
      <c r="A36" s="139" t="s">
        <v>524</v>
      </c>
      <c r="B36" s="17" t="s">
        <v>525</v>
      </c>
      <c r="C36" s="140">
        <v>1215.94</v>
      </c>
      <c r="D36" s="140">
        <v>0</v>
      </c>
      <c r="E36" s="140">
        <v>1549.4</v>
      </c>
      <c r="F36" s="140">
        <v>0</v>
      </c>
      <c r="G36" s="140">
        <v>0</v>
      </c>
      <c r="H36" s="140">
        <v>-173.44</v>
      </c>
      <c r="I36" s="140">
        <v>-1215.94</v>
      </c>
      <c r="J36" s="140">
        <v>-1722.8400000000001</v>
      </c>
      <c r="K36" s="140">
        <v>1722.8400000000001</v>
      </c>
      <c r="L36" s="140">
        <v>0</v>
      </c>
    </row>
    <row r="37" spans="1:12" x14ac:dyDescent="0.3">
      <c r="A37" s="139" t="s">
        <v>957</v>
      </c>
      <c r="B37" s="17" t="s">
        <v>958</v>
      </c>
      <c r="C37" s="140">
        <v>4089.26</v>
      </c>
      <c r="D37" s="140">
        <v>0</v>
      </c>
      <c r="E37" s="140">
        <v>5.5600000000000005</v>
      </c>
      <c r="F37" s="140">
        <v>0</v>
      </c>
      <c r="G37" s="140">
        <v>-5.5600000000000005</v>
      </c>
      <c r="H37" s="140">
        <v>0</v>
      </c>
      <c r="I37" s="140">
        <v>-2666.56</v>
      </c>
      <c r="J37" s="140">
        <v>1422.7</v>
      </c>
      <c r="K37" s="140">
        <v>0</v>
      </c>
      <c r="L37" s="140">
        <v>0</v>
      </c>
    </row>
    <row r="38" spans="1:12" x14ac:dyDescent="0.3">
      <c r="A38" s="139" t="s">
        <v>528</v>
      </c>
      <c r="B38" s="17" t="s">
        <v>529</v>
      </c>
      <c r="C38" s="140">
        <v>0</v>
      </c>
      <c r="D38" s="140">
        <v>0</v>
      </c>
      <c r="E38" s="140">
        <v>3764.9900000000002</v>
      </c>
      <c r="F38" s="140">
        <v>0</v>
      </c>
      <c r="G38" s="140">
        <v>-225.70000000000002</v>
      </c>
      <c r="H38" s="140">
        <v>0</v>
      </c>
      <c r="I38" s="140">
        <v>8047.24</v>
      </c>
      <c r="J38" s="140">
        <v>4507.95</v>
      </c>
      <c r="K38" s="140">
        <v>3539.29</v>
      </c>
      <c r="L38" s="140">
        <v>0</v>
      </c>
    </row>
    <row r="39" spans="1:12" x14ac:dyDescent="0.3">
      <c r="A39" s="139" t="s">
        <v>532</v>
      </c>
      <c r="B39" s="17" t="s">
        <v>533</v>
      </c>
      <c r="C39" s="140">
        <v>430.98</v>
      </c>
      <c r="D39" s="140">
        <v>0</v>
      </c>
      <c r="E39" s="140">
        <v>878.89</v>
      </c>
      <c r="F39" s="140">
        <v>0</v>
      </c>
      <c r="G39" s="140">
        <v>11034.02</v>
      </c>
      <c r="H39" s="140">
        <v>11134.09</v>
      </c>
      <c r="I39" s="140">
        <v>98218.290000000008</v>
      </c>
      <c r="J39" s="140">
        <v>97870.45</v>
      </c>
      <c r="K39" s="140">
        <v>778.82</v>
      </c>
      <c r="L39" s="140">
        <v>0</v>
      </c>
    </row>
    <row r="40" spans="1:12" x14ac:dyDescent="0.3">
      <c r="A40" s="139" t="s">
        <v>534</v>
      </c>
      <c r="B40" s="17" t="s">
        <v>535</v>
      </c>
      <c r="C40" s="140">
        <v>81</v>
      </c>
      <c r="D40" s="140">
        <v>0</v>
      </c>
      <c r="E40" s="140">
        <v>140</v>
      </c>
      <c r="F40" s="140">
        <v>0</v>
      </c>
      <c r="G40" s="140">
        <v>60</v>
      </c>
      <c r="H40" s="140">
        <v>140</v>
      </c>
      <c r="I40" s="140">
        <v>191.6</v>
      </c>
      <c r="J40" s="140">
        <v>212.6</v>
      </c>
      <c r="K40" s="140">
        <v>60</v>
      </c>
      <c r="L40" s="140">
        <v>0</v>
      </c>
    </row>
    <row r="41" spans="1:12" x14ac:dyDescent="0.3">
      <c r="A41" s="139" t="s">
        <v>536</v>
      </c>
      <c r="B41" s="17" t="s">
        <v>537</v>
      </c>
      <c r="C41" s="140">
        <v>0</v>
      </c>
      <c r="D41" s="140">
        <v>0</v>
      </c>
      <c r="E41" s="140">
        <v>0</v>
      </c>
      <c r="F41" s="140">
        <v>0</v>
      </c>
      <c r="G41" s="140">
        <v>152.72</v>
      </c>
      <c r="H41" s="140">
        <v>152.72</v>
      </c>
      <c r="I41" s="140">
        <v>1506.6200000000001</v>
      </c>
      <c r="J41" s="140">
        <v>1506.6200000000001</v>
      </c>
      <c r="K41" s="140">
        <v>0</v>
      </c>
      <c r="L41" s="140">
        <v>0</v>
      </c>
    </row>
    <row r="42" spans="1:12" x14ac:dyDescent="0.3">
      <c r="A42" s="139" t="s">
        <v>538</v>
      </c>
      <c r="B42" s="17" t="s">
        <v>539</v>
      </c>
      <c r="C42" s="140">
        <v>1060.3</v>
      </c>
      <c r="D42" s="140">
        <v>0</v>
      </c>
      <c r="E42" s="140">
        <v>1926.14</v>
      </c>
      <c r="F42" s="140">
        <v>0</v>
      </c>
      <c r="G42" s="140">
        <v>2975.9900000000002</v>
      </c>
      <c r="H42" s="140">
        <v>1926.14</v>
      </c>
      <c r="I42" s="140">
        <v>21724.86</v>
      </c>
      <c r="J42" s="140">
        <v>19809.170000000002</v>
      </c>
      <c r="K42" s="140">
        <v>2975.9900000000002</v>
      </c>
      <c r="L42" s="140">
        <v>0</v>
      </c>
    </row>
    <row r="43" spans="1:12" x14ac:dyDescent="0.3">
      <c r="A43" s="139" t="s">
        <v>540</v>
      </c>
      <c r="B43" s="17" t="s">
        <v>541</v>
      </c>
      <c r="C43" s="140">
        <v>0</v>
      </c>
      <c r="D43" s="140">
        <v>55.22</v>
      </c>
      <c r="E43" s="140">
        <v>0</v>
      </c>
      <c r="F43" s="140">
        <v>216.53</v>
      </c>
      <c r="G43" s="140">
        <v>471.81</v>
      </c>
      <c r="H43" s="140">
        <v>16483.89</v>
      </c>
      <c r="I43" s="140">
        <v>11260.34</v>
      </c>
      <c r="J43" s="140">
        <v>27433.73</v>
      </c>
      <c r="K43" s="140">
        <v>0</v>
      </c>
      <c r="L43" s="140">
        <v>16228.61</v>
      </c>
    </row>
    <row r="44" spans="1:12" x14ac:dyDescent="0.3">
      <c r="A44" s="139" t="s">
        <v>542</v>
      </c>
      <c r="B44" s="17" t="s">
        <v>543</v>
      </c>
      <c r="C44" s="140">
        <v>0</v>
      </c>
      <c r="D44" s="140">
        <v>88439.96</v>
      </c>
      <c r="E44" s="140">
        <v>0</v>
      </c>
      <c r="F44" s="140">
        <v>99504.53</v>
      </c>
      <c r="G44" s="140">
        <v>48215.74</v>
      </c>
      <c r="H44" s="140">
        <v>44182.559999999998</v>
      </c>
      <c r="I44" s="140">
        <v>446237.10000000003</v>
      </c>
      <c r="J44" s="140">
        <v>453268.49</v>
      </c>
      <c r="K44" s="140">
        <v>0</v>
      </c>
      <c r="L44" s="140">
        <v>95471.35</v>
      </c>
    </row>
    <row r="45" spans="1:12" x14ac:dyDescent="0.3">
      <c r="A45" s="139" t="s">
        <v>544</v>
      </c>
      <c r="B45" s="17" t="s">
        <v>545</v>
      </c>
      <c r="C45" s="140">
        <v>0</v>
      </c>
      <c r="D45" s="140">
        <v>0</v>
      </c>
      <c r="E45" s="140">
        <v>0</v>
      </c>
      <c r="F45" s="140">
        <v>0</v>
      </c>
      <c r="G45" s="140">
        <v>0</v>
      </c>
      <c r="H45" s="140">
        <v>90</v>
      </c>
      <c r="I45" s="140">
        <v>100</v>
      </c>
      <c r="J45" s="140">
        <v>190</v>
      </c>
      <c r="K45" s="140">
        <v>0</v>
      </c>
      <c r="L45" s="140">
        <v>90</v>
      </c>
    </row>
    <row r="46" spans="1:12" x14ac:dyDescent="0.3">
      <c r="A46" s="139" t="s">
        <v>959</v>
      </c>
      <c r="B46" s="17" t="s">
        <v>960</v>
      </c>
      <c r="C46" s="140">
        <v>0</v>
      </c>
      <c r="D46" s="140">
        <v>0</v>
      </c>
      <c r="E46" s="140">
        <v>0</v>
      </c>
      <c r="F46" s="140">
        <v>0</v>
      </c>
      <c r="G46" s="140">
        <v>9.2000000000000011</v>
      </c>
      <c r="H46" s="140">
        <v>9.2000000000000011</v>
      </c>
      <c r="I46" s="140">
        <v>32.950000000000003</v>
      </c>
      <c r="J46" s="140">
        <v>32.950000000000003</v>
      </c>
      <c r="K46" s="140">
        <v>0</v>
      </c>
      <c r="L46" s="140">
        <v>0</v>
      </c>
    </row>
    <row r="47" spans="1:12" x14ac:dyDescent="0.3">
      <c r="A47" s="139" t="s">
        <v>961</v>
      </c>
      <c r="B47" s="17" t="s">
        <v>962</v>
      </c>
      <c r="C47" s="140">
        <v>0</v>
      </c>
      <c r="D47" s="140">
        <v>0</v>
      </c>
      <c r="E47" s="140">
        <v>0</v>
      </c>
      <c r="F47" s="140">
        <v>0</v>
      </c>
      <c r="G47" s="140">
        <v>0</v>
      </c>
      <c r="H47" s="140">
        <v>0</v>
      </c>
      <c r="I47" s="140">
        <v>313.2</v>
      </c>
      <c r="J47" s="140">
        <v>313.2</v>
      </c>
      <c r="K47" s="140">
        <v>0</v>
      </c>
      <c r="L47" s="140">
        <v>0</v>
      </c>
    </row>
    <row r="48" spans="1:12" x14ac:dyDescent="0.3">
      <c r="A48" s="139" t="s">
        <v>546</v>
      </c>
      <c r="B48" s="17" t="s">
        <v>547</v>
      </c>
      <c r="C48" s="140">
        <v>0</v>
      </c>
      <c r="D48" s="140">
        <v>1673.78</v>
      </c>
      <c r="E48" s="140">
        <v>0</v>
      </c>
      <c r="F48" s="140">
        <v>924.26</v>
      </c>
      <c r="G48" s="140">
        <v>6122.28</v>
      </c>
      <c r="H48" s="140">
        <v>6568.79</v>
      </c>
      <c r="I48" s="140">
        <v>16129.300000000001</v>
      </c>
      <c r="J48" s="140">
        <v>15826.29</v>
      </c>
      <c r="K48" s="140">
        <v>0</v>
      </c>
      <c r="L48" s="140">
        <v>1370.77</v>
      </c>
    </row>
    <row r="49" spans="1:12" x14ac:dyDescent="0.3">
      <c r="A49" s="139" t="s">
        <v>548</v>
      </c>
      <c r="B49" s="17" t="s">
        <v>549</v>
      </c>
      <c r="C49" s="140">
        <v>0</v>
      </c>
      <c r="D49" s="140">
        <v>2732.52</v>
      </c>
      <c r="E49" s="140">
        <v>0</v>
      </c>
      <c r="F49" s="140">
        <v>2130.37</v>
      </c>
      <c r="G49" s="140">
        <v>0</v>
      </c>
      <c r="H49" s="140">
        <v>-126.49000000000001</v>
      </c>
      <c r="I49" s="140">
        <v>2949.65</v>
      </c>
      <c r="J49" s="140">
        <v>2221.0100000000002</v>
      </c>
      <c r="K49" s="140">
        <v>0</v>
      </c>
      <c r="L49" s="140">
        <v>2003.88</v>
      </c>
    </row>
    <row r="50" spans="1:12" x14ac:dyDescent="0.3">
      <c r="A50" s="139" t="s">
        <v>552</v>
      </c>
      <c r="B50" s="17" t="s">
        <v>553</v>
      </c>
      <c r="C50" s="140">
        <v>0</v>
      </c>
      <c r="D50" s="140">
        <v>90</v>
      </c>
      <c r="E50" s="140">
        <v>0</v>
      </c>
      <c r="F50" s="140">
        <v>80</v>
      </c>
      <c r="G50" s="140">
        <v>80</v>
      </c>
      <c r="H50" s="140">
        <v>1269.8</v>
      </c>
      <c r="I50" s="140">
        <v>730</v>
      </c>
      <c r="J50" s="140">
        <v>1909.8</v>
      </c>
      <c r="K50" s="140">
        <v>0</v>
      </c>
      <c r="L50" s="140">
        <v>1269.8</v>
      </c>
    </row>
    <row r="51" spans="1:12" x14ac:dyDescent="0.3">
      <c r="A51" s="139" t="s">
        <v>554</v>
      </c>
      <c r="B51" s="17" t="s">
        <v>555</v>
      </c>
      <c r="C51" s="140">
        <v>0</v>
      </c>
      <c r="D51" s="140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0">
        <v>0</v>
      </c>
      <c r="L51" s="140">
        <v>0</v>
      </c>
    </row>
    <row r="52" spans="1:12" x14ac:dyDescent="0.3">
      <c r="A52" s="139" t="s">
        <v>556</v>
      </c>
      <c r="B52" s="17" t="s">
        <v>557</v>
      </c>
      <c r="C52" s="140">
        <v>0</v>
      </c>
      <c r="D52" s="140">
        <v>811.2</v>
      </c>
      <c r="E52" s="140">
        <v>0</v>
      </c>
      <c r="F52" s="140">
        <v>0</v>
      </c>
      <c r="G52" s="140">
        <v>0</v>
      </c>
      <c r="H52" s="140">
        <v>1757.6000000000001</v>
      </c>
      <c r="I52" s="140">
        <v>0</v>
      </c>
      <c r="J52" s="140">
        <v>946.4</v>
      </c>
      <c r="K52" s="140">
        <v>0</v>
      </c>
      <c r="L52" s="140">
        <v>1757.6000000000001</v>
      </c>
    </row>
    <row r="53" spans="1:12" x14ac:dyDescent="0.3">
      <c r="A53" s="139" t="s">
        <v>560</v>
      </c>
      <c r="B53" s="17" t="s">
        <v>561</v>
      </c>
      <c r="C53" s="140">
        <v>0</v>
      </c>
      <c r="D53" s="140">
        <v>14.92</v>
      </c>
      <c r="E53" s="140">
        <v>0</v>
      </c>
      <c r="F53" s="140">
        <v>302</v>
      </c>
      <c r="G53" s="140">
        <v>0</v>
      </c>
      <c r="H53" s="140">
        <v>-239.07</v>
      </c>
      <c r="I53" s="140">
        <v>0</v>
      </c>
      <c r="J53" s="140">
        <v>48.01</v>
      </c>
      <c r="K53" s="140">
        <v>0</v>
      </c>
      <c r="L53" s="140">
        <v>62.93</v>
      </c>
    </row>
    <row r="54" spans="1:12" x14ac:dyDescent="0.3">
      <c r="A54" s="139" t="s">
        <v>562</v>
      </c>
      <c r="B54" s="17" t="s">
        <v>563</v>
      </c>
      <c r="C54" s="140">
        <v>0</v>
      </c>
      <c r="D54" s="140">
        <v>916.86</v>
      </c>
      <c r="E54" s="140">
        <v>0</v>
      </c>
      <c r="F54" s="140">
        <v>1152.58</v>
      </c>
      <c r="G54" s="140">
        <v>0</v>
      </c>
      <c r="H54" s="140">
        <v>21.990000000000002</v>
      </c>
      <c r="I54" s="140">
        <v>0</v>
      </c>
      <c r="J54" s="140">
        <v>257.70999999999998</v>
      </c>
      <c r="K54" s="140">
        <v>0</v>
      </c>
      <c r="L54" s="140">
        <v>1174.57</v>
      </c>
    </row>
    <row r="55" spans="1:12" x14ac:dyDescent="0.3">
      <c r="A55" s="139" t="s">
        <v>963</v>
      </c>
      <c r="B55" s="17" t="s">
        <v>964</v>
      </c>
      <c r="C55" s="140">
        <v>0</v>
      </c>
      <c r="D55" s="140">
        <v>297.62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-297.62</v>
      </c>
      <c r="K55" s="140">
        <v>0</v>
      </c>
      <c r="L55" s="140">
        <v>0</v>
      </c>
    </row>
    <row r="56" spans="1:12" x14ac:dyDescent="0.3">
      <c r="A56" s="139" t="s">
        <v>564</v>
      </c>
      <c r="B56" s="17" t="s">
        <v>565</v>
      </c>
      <c r="C56" s="140">
        <v>0</v>
      </c>
      <c r="D56" s="140">
        <v>0</v>
      </c>
      <c r="E56" s="140">
        <v>0</v>
      </c>
      <c r="F56" s="140">
        <v>0</v>
      </c>
      <c r="G56" s="140">
        <v>5181.8</v>
      </c>
      <c r="H56" s="140">
        <v>5181.8</v>
      </c>
      <c r="I56" s="140">
        <v>5181.8</v>
      </c>
      <c r="J56" s="140">
        <v>5181.8</v>
      </c>
      <c r="K56" s="140">
        <v>0</v>
      </c>
      <c r="L56" s="140">
        <v>0</v>
      </c>
    </row>
    <row r="57" spans="1:12" x14ac:dyDescent="0.3">
      <c r="A57" s="139" t="s">
        <v>566</v>
      </c>
      <c r="B57" s="17" t="s">
        <v>567</v>
      </c>
      <c r="C57" s="140">
        <v>0</v>
      </c>
      <c r="D57" s="140">
        <v>0</v>
      </c>
      <c r="E57" s="140">
        <v>0</v>
      </c>
      <c r="F57" s="140">
        <v>0</v>
      </c>
      <c r="G57" s="140">
        <v>1262.56</v>
      </c>
      <c r="H57" s="140">
        <v>1262.56</v>
      </c>
      <c r="I57" s="140">
        <v>13763.52</v>
      </c>
      <c r="J57" s="140">
        <v>13763.52</v>
      </c>
      <c r="K57" s="140">
        <v>0</v>
      </c>
      <c r="L57" s="140">
        <v>0</v>
      </c>
    </row>
    <row r="58" spans="1:12" x14ac:dyDescent="0.3">
      <c r="A58" s="139" t="s">
        <v>568</v>
      </c>
      <c r="B58" s="17" t="s">
        <v>569</v>
      </c>
      <c r="C58" s="140">
        <v>0</v>
      </c>
      <c r="D58" s="140">
        <v>0</v>
      </c>
      <c r="E58" s="140">
        <v>0</v>
      </c>
      <c r="F58" s="140">
        <v>54.86</v>
      </c>
      <c r="G58" s="140">
        <v>425.12</v>
      </c>
      <c r="H58" s="140">
        <v>436.66</v>
      </c>
      <c r="I58" s="140">
        <v>2778.42</v>
      </c>
      <c r="J58" s="140">
        <v>2844.82</v>
      </c>
      <c r="K58" s="140">
        <v>0</v>
      </c>
      <c r="L58" s="140">
        <v>66.400000000000006</v>
      </c>
    </row>
    <row r="59" spans="1:12" x14ac:dyDescent="0.3">
      <c r="A59" s="139" t="s">
        <v>570</v>
      </c>
      <c r="B59" s="17" t="s">
        <v>571</v>
      </c>
      <c r="C59" s="140">
        <v>0</v>
      </c>
      <c r="D59" s="140">
        <v>58.97</v>
      </c>
      <c r="E59" s="140">
        <v>0</v>
      </c>
      <c r="F59" s="140">
        <v>0</v>
      </c>
      <c r="G59" s="140">
        <v>994.92000000000007</v>
      </c>
      <c r="H59" s="140">
        <v>1101.3</v>
      </c>
      <c r="I59" s="140">
        <v>1717.73</v>
      </c>
      <c r="J59" s="140">
        <v>1765.14</v>
      </c>
      <c r="K59" s="140">
        <v>0</v>
      </c>
      <c r="L59" s="140">
        <v>106.38</v>
      </c>
    </row>
    <row r="60" spans="1:12" x14ac:dyDescent="0.3">
      <c r="A60" s="139" t="s">
        <v>572</v>
      </c>
      <c r="B60" s="17" t="s">
        <v>573</v>
      </c>
      <c r="C60" s="140">
        <v>0</v>
      </c>
      <c r="D60" s="140">
        <v>0</v>
      </c>
      <c r="E60" s="140">
        <v>0</v>
      </c>
      <c r="F60" s="140">
        <v>90</v>
      </c>
      <c r="G60" s="140">
        <v>90</v>
      </c>
      <c r="H60" s="140">
        <v>80</v>
      </c>
      <c r="I60" s="140">
        <v>190</v>
      </c>
      <c r="J60" s="140">
        <v>270</v>
      </c>
      <c r="K60" s="140">
        <v>0</v>
      </c>
      <c r="L60" s="140">
        <v>80</v>
      </c>
    </row>
    <row r="61" spans="1:12" x14ac:dyDescent="0.3">
      <c r="A61" s="139" t="s">
        <v>574</v>
      </c>
      <c r="B61" s="17" t="s">
        <v>575</v>
      </c>
      <c r="C61" s="140">
        <v>0</v>
      </c>
      <c r="D61" s="140">
        <v>2323.4</v>
      </c>
      <c r="E61" s="140">
        <v>0</v>
      </c>
      <c r="F61" s="140">
        <v>2346.33</v>
      </c>
      <c r="G61" s="140">
        <v>3400.41</v>
      </c>
      <c r="H61" s="140">
        <v>3591.66</v>
      </c>
      <c r="I61" s="140">
        <v>38800.99</v>
      </c>
      <c r="J61" s="140">
        <v>39015.17</v>
      </c>
      <c r="K61" s="140">
        <v>0</v>
      </c>
      <c r="L61" s="140">
        <v>2537.58</v>
      </c>
    </row>
    <row r="62" spans="1:12" x14ac:dyDescent="0.3">
      <c r="A62" s="139" t="s">
        <v>576</v>
      </c>
      <c r="B62" s="17" t="s">
        <v>577</v>
      </c>
      <c r="C62" s="140">
        <v>0</v>
      </c>
      <c r="D62" s="140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130</v>
      </c>
      <c r="J62" s="140">
        <v>130</v>
      </c>
      <c r="K62" s="140">
        <v>0</v>
      </c>
      <c r="L62" s="140">
        <v>0</v>
      </c>
    </row>
    <row r="63" spans="1:12" x14ac:dyDescent="0.3">
      <c r="A63" s="139" t="s">
        <v>578</v>
      </c>
      <c r="B63" s="17" t="s">
        <v>579</v>
      </c>
      <c r="C63" s="140">
        <v>0</v>
      </c>
      <c r="D63" s="140">
        <v>0</v>
      </c>
      <c r="E63" s="140">
        <v>0</v>
      </c>
      <c r="F63" s="140">
        <v>0</v>
      </c>
      <c r="G63" s="140">
        <v>53.300000000000004</v>
      </c>
      <c r="H63" s="140">
        <v>53.300000000000004</v>
      </c>
      <c r="I63" s="140">
        <v>574.6</v>
      </c>
      <c r="J63" s="140">
        <v>574.6</v>
      </c>
      <c r="K63" s="140">
        <v>0</v>
      </c>
      <c r="L63" s="140">
        <v>0</v>
      </c>
    </row>
    <row r="64" spans="1:12" x14ac:dyDescent="0.3">
      <c r="A64" s="139" t="s">
        <v>582</v>
      </c>
      <c r="B64" s="17" t="s">
        <v>583</v>
      </c>
      <c r="C64" s="140">
        <v>0</v>
      </c>
      <c r="D64" s="140">
        <v>0</v>
      </c>
      <c r="E64" s="140">
        <v>0</v>
      </c>
      <c r="F64" s="140">
        <v>0</v>
      </c>
      <c r="G64" s="140">
        <v>0</v>
      </c>
      <c r="H64" s="140">
        <v>0</v>
      </c>
      <c r="I64" s="140">
        <v>86</v>
      </c>
      <c r="J64" s="140">
        <v>86</v>
      </c>
      <c r="K64" s="140">
        <v>0</v>
      </c>
      <c r="L64" s="140">
        <v>0</v>
      </c>
    </row>
    <row r="65" spans="1:12" x14ac:dyDescent="0.3">
      <c r="A65" s="139" t="s">
        <v>584</v>
      </c>
      <c r="B65" s="17" t="s">
        <v>585</v>
      </c>
      <c r="C65" s="140">
        <v>0</v>
      </c>
      <c r="D65" s="140">
        <v>446.17</v>
      </c>
      <c r="E65" s="140">
        <v>0</v>
      </c>
      <c r="F65" s="140">
        <v>481.31</v>
      </c>
      <c r="G65" s="140">
        <v>481.31</v>
      </c>
      <c r="H65" s="140">
        <v>502.82</v>
      </c>
      <c r="I65" s="140">
        <v>5413.6500000000005</v>
      </c>
      <c r="J65" s="140">
        <v>5470.3</v>
      </c>
      <c r="K65" s="140">
        <v>0</v>
      </c>
      <c r="L65" s="140">
        <v>502.82</v>
      </c>
    </row>
    <row r="66" spans="1:12" x14ac:dyDescent="0.3">
      <c r="A66" s="139" t="s">
        <v>586</v>
      </c>
      <c r="B66" s="17" t="s">
        <v>587</v>
      </c>
      <c r="C66" s="140">
        <v>0</v>
      </c>
      <c r="D66" s="140">
        <v>1102.6100000000001</v>
      </c>
      <c r="E66" s="140">
        <v>0</v>
      </c>
      <c r="F66" s="140">
        <v>1189.46</v>
      </c>
      <c r="G66" s="140">
        <v>1189.46</v>
      </c>
      <c r="H66" s="140">
        <v>1242.58</v>
      </c>
      <c r="I66" s="140">
        <v>13205.34</v>
      </c>
      <c r="J66" s="140">
        <v>13345.31</v>
      </c>
      <c r="K66" s="140">
        <v>0</v>
      </c>
      <c r="L66" s="140">
        <v>1242.58</v>
      </c>
    </row>
    <row r="67" spans="1:12" x14ac:dyDescent="0.3">
      <c r="A67" s="139" t="s">
        <v>588</v>
      </c>
      <c r="B67" s="17" t="s">
        <v>589</v>
      </c>
      <c r="C67" s="140">
        <v>-1315.01</v>
      </c>
      <c r="D67" s="140">
        <v>0</v>
      </c>
      <c r="E67" s="140">
        <v>0</v>
      </c>
      <c r="F67" s="140">
        <v>0</v>
      </c>
      <c r="G67" s="140">
        <v>0</v>
      </c>
      <c r="H67" s="140">
        <v>2764.16</v>
      </c>
      <c r="I67" s="140">
        <v>1315.01</v>
      </c>
      <c r="J67" s="140">
        <v>2764.16</v>
      </c>
      <c r="K67" s="140">
        <v>-2764.16</v>
      </c>
      <c r="L67" s="140">
        <v>0</v>
      </c>
    </row>
    <row r="68" spans="1:12" x14ac:dyDescent="0.3">
      <c r="A68" s="139" t="s">
        <v>590</v>
      </c>
      <c r="B68" s="17" t="s">
        <v>591</v>
      </c>
      <c r="C68" s="140">
        <v>0</v>
      </c>
      <c r="D68" s="140">
        <v>384.62</v>
      </c>
      <c r="E68" s="140">
        <v>0</v>
      </c>
      <c r="F68" s="140">
        <v>494.28000000000003</v>
      </c>
      <c r="G68" s="140">
        <v>494.28000000000003</v>
      </c>
      <c r="H68" s="140">
        <v>519.54999999999995</v>
      </c>
      <c r="I68" s="140">
        <v>5545.7300000000005</v>
      </c>
      <c r="J68" s="140">
        <v>5680.66</v>
      </c>
      <c r="K68" s="140">
        <v>0</v>
      </c>
      <c r="L68" s="140">
        <v>519.54999999999995</v>
      </c>
    </row>
    <row r="69" spans="1:12" x14ac:dyDescent="0.3">
      <c r="A69" s="139" t="s">
        <v>592</v>
      </c>
      <c r="B69" s="17" t="s">
        <v>593</v>
      </c>
      <c r="C69" s="140">
        <v>0</v>
      </c>
      <c r="D69" s="140">
        <v>0</v>
      </c>
      <c r="E69" s="140">
        <v>0</v>
      </c>
      <c r="F69" s="140">
        <v>0</v>
      </c>
      <c r="G69" s="140">
        <v>3934.07</v>
      </c>
      <c r="H69" s="140">
        <v>3934.07</v>
      </c>
      <c r="I69" s="140">
        <v>39374.959999999999</v>
      </c>
      <c r="J69" s="140">
        <v>39374.959999999999</v>
      </c>
      <c r="K69" s="140">
        <v>0</v>
      </c>
      <c r="L69" s="140">
        <v>0</v>
      </c>
    </row>
    <row r="70" spans="1:12" x14ac:dyDescent="0.3">
      <c r="A70" s="139" t="s">
        <v>594</v>
      </c>
      <c r="B70" s="17" t="s">
        <v>595</v>
      </c>
      <c r="C70" s="140">
        <v>0</v>
      </c>
      <c r="D70" s="140">
        <v>0</v>
      </c>
      <c r="E70" s="140">
        <v>0</v>
      </c>
      <c r="F70" s="140">
        <v>0</v>
      </c>
      <c r="G70" s="140">
        <v>2982.9</v>
      </c>
      <c r="H70" s="140">
        <v>2548.66</v>
      </c>
      <c r="I70" s="140">
        <v>14361.73</v>
      </c>
      <c r="J70" s="140">
        <v>13927.49</v>
      </c>
      <c r="K70" s="140">
        <v>0</v>
      </c>
      <c r="L70" s="140">
        <v>-434.24</v>
      </c>
    </row>
    <row r="71" spans="1:12" x14ac:dyDescent="0.3">
      <c r="A71" s="139" t="s">
        <v>596</v>
      </c>
      <c r="B71" s="17" t="s">
        <v>597</v>
      </c>
      <c r="C71" s="140">
        <v>0</v>
      </c>
      <c r="D71" s="140">
        <v>0</v>
      </c>
      <c r="E71" s="140">
        <v>0</v>
      </c>
      <c r="F71" s="140">
        <v>0</v>
      </c>
      <c r="G71" s="140">
        <v>3389.23</v>
      </c>
      <c r="H71" s="140">
        <v>3389.23</v>
      </c>
      <c r="I71" s="140">
        <v>34094.82</v>
      </c>
      <c r="J71" s="140">
        <v>34094.82</v>
      </c>
      <c r="K71" s="140">
        <v>0</v>
      </c>
      <c r="L71" s="140">
        <v>0</v>
      </c>
    </row>
    <row r="72" spans="1:12" x14ac:dyDescent="0.3">
      <c r="A72" s="139" t="s">
        <v>598</v>
      </c>
      <c r="B72" s="17" t="s">
        <v>599</v>
      </c>
      <c r="C72" s="140">
        <v>0</v>
      </c>
      <c r="D72" s="140">
        <v>0</v>
      </c>
      <c r="E72" s="140">
        <v>0</v>
      </c>
      <c r="F72" s="140">
        <v>0</v>
      </c>
      <c r="G72" s="140">
        <v>1095.1500000000001</v>
      </c>
      <c r="H72" s="140">
        <v>1095.1500000000001</v>
      </c>
      <c r="I72" s="140">
        <v>10587.47</v>
      </c>
      <c r="J72" s="140">
        <v>10587.47</v>
      </c>
      <c r="K72" s="140">
        <v>0</v>
      </c>
      <c r="L72" s="140">
        <v>0</v>
      </c>
    </row>
    <row r="73" spans="1:12" x14ac:dyDescent="0.3">
      <c r="A73" s="139" t="s">
        <v>600</v>
      </c>
      <c r="B73" s="17" t="s">
        <v>601</v>
      </c>
      <c r="C73" s="140">
        <v>0</v>
      </c>
      <c r="D73" s="140">
        <v>0</v>
      </c>
      <c r="E73" s="140">
        <v>0</v>
      </c>
      <c r="F73" s="140">
        <v>0</v>
      </c>
      <c r="G73" s="140">
        <v>2941.71</v>
      </c>
      <c r="H73" s="140">
        <v>3375.9500000000003</v>
      </c>
      <c r="I73" s="140">
        <v>4260.91</v>
      </c>
      <c r="J73" s="140">
        <v>4695.1500000000005</v>
      </c>
      <c r="K73" s="140">
        <v>0</v>
      </c>
      <c r="L73" s="140">
        <v>434.24</v>
      </c>
    </row>
    <row r="74" spans="1:12" x14ac:dyDescent="0.3">
      <c r="A74" s="139" t="s">
        <v>602</v>
      </c>
      <c r="B74" s="17" t="s">
        <v>603</v>
      </c>
      <c r="C74" s="140">
        <v>0</v>
      </c>
      <c r="D74" s="140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55.68</v>
      </c>
      <c r="J74" s="140">
        <v>55.68</v>
      </c>
      <c r="K74" s="140">
        <v>0</v>
      </c>
      <c r="L74" s="140">
        <v>0</v>
      </c>
    </row>
    <row r="75" spans="1:12" x14ac:dyDescent="0.3">
      <c r="A75" s="139" t="s">
        <v>604</v>
      </c>
      <c r="B75" s="17" t="s">
        <v>605</v>
      </c>
      <c r="C75" s="140">
        <v>0</v>
      </c>
      <c r="D75" s="140">
        <v>0</v>
      </c>
      <c r="E75" s="140">
        <v>0</v>
      </c>
      <c r="F75" s="140">
        <v>0</v>
      </c>
      <c r="G75" s="140">
        <v>473.2</v>
      </c>
      <c r="H75" s="140">
        <v>473.2</v>
      </c>
      <c r="I75" s="140">
        <v>473.2</v>
      </c>
      <c r="J75" s="140">
        <v>473.2</v>
      </c>
      <c r="K75" s="140">
        <v>0</v>
      </c>
      <c r="L75" s="140">
        <v>0</v>
      </c>
    </row>
    <row r="76" spans="1:12" x14ac:dyDescent="0.3">
      <c r="A76" s="139" t="s">
        <v>606</v>
      </c>
      <c r="B76" s="17" t="s">
        <v>607</v>
      </c>
      <c r="C76" s="140">
        <v>10787.18</v>
      </c>
      <c r="D76" s="140">
        <v>0</v>
      </c>
      <c r="E76" s="140">
        <v>52293.590000000004</v>
      </c>
      <c r="F76" s="140">
        <v>0</v>
      </c>
      <c r="G76" s="140">
        <v>0</v>
      </c>
      <c r="H76" s="140">
        <v>9922.9699999999993</v>
      </c>
      <c r="I76" s="140">
        <v>59678.37</v>
      </c>
      <c r="J76" s="140">
        <v>28094.93</v>
      </c>
      <c r="K76" s="140">
        <v>42370.62</v>
      </c>
      <c r="L76" s="140">
        <v>0</v>
      </c>
    </row>
    <row r="77" spans="1:12" x14ac:dyDescent="0.3">
      <c r="A77" s="139" t="s">
        <v>965</v>
      </c>
      <c r="B77" s="17" t="s">
        <v>966</v>
      </c>
      <c r="C77" s="140">
        <v>0</v>
      </c>
      <c r="D77" s="140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40">
        <v>0</v>
      </c>
      <c r="L77" s="140">
        <v>0</v>
      </c>
    </row>
    <row r="78" spans="1:12" x14ac:dyDescent="0.3">
      <c r="A78" s="139" t="s">
        <v>608</v>
      </c>
      <c r="B78" s="17" t="s">
        <v>609</v>
      </c>
      <c r="C78" s="140">
        <v>-44.22</v>
      </c>
      <c r="D78" s="140">
        <v>0</v>
      </c>
      <c r="E78" s="140">
        <v>446.41</v>
      </c>
      <c r="F78" s="140">
        <v>0</v>
      </c>
      <c r="G78" s="140">
        <v>89.97</v>
      </c>
      <c r="H78" s="140">
        <v>446.41</v>
      </c>
      <c r="I78" s="140">
        <v>880.86</v>
      </c>
      <c r="J78" s="140">
        <v>746.67</v>
      </c>
      <c r="K78" s="140">
        <v>89.97</v>
      </c>
      <c r="L78" s="140">
        <v>0</v>
      </c>
    </row>
    <row r="79" spans="1:12" x14ac:dyDescent="0.3">
      <c r="A79" s="139" t="s">
        <v>610</v>
      </c>
      <c r="B79" s="17" t="s">
        <v>611</v>
      </c>
      <c r="C79" s="140">
        <v>0</v>
      </c>
      <c r="D79" s="140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3034.42</v>
      </c>
      <c r="J79" s="140">
        <v>3034.42</v>
      </c>
      <c r="K79" s="140">
        <v>0</v>
      </c>
      <c r="L79" s="140">
        <v>0</v>
      </c>
    </row>
    <row r="80" spans="1:12" x14ac:dyDescent="0.3">
      <c r="A80" s="139" t="s">
        <v>612</v>
      </c>
      <c r="B80" s="17" t="s">
        <v>613</v>
      </c>
      <c r="C80" s="140">
        <v>0</v>
      </c>
      <c r="D80" s="140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6.44</v>
      </c>
      <c r="J80" s="140">
        <v>6.44</v>
      </c>
      <c r="K80" s="140">
        <v>0</v>
      </c>
      <c r="L80" s="140">
        <v>0</v>
      </c>
    </row>
    <row r="81" spans="1:12" x14ac:dyDescent="0.3">
      <c r="A81" s="139" t="s">
        <v>614</v>
      </c>
      <c r="B81" s="17" t="s">
        <v>615</v>
      </c>
      <c r="C81" s="140">
        <v>0</v>
      </c>
      <c r="D81" s="140">
        <v>0</v>
      </c>
      <c r="E81" s="140">
        <v>0</v>
      </c>
      <c r="F81" s="140">
        <v>0</v>
      </c>
      <c r="G81" s="140">
        <v>31462.99</v>
      </c>
      <c r="H81" s="140">
        <v>31462.99</v>
      </c>
      <c r="I81" s="140">
        <v>443511.95</v>
      </c>
      <c r="J81" s="140">
        <v>443511.95</v>
      </c>
      <c r="K81" s="140">
        <v>0</v>
      </c>
      <c r="L81" s="140">
        <v>0</v>
      </c>
    </row>
    <row r="82" spans="1:12" x14ac:dyDescent="0.3">
      <c r="A82" s="139" t="s">
        <v>616</v>
      </c>
      <c r="B82" s="17" t="s">
        <v>617</v>
      </c>
      <c r="C82" s="140">
        <v>0</v>
      </c>
      <c r="D82" s="140">
        <v>0</v>
      </c>
      <c r="E82" s="140">
        <v>351.57</v>
      </c>
      <c r="F82" s="140">
        <v>0</v>
      </c>
      <c r="G82" s="140">
        <v>169.47</v>
      </c>
      <c r="H82" s="140">
        <v>351.57</v>
      </c>
      <c r="I82" s="140">
        <v>22080.75</v>
      </c>
      <c r="J82" s="140">
        <v>21911.279999999999</v>
      </c>
      <c r="K82" s="140">
        <v>169.47</v>
      </c>
      <c r="L82" s="140">
        <v>0</v>
      </c>
    </row>
    <row r="83" spans="1:12" x14ac:dyDescent="0.3">
      <c r="A83" s="139" t="s">
        <v>618</v>
      </c>
      <c r="B83" s="17" t="s">
        <v>619</v>
      </c>
      <c r="C83" s="140">
        <v>0</v>
      </c>
      <c r="D83" s="140">
        <v>0</v>
      </c>
      <c r="E83" s="140">
        <v>-805.4</v>
      </c>
      <c r="F83" s="140">
        <v>0</v>
      </c>
      <c r="G83" s="140">
        <v>1748.76</v>
      </c>
      <c r="H83" s="140">
        <v>0</v>
      </c>
      <c r="I83" s="140">
        <v>6245.97</v>
      </c>
      <c r="J83" s="140">
        <v>5302.61</v>
      </c>
      <c r="K83" s="140">
        <v>943.36</v>
      </c>
      <c r="L83" s="140">
        <v>0</v>
      </c>
    </row>
    <row r="84" spans="1:12" x14ac:dyDescent="0.3">
      <c r="A84" s="139" t="s">
        <v>620</v>
      </c>
      <c r="B84" s="17" t="s">
        <v>621</v>
      </c>
      <c r="C84" s="140">
        <v>0</v>
      </c>
      <c r="D84" s="140">
        <v>52.29</v>
      </c>
      <c r="E84" s="140">
        <v>0</v>
      </c>
      <c r="F84" s="140">
        <v>0</v>
      </c>
      <c r="G84" s="140">
        <v>0</v>
      </c>
      <c r="H84" s="140">
        <v>0</v>
      </c>
      <c r="I84" s="140">
        <v>3254.06</v>
      </c>
      <c r="J84" s="140">
        <v>3201.77</v>
      </c>
      <c r="K84" s="140">
        <v>0</v>
      </c>
      <c r="L84" s="140">
        <v>0</v>
      </c>
    </row>
    <row r="85" spans="1:12" x14ac:dyDescent="0.3">
      <c r="A85" s="139" t="s">
        <v>622</v>
      </c>
      <c r="B85" s="17" t="s">
        <v>619</v>
      </c>
      <c r="C85" s="140">
        <v>0</v>
      </c>
      <c r="D85" s="140">
        <v>974.15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-974.15</v>
      </c>
      <c r="K85" s="140">
        <v>0</v>
      </c>
      <c r="L85" s="140">
        <v>0</v>
      </c>
    </row>
    <row r="86" spans="1:12" x14ac:dyDescent="0.3">
      <c r="A86" s="139" t="s">
        <v>623</v>
      </c>
      <c r="B86" s="17" t="s">
        <v>624</v>
      </c>
      <c r="C86" s="140">
        <v>0</v>
      </c>
      <c r="D86" s="140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1636.68</v>
      </c>
      <c r="J86" s="140">
        <v>1636.68</v>
      </c>
      <c r="K86" s="140">
        <v>0</v>
      </c>
      <c r="L86" s="140">
        <v>0</v>
      </c>
    </row>
    <row r="87" spans="1:12" x14ac:dyDescent="0.3">
      <c r="A87" s="139" t="s">
        <v>625</v>
      </c>
      <c r="B87" s="17" t="s">
        <v>626</v>
      </c>
      <c r="C87" s="140">
        <v>330</v>
      </c>
      <c r="D87" s="140">
        <v>0</v>
      </c>
      <c r="E87" s="140">
        <v>330</v>
      </c>
      <c r="F87" s="140">
        <v>0</v>
      </c>
      <c r="G87" s="140">
        <v>42.18</v>
      </c>
      <c r="H87" s="140">
        <v>0</v>
      </c>
      <c r="I87" s="140">
        <v>372.18</v>
      </c>
      <c r="J87" s="140">
        <v>330</v>
      </c>
      <c r="K87" s="140">
        <v>372.18</v>
      </c>
      <c r="L87" s="140">
        <v>0</v>
      </c>
    </row>
    <row r="88" spans="1:12" x14ac:dyDescent="0.3">
      <c r="A88" s="139" t="s">
        <v>627</v>
      </c>
      <c r="B88" s="17" t="s">
        <v>628</v>
      </c>
      <c r="C88" s="140">
        <v>0</v>
      </c>
      <c r="D88" s="140">
        <v>0</v>
      </c>
      <c r="E88" s="140">
        <v>0</v>
      </c>
      <c r="F88" s="140">
        <v>351.57</v>
      </c>
      <c r="G88" s="140">
        <v>351.57</v>
      </c>
      <c r="H88" s="140">
        <v>169.47</v>
      </c>
      <c r="I88" s="140">
        <v>21911.279999999999</v>
      </c>
      <c r="J88" s="140">
        <v>22080.75</v>
      </c>
      <c r="K88" s="140">
        <v>0</v>
      </c>
      <c r="L88" s="140">
        <v>169.47</v>
      </c>
    </row>
    <row r="89" spans="1:12" x14ac:dyDescent="0.3">
      <c r="A89" s="139" t="s">
        <v>629</v>
      </c>
      <c r="B89" s="17" t="s">
        <v>630</v>
      </c>
      <c r="C89" s="140">
        <v>0</v>
      </c>
      <c r="D89" s="140">
        <v>0</v>
      </c>
      <c r="E89" s="140">
        <v>0</v>
      </c>
      <c r="F89" s="140">
        <v>0</v>
      </c>
      <c r="G89" s="140">
        <v>53751.65</v>
      </c>
      <c r="H89" s="140">
        <v>53751.65</v>
      </c>
      <c r="I89" s="140">
        <v>553834.99</v>
      </c>
      <c r="J89" s="140">
        <v>553834.99</v>
      </c>
      <c r="K89" s="140">
        <v>0</v>
      </c>
      <c r="L89" s="140">
        <v>0</v>
      </c>
    </row>
    <row r="90" spans="1:12" x14ac:dyDescent="0.3">
      <c r="A90" s="139" t="s">
        <v>633</v>
      </c>
      <c r="B90" s="17" t="s">
        <v>262</v>
      </c>
      <c r="C90" s="140">
        <v>0</v>
      </c>
      <c r="D90" s="140">
        <v>5000</v>
      </c>
      <c r="E90" s="140">
        <v>0</v>
      </c>
      <c r="F90" s="140">
        <v>5000</v>
      </c>
      <c r="G90" s="140">
        <v>0</v>
      </c>
      <c r="H90" s="140">
        <v>0</v>
      </c>
      <c r="I90" s="140">
        <v>0</v>
      </c>
      <c r="J90" s="140">
        <v>0</v>
      </c>
      <c r="K90" s="140">
        <v>0</v>
      </c>
      <c r="L90" s="140">
        <v>5000</v>
      </c>
    </row>
    <row r="91" spans="1:12" x14ac:dyDescent="0.3">
      <c r="A91" s="139" t="s">
        <v>634</v>
      </c>
      <c r="B91" s="17" t="s">
        <v>635</v>
      </c>
      <c r="C91" s="140">
        <v>0</v>
      </c>
      <c r="D91" s="140">
        <v>8000</v>
      </c>
      <c r="E91" s="140">
        <v>0</v>
      </c>
      <c r="F91" s="140">
        <v>8000</v>
      </c>
      <c r="G91" s="140">
        <v>0</v>
      </c>
      <c r="H91" s="140">
        <v>0</v>
      </c>
      <c r="I91" s="140">
        <v>0</v>
      </c>
      <c r="J91" s="140">
        <v>0</v>
      </c>
      <c r="K91" s="140">
        <v>0</v>
      </c>
      <c r="L91" s="140">
        <v>8000</v>
      </c>
    </row>
    <row r="92" spans="1:12" x14ac:dyDescent="0.3">
      <c r="A92" s="139" t="s">
        <v>636</v>
      </c>
      <c r="B92" s="17" t="s">
        <v>268</v>
      </c>
      <c r="C92" s="140">
        <v>0</v>
      </c>
      <c r="D92" s="140">
        <v>500</v>
      </c>
      <c r="E92" s="140">
        <v>0</v>
      </c>
      <c r="F92" s="140">
        <v>500</v>
      </c>
      <c r="G92" s="140">
        <v>0</v>
      </c>
      <c r="H92" s="140">
        <v>0</v>
      </c>
      <c r="I92" s="140">
        <v>0</v>
      </c>
      <c r="J92" s="140">
        <v>0</v>
      </c>
      <c r="K92" s="140">
        <v>0</v>
      </c>
      <c r="L92" s="140">
        <v>500</v>
      </c>
    </row>
    <row r="93" spans="1:12" x14ac:dyDescent="0.3">
      <c r="A93" s="139" t="s">
        <v>637</v>
      </c>
      <c r="B93" s="17" t="s">
        <v>638</v>
      </c>
      <c r="C93" s="140">
        <v>0</v>
      </c>
      <c r="D93" s="140">
        <v>1876.16</v>
      </c>
      <c r="E93" s="140">
        <v>0</v>
      </c>
      <c r="F93" s="140">
        <v>1876.16</v>
      </c>
      <c r="G93" s="140">
        <v>0</v>
      </c>
      <c r="H93" s="140">
        <v>0</v>
      </c>
      <c r="I93" s="140">
        <v>0</v>
      </c>
      <c r="J93" s="140">
        <v>0</v>
      </c>
      <c r="K93" s="140">
        <v>0</v>
      </c>
      <c r="L93" s="140">
        <v>1876.16</v>
      </c>
    </row>
    <row r="94" spans="1:12" x14ac:dyDescent="0.3">
      <c r="A94" s="139" t="s">
        <v>639</v>
      </c>
      <c r="B94" s="17" t="s">
        <v>640</v>
      </c>
      <c r="C94" s="140">
        <v>0</v>
      </c>
      <c r="D94" s="140">
        <v>6485.6</v>
      </c>
      <c r="E94" s="140">
        <v>0</v>
      </c>
      <c r="F94" s="140">
        <v>6485.6</v>
      </c>
      <c r="G94" s="140">
        <v>0</v>
      </c>
      <c r="H94" s="140">
        <v>0</v>
      </c>
      <c r="I94" s="140">
        <v>0</v>
      </c>
      <c r="J94" s="140">
        <v>0</v>
      </c>
      <c r="K94" s="140">
        <v>0</v>
      </c>
      <c r="L94" s="140">
        <v>6485.6</v>
      </c>
    </row>
    <row r="95" spans="1:12" x14ac:dyDescent="0.3">
      <c r="A95" s="139" t="s">
        <v>641</v>
      </c>
      <c r="B95" s="17" t="s">
        <v>642</v>
      </c>
      <c r="C95" s="140">
        <v>0</v>
      </c>
      <c r="D95" s="140">
        <v>6337.47</v>
      </c>
      <c r="E95" s="140">
        <v>0</v>
      </c>
      <c r="F95" s="140">
        <v>6337.47</v>
      </c>
      <c r="G95" s="140">
        <v>0</v>
      </c>
      <c r="H95" s="140">
        <v>0</v>
      </c>
      <c r="I95" s="140">
        <v>0</v>
      </c>
      <c r="J95" s="140">
        <v>0</v>
      </c>
      <c r="K95" s="140">
        <v>0</v>
      </c>
      <c r="L95" s="140">
        <v>6337.47</v>
      </c>
    </row>
    <row r="96" spans="1:12" x14ac:dyDescent="0.3">
      <c r="A96" s="139" t="s">
        <v>643</v>
      </c>
      <c r="B96" s="17" t="s">
        <v>644</v>
      </c>
      <c r="C96" s="140">
        <v>0</v>
      </c>
      <c r="D96" s="140">
        <v>4945.1900000000005</v>
      </c>
      <c r="E96" s="140">
        <v>0</v>
      </c>
      <c r="F96" s="140">
        <v>4945.1900000000005</v>
      </c>
      <c r="G96" s="140">
        <v>0</v>
      </c>
      <c r="H96" s="140">
        <v>0</v>
      </c>
      <c r="I96" s="140">
        <v>0</v>
      </c>
      <c r="J96" s="140">
        <v>0</v>
      </c>
      <c r="K96" s="140">
        <v>0</v>
      </c>
      <c r="L96" s="140">
        <v>4945.1900000000005</v>
      </c>
    </row>
    <row r="97" spans="1:12" x14ac:dyDescent="0.3">
      <c r="A97" s="139" t="s">
        <v>645</v>
      </c>
      <c r="B97" s="17" t="s">
        <v>646</v>
      </c>
      <c r="C97" s="140">
        <v>0</v>
      </c>
      <c r="D97" s="140">
        <v>0</v>
      </c>
      <c r="E97" s="140">
        <v>0</v>
      </c>
      <c r="F97" s="140">
        <v>4565.33</v>
      </c>
      <c r="G97" s="140">
        <v>0</v>
      </c>
      <c r="H97" s="140">
        <v>0</v>
      </c>
      <c r="I97" s="140">
        <v>0</v>
      </c>
      <c r="J97" s="140">
        <v>4565.33</v>
      </c>
      <c r="K97" s="140">
        <v>0</v>
      </c>
      <c r="L97" s="140">
        <v>4565.33</v>
      </c>
    </row>
    <row r="98" spans="1:12" x14ac:dyDescent="0.3">
      <c r="A98" s="139" t="s">
        <v>649</v>
      </c>
      <c r="B98" s="17" t="s">
        <v>650</v>
      </c>
      <c r="C98" s="140">
        <v>0</v>
      </c>
      <c r="D98" s="140">
        <v>4565.33</v>
      </c>
      <c r="E98" s="140">
        <v>0</v>
      </c>
      <c r="F98" s="140">
        <v>0</v>
      </c>
      <c r="G98" s="140">
        <v>0</v>
      </c>
      <c r="H98" s="140">
        <v>0</v>
      </c>
      <c r="I98" s="140">
        <v>4565.33</v>
      </c>
      <c r="J98" s="140">
        <v>0</v>
      </c>
      <c r="K98" s="140">
        <v>0</v>
      </c>
      <c r="L98" s="140">
        <v>0</v>
      </c>
    </row>
    <row r="99" spans="1:12" x14ac:dyDescent="0.3">
      <c r="A99" s="139" t="s">
        <v>651</v>
      </c>
      <c r="B99" s="17" t="s">
        <v>652</v>
      </c>
      <c r="C99" s="140">
        <v>0</v>
      </c>
      <c r="D99" s="140">
        <v>1850.64</v>
      </c>
      <c r="E99" s="140">
        <v>0</v>
      </c>
      <c r="F99" s="140">
        <v>2037.6200000000001</v>
      </c>
      <c r="G99" s="140">
        <v>0</v>
      </c>
      <c r="H99" s="140">
        <v>19.59</v>
      </c>
      <c r="I99" s="140">
        <v>0</v>
      </c>
      <c r="J99" s="140">
        <v>206.57</v>
      </c>
      <c r="K99" s="140">
        <v>0</v>
      </c>
      <c r="L99" s="140">
        <v>2057.21</v>
      </c>
    </row>
    <row r="100" spans="1:12" x14ac:dyDescent="0.3">
      <c r="A100" s="139" t="s">
        <v>653</v>
      </c>
      <c r="B100" s="17" t="s">
        <v>654</v>
      </c>
      <c r="C100" s="140">
        <v>0</v>
      </c>
      <c r="D100" s="140">
        <v>-1135.43</v>
      </c>
      <c r="E100" s="140">
        <v>0</v>
      </c>
      <c r="F100" s="140">
        <v>-1289.8</v>
      </c>
      <c r="G100" s="140">
        <v>15.780000000000001</v>
      </c>
      <c r="H100" s="140">
        <v>0</v>
      </c>
      <c r="I100" s="140">
        <v>170.15</v>
      </c>
      <c r="J100" s="140">
        <v>0</v>
      </c>
      <c r="K100" s="140">
        <v>0</v>
      </c>
      <c r="L100" s="140">
        <v>-1305.58</v>
      </c>
    </row>
    <row r="101" spans="1:12" x14ac:dyDescent="0.3">
      <c r="A101" s="139" t="s">
        <v>655</v>
      </c>
      <c r="B101" s="17" t="s">
        <v>656</v>
      </c>
      <c r="C101" s="140">
        <v>0</v>
      </c>
      <c r="D101" s="140">
        <v>-558.96</v>
      </c>
      <c r="E101" s="140">
        <v>0</v>
      </c>
      <c r="F101" s="140">
        <v>-558.96</v>
      </c>
      <c r="G101" s="140">
        <v>0</v>
      </c>
      <c r="H101" s="140">
        <v>0</v>
      </c>
      <c r="I101" s="140">
        <v>0</v>
      </c>
      <c r="J101" s="140">
        <v>0</v>
      </c>
      <c r="K101" s="140">
        <v>0</v>
      </c>
      <c r="L101" s="140">
        <v>-558.96</v>
      </c>
    </row>
    <row r="102" spans="1:12" x14ac:dyDescent="0.3">
      <c r="A102" s="139" t="s">
        <v>657</v>
      </c>
      <c r="B102" s="17" t="s">
        <v>658</v>
      </c>
      <c r="C102" s="140">
        <v>0</v>
      </c>
      <c r="D102" s="140">
        <v>-864.87</v>
      </c>
      <c r="E102" s="140">
        <v>0</v>
      </c>
      <c r="F102" s="140">
        <v>-864.87</v>
      </c>
      <c r="G102" s="140">
        <v>1357.8</v>
      </c>
      <c r="H102" s="140">
        <v>864.87</v>
      </c>
      <c r="I102" s="140">
        <v>1357.8</v>
      </c>
      <c r="J102" s="140">
        <v>864.87</v>
      </c>
      <c r="K102" s="140">
        <v>0</v>
      </c>
      <c r="L102" s="140">
        <v>-1357.8</v>
      </c>
    </row>
    <row r="103" spans="1:12" x14ac:dyDescent="0.3">
      <c r="A103" s="139" t="s">
        <v>659</v>
      </c>
      <c r="B103" s="17" t="s">
        <v>660</v>
      </c>
      <c r="C103" s="140">
        <v>0</v>
      </c>
      <c r="D103" s="140">
        <v>0</v>
      </c>
      <c r="E103" s="140">
        <v>188.22</v>
      </c>
      <c r="F103" s="140">
        <v>0</v>
      </c>
      <c r="G103" s="140">
        <v>7.8900000000000006</v>
      </c>
      <c r="H103" s="140">
        <v>0</v>
      </c>
      <c r="I103" s="140">
        <v>196.11</v>
      </c>
      <c r="J103" s="140">
        <v>0</v>
      </c>
      <c r="K103" s="140">
        <v>196.11</v>
      </c>
      <c r="L103" s="140">
        <v>0</v>
      </c>
    </row>
    <row r="104" spans="1:12" x14ac:dyDescent="0.3">
      <c r="A104" s="139" t="s">
        <v>661</v>
      </c>
      <c r="B104" s="17" t="s">
        <v>662</v>
      </c>
      <c r="C104" s="140">
        <v>0</v>
      </c>
      <c r="D104" s="140">
        <v>0</v>
      </c>
      <c r="E104" s="140">
        <v>90.89</v>
      </c>
      <c r="F104" s="140">
        <v>0</v>
      </c>
      <c r="G104" s="140">
        <v>25</v>
      </c>
      <c r="H104" s="140">
        <v>0</v>
      </c>
      <c r="I104" s="140">
        <v>115.89</v>
      </c>
      <c r="J104" s="140">
        <v>0</v>
      </c>
      <c r="K104" s="140">
        <v>115.89</v>
      </c>
      <c r="L104" s="140">
        <v>0</v>
      </c>
    </row>
    <row r="105" spans="1:12" x14ac:dyDescent="0.3">
      <c r="A105" s="139" t="s">
        <v>663</v>
      </c>
      <c r="B105" s="17" t="s">
        <v>664</v>
      </c>
      <c r="C105" s="140">
        <v>0</v>
      </c>
      <c r="D105" s="140">
        <v>0</v>
      </c>
      <c r="E105" s="140">
        <v>93.3</v>
      </c>
      <c r="F105" s="140">
        <v>0</v>
      </c>
      <c r="G105" s="140">
        <v>0</v>
      </c>
      <c r="H105" s="140">
        <v>0</v>
      </c>
      <c r="I105" s="140">
        <v>93.3</v>
      </c>
      <c r="J105" s="140">
        <v>0</v>
      </c>
      <c r="K105" s="140">
        <v>93.3</v>
      </c>
      <c r="L105" s="140">
        <v>0</v>
      </c>
    </row>
    <row r="106" spans="1:12" x14ac:dyDescent="0.3">
      <c r="A106" s="139" t="s">
        <v>967</v>
      </c>
      <c r="B106" s="17" t="s">
        <v>968</v>
      </c>
      <c r="C106" s="140">
        <v>0</v>
      </c>
      <c r="D106" s="140">
        <v>0</v>
      </c>
      <c r="E106" s="140">
        <v>0</v>
      </c>
      <c r="F106" s="140">
        <v>0</v>
      </c>
      <c r="G106" s="140">
        <v>289.84000000000003</v>
      </c>
      <c r="H106" s="140">
        <v>0</v>
      </c>
      <c r="I106" s="140">
        <v>289.84000000000003</v>
      </c>
      <c r="J106" s="140">
        <v>0</v>
      </c>
      <c r="K106" s="140">
        <v>289.84000000000003</v>
      </c>
      <c r="L106" s="140">
        <v>0</v>
      </c>
    </row>
    <row r="107" spans="1:12" x14ac:dyDescent="0.3">
      <c r="A107" s="139" t="s">
        <v>665</v>
      </c>
      <c r="B107" s="17" t="s">
        <v>666</v>
      </c>
      <c r="C107" s="140">
        <v>0</v>
      </c>
      <c r="D107" s="140">
        <v>0</v>
      </c>
      <c r="E107" s="140">
        <v>288.19</v>
      </c>
      <c r="F107" s="140">
        <v>0</v>
      </c>
      <c r="G107" s="140">
        <v>38.17</v>
      </c>
      <c r="H107" s="140">
        <v>0</v>
      </c>
      <c r="I107" s="140">
        <v>326.36</v>
      </c>
      <c r="J107" s="140">
        <v>0</v>
      </c>
      <c r="K107" s="140">
        <v>326.36</v>
      </c>
      <c r="L107" s="140">
        <v>0</v>
      </c>
    </row>
    <row r="108" spans="1:12" x14ac:dyDescent="0.3">
      <c r="A108" s="139" t="s">
        <v>667</v>
      </c>
      <c r="B108" s="17" t="s">
        <v>668</v>
      </c>
      <c r="C108" s="140">
        <v>0</v>
      </c>
      <c r="D108" s="140">
        <v>0</v>
      </c>
      <c r="E108" s="140">
        <v>69.16</v>
      </c>
      <c r="F108" s="140">
        <v>0</v>
      </c>
      <c r="G108" s="140">
        <v>5.69</v>
      </c>
      <c r="H108" s="140">
        <v>0</v>
      </c>
      <c r="I108" s="140">
        <v>74.850000000000009</v>
      </c>
      <c r="J108" s="140">
        <v>0</v>
      </c>
      <c r="K108" s="140">
        <v>74.850000000000009</v>
      </c>
      <c r="L108" s="140">
        <v>0</v>
      </c>
    </row>
    <row r="109" spans="1:12" x14ac:dyDescent="0.3">
      <c r="A109" s="139" t="s">
        <v>669</v>
      </c>
      <c r="B109" s="17" t="s">
        <v>670</v>
      </c>
      <c r="C109" s="140">
        <v>0</v>
      </c>
      <c r="D109" s="140">
        <v>0</v>
      </c>
      <c r="E109" s="140">
        <v>136.46</v>
      </c>
      <c r="F109" s="140">
        <v>0</v>
      </c>
      <c r="G109" s="140">
        <v>0</v>
      </c>
      <c r="H109" s="140">
        <v>0</v>
      </c>
      <c r="I109" s="140">
        <v>136.46</v>
      </c>
      <c r="J109" s="140">
        <v>0</v>
      </c>
      <c r="K109" s="140">
        <v>136.46</v>
      </c>
      <c r="L109" s="140">
        <v>0</v>
      </c>
    </row>
    <row r="110" spans="1:12" x14ac:dyDescent="0.3">
      <c r="A110" s="139" t="s">
        <v>671</v>
      </c>
      <c r="B110" s="17" t="s">
        <v>672</v>
      </c>
      <c r="C110" s="140">
        <v>0</v>
      </c>
      <c r="D110" s="140">
        <v>0</v>
      </c>
      <c r="E110" s="140">
        <v>2.58</v>
      </c>
      <c r="F110" s="140">
        <v>0</v>
      </c>
      <c r="G110" s="140">
        <v>0</v>
      </c>
      <c r="H110" s="140">
        <v>0</v>
      </c>
      <c r="I110" s="140">
        <v>2.58</v>
      </c>
      <c r="J110" s="140">
        <v>0</v>
      </c>
      <c r="K110" s="140">
        <v>2.58</v>
      </c>
      <c r="L110" s="140">
        <v>0</v>
      </c>
    </row>
    <row r="111" spans="1:12" x14ac:dyDescent="0.3">
      <c r="A111" s="139" t="s">
        <v>673</v>
      </c>
      <c r="B111" s="17" t="s">
        <v>674</v>
      </c>
      <c r="C111" s="140">
        <v>0</v>
      </c>
      <c r="D111" s="140">
        <v>0</v>
      </c>
      <c r="E111" s="140">
        <v>180.02</v>
      </c>
      <c r="F111" s="140">
        <v>0</v>
      </c>
      <c r="G111" s="140">
        <v>20.94</v>
      </c>
      <c r="H111" s="140">
        <v>0</v>
      </c>
      <c r="I111" s="140">
        <v>200.96</v>
      </c>
      <c r="J111" s="140">
        <v>0</v>
      </c>
      <c r="K111" s="140">
        <v>200.96</v>
      </c>
      <c r="L111" s="140">
        <v>0</v>
      </c>
    </row>
    <row r="112" spans="1:12" x14ac:dyDescent="0.3">
      <c r="A112" s="139" t="s">
        <v>679</v>
      </c>
      <c r="B112" s="17" t="s">
        <v>680</v>
      </c>
      <c r="C112" s="140">
        <v>0</v>
      </c>
      <c r="D112" s="140">
        <v>0</v>
      </c>
      <c r="E112" s="140">
        <v>823.82</v>
      </c>
      <c r="F112" s="140">
        <v>0</v>
      </c>
      <c r="G112" s="140">
        <v>1263.17</v>
      </c>
      <c r="H112" s="140">
        <v>0</v>
      </c>
      <c r="I112" s="140">
        <v>2086.9900000000002</v>
      </c>
      <c r="J112" s="140">
        <v>0</v>
      </c>
      <c r="K112" s="140">
        <v>2086.9900000000002</v>
      </c>
      <c r="L112" s="140">
        <v>0</v>
      </c>
    </row>
    <row r="113" spans="1:12" x14ac:dyDescent="0.3">
      <c r="A113" s="139" t="s">
        <v>681</v>
      </c>
      <c r="B113" s="17" t="s">
        <v>682</v>
      </c>
      <c r="C113" s="140">
        <v>0</v>
      </c>
      <c r="D113" s="140">
        <v>0</v>
      </c>
      <c r="E113" s="140">
        <v>1139.81</v>
      </c>
      <c r="F113" s="140">
        <v>0</v>
      </c>
      <c r="G113" s="140">
        <v>221.29</v>
      </c>
      <c r="H113" s="140">
        <v>0</v>
      </c>
      <c r="I113" s="140">
        <v>1361.1000000000001</v>
      </c>
      <c r="J113" s="140">
        <v>0</v>
      </c>
      <c r="K113" s="140">
        <v>1361.1000000000001</v>
      </c>
      <c r="L113" s="140">
        <v>0</v>
      </c>
    </row>
    <row r="114" spans="1:12" x14ac:dyDescent="0.3">
      <c r="A114" s="139" t="s">
        <v>683</v>
      </c>
      <c r="B114" s="17" t="s">
        <v>684</v>
      </c>
      <c r="C114" s="140">
        <v>0</v>
      </c>
      <c r="D114" s="140">
        <v>0</v>
      </c>
      <c r="E114" s="140">
        <v>261260.92</v>
      </c>
      <c r="F114" s="140">
        <v>0</v>
      </c>
      <c r="G114" s="140">
        <v>28592.41</v>
      </c>
      <c r="H114" s="140">
        <v>0</v>
      </c>
      <c r="I114" s="140">
        <v>290719.43</v>
      </c>
      <c r="J114" s="140">
        <v>866.1</v>
      </c>
      <c r="K114" s="140">
        <v>289853.33</v>
      </c>
      <c r="L114" s="140">
        <v>0</v>
      </c>
    </row>
    <row r="115" spans="1:12" x14ac:dyDescent="0.3">
      <c r="A115" s="139" t="s">
        <v>685</v>
      </c>
      <c r="B115" s="17" t="s">
        <v>686</v>
      </c>
      <c r="C115" s="140">
        <v>0</v>
      </c>
      <c r="D115" s="140">
        <v>0</v>
      </c>
      <c r="E115" s="140">
        <v>77094.900000000009</v>
      </c>
      <c r="F115" s="140">
        <v>0</v>
      </c>
      <c r="G115" s="140">
        <v>8877.82</v>
      </c>
      <c r="H115" s="140">
        <v>0</v>
      </c>
      <c r="I115" s="140">
        <v>85972.72</v>
      </c>
      <c r="J115" s="140">
        <v>0</v>
      </c>
      <c r="K115" s="140">
        <v>85972.72</v>
      </c>
      <c r="L115" s="140">
        <v>0</v>
      </c>
    </row>
    <row r="116" spans="1:12" x14ac:dyDescent="0.3">
      <c r="A116" s="139" t="s">
        <v>687</v>
      </c>
      <c r="B116" s="17" t="s">
        <v>688</v>
      </c>
      <c r="C116" s="140">
        <v>0</v>
      </c>
      <c r="D116" s="140">
        <v>0</v>
      </c>
      <c r="E116" s="140">
        <v>16111.470000000001</v>
      </c>
      <c r="F116" s="140">
        <v>0</v>
      </c>
      <c r="G116" s="140">
        <v>1897.4</v>
      </c>
      <c r="H116" s="140">
        <v>0</v>
      </c>
      <c r="I116" s="140">
        <v>18008.87</v>
      </c>
      <c r="J116" s="140">
        <v>0</v>
      </c>
      <c r="K116" s="140">
        <v>18008.87</v>
      </c>
      <c r="L116" s="140">
        <v>0</v>
      </c>
    </row>
    <row r="117" spans="1:12" x14ac:dyDescent="0.3">
      <c r="A117" s="139" t="s">
        <v>689</v>
      </c>
      <c r="B117" s="17" t="s">
        <v>690</v>
      </c>
      <c r="C117" s="140">
        <v>0</v>
      </c>
      <c r="D117" s="140">
        <v>0</v>
      </c>
      <c r="E117" s="140">
        <v>1841.8400000000001</v>
      </c>
      <c r="F117" s="140">
        <v>0</v>
      </c>
      <c r="G117" s="140">
        <v>25.2</v>
      </c>
      <c r="H117" s="140">
        <v>0</v>
      </c>
      <c r="I117" s="140">
        <v>1867.04</v>
      </c>
      <c r="J117" s="140">
        <v>0</v>
      </c>
      <c r="K117" s="140">
        <v>1867.04</v>
      </c>
      <c r="L117" s="140">
        <v>0</v>
      </c>
    </row>
    <row r="118" spans="1:12" x14ac:dyDescent="0.3">
      <c r="A118" s="139" t="s">
        <v>691</v>
      </c>
      <c r="B118" s="17" t="s">
        <v>692</v>
      </c>
      <c r="C118" s="140">
        <v>0</v>
      </c>
      <c r="D118" s="140">
        <v>0</v>
      </c>
      <c r="E118" s="140">
        <v>8367.1</v>
      </c>
      <c r="F118" s="140">
        <v>0</v>
      </c>
      <c r="G118" s="140">
        <v>0</v>
      </c>
      <c r="H118" s="140">
        <v>0</v>
      </c>
      <c r="I118" s="140">
        <v>8367.1</v>
      </c>
      <c r="J118" s="140">
        <v>0</v>
      </c>
      <c r="K118" s="140">
        <v>8367.1</v>
      </c>
      <c r="L118" s="140">
        <v>0</v>
      </c>
    </row>
    <row r="119" spans="1:12" x14ac:dyDescent="0.3">
      <c r="A119" s="139" t="s">
        <v>693</v>
      </c>
      <c r="B119" s="17" t="s">
        <v>694</v>
      </c>
      <c r="C119" s="140">
        <v>0</v>
      </c>
      <c r="D119" s="140">
        <v>0</v>
      </c>
      <c r="E119" s="140">
        <v>65.16</v>
      </c>
      <c r="F119" s="140">
        <v>0</v>
      </c>
      <c r="G119" s="140">
        <v>28.14</v>
      </c>
      <c r="H119" s="140">
        <v>0</v>
      </c>
      <c r="I119" s="140">
        <v>93.3</v>
      </c>
      <c r="J119" s="140">
        <v>0</v>
      </c>
      <c r="K119" s="140">
        <v>93.3</v>
      </c>
      <c r="L119" s="140">
        <v>0</v>
      </c>
    </row>
    <row r="120" spans="1:12" x14ac:dyDescent="0.3">
      <c r="A120" s="139" t="s">
        <v>697</v>
      </c>
      <c r="B120" s="17" t="s">
        <v>698</v>
      </c>
      <c r="C120" s="140">
        <v>0</v>
      </c>
      <c r="D120" s="140">
        <v>0</v>
      </c>
      <c r="E120" s="140">
        <v>-234.38</v>
      </c>
      <c r="F120" s="140">
        <v>0</v>
      </c>
      <c r="G120" s="140">
        <v>0</v>
      </c>
      <c r="H120" s="140">
        <v>0</v>
      </c>
      <c r="I120" s="140">
        <v>-234.38</v>
      </c>
      <c r="J120" s="140">
        <v>0</v>
      </c>
      <c r="K120" s="140">
        <v>-234.38</v>
      </c>
      <c r="L120" s="140">
        <v>0</v>
      </c>
    </row>
    <row r="121" spans="1:12" x14ac:dyDescent="0.3">
      <c r="A121" s="139" t="s">
        <v>699</v>
      </c>
      <c r="B121" s="17" t="s">
        <v>700</v>
      </c>
      <c r="C121" s="140">
        <v>0</v>
      </c>
      <c r="D121" s="140">
        <v>0</v>
      </c>
      <c r="E121" s="140">
        <v>-10256.700000000001</v>
      </c>
      <c r="F121" s="140">
        <v>0</v>
      </c>
      <c r="G121" s="140">
        <v>-1173.46</v>
      </c>
      <c r="H121" s="140">
        <v>0</v>
      </c>
      <c r="I121" s="140">
        <v>-11430.16</v>
      </c>
      <c r="J121" s="140">
        <v>0</v>
      </c>
      <c r="K121" s="140">
        <v>-11430.16</v>
      </c>
      <c r="L121" s="140">
        <v>0</v>
      </c>
    </row>
    <row r="122" spans="1:12" x14ac:dyDescent="0.3">
      <c r="A122" s="139" t="s">
        <v>701</v>
      </c>
      <c r="B122" s="17" t="s">
        <v>702</v>
      </c>
      <c r="C122" s="140">
        <v>0</v>
      </c>
      <c r="D122" s="140">
        <v>0</v>
      </c>
      <c r="E122" s="140">
        <v>-1898.47</v>
      </c>
      <c r="F122" s="140">
        <v>0</v>
      </c>
      <c r="G122" s="140">
        <v>-197.1</v>
      </c>
      <c r="H122" s="140">
        <v>0</v>
      </c>
      <c r="I122" s="140">
        <v>-2095.5700000000002</v>
      </c>
      <c r="J122" s="140">
        <v>0</v>
      </c>
      <c r="K122" s="140">
        <v>-2095.5700000000002</v>
      </c>
      <c r="L122" s="140">
        <v>0</v>
      </c>
    </row>
    <row r="123" spans="1:12" x14ac:dyDescent="0.3">
      <c r="A123" s="139" t="s">
        <v>703</v>
      </c>
      <c r="B123" s="17" t="s">
        <v>704</v>
      </c>
      <c r="C123" s="140">
        <v>0</v>
      </c>
      <c r="D123" s="140">
        <v>0</v>
      </c>
      <c r="E123" s="140">
        <v>-1304.82</v>
      </c>
      <c r="F123" s="140">
        <v>0</v>
      </c>
      <c r="G123" s="140">
        <v>-148.78</v>
      </c>
      <c r="H123" s="140">
        <v>0</v>
      </c>
      <c r="I123" s="140">
        <v>-1453.6000000000001</v>
      </c>
      <c r="J123" s="140">
        <v>0</v>
      </c>
      <c r="K123" s="140">
        <v>-1453.6000000000001</v>
      </c>
      <c r="L123" s="140">
        <v>0</v>
      </c>
    </row>
    <row r="124" spans="1:12" x14ac:dyDescent="0.3">
      <c r="A124" s="139" t="s">
        <v>705</v>
      </c>
      <c r="B124" s="17" t="s">
        <v>706</v>
      </c>
      <c r="C124" s="140">
        <v>0</v>
      </c>
      <c r="D124" s="140">
        <v>0</v>
      </c>
      <c r="E124" s="140">
        <v>-244.58</v>
      </c>
      <c r="F124" s="140">
        <v>0</v>
      </c>
      <c r="G124" s="140">
        <v>-24.66</v>
      </c>
      <c r="H124" s="140">
        <v>0</v>
      </c>
      <c r="I124" s="140">
        <v>-269.24</v>
      </c>
      <c r="J124" s="140">
        <v>0</v>
      </c>
      <c r="K124" s="140">
        <v>-269.24</v>
      </c>
      <c r="L124" s="140">
        <v>0</v>
      </c>
    </row>
    <row r="125" spans="1:12" x14ac:dyDescent="0.3">
      <c r="A125" s="139" t="s">
        <v>707</v>
      </c>
      <c r="B125" s="17" t="s">
        <v>708</v>
      </c>
      <c r="C125" s="140">
        <v>0</v>
      </c>
      <c r="D125" s="140">
        <v>0</v>
      </c>
      <c r="E125" s="140">
        <v>-300.10000000000002</v>
      </c>
      <c r="F125" s="140">
        <v>0</v>
      </c>
      <c r="G125" s="140">
        <v>-59.43</v>
      </c>
      <c r="H125" s="140">
        <v>0</v>
      </c>
      <c r="I125" s="140">
        <v>-359.53000000000003</v>
      </c>
      <c r="J125" s="140">
        <v>0</v>
      </c>
      <c r="K125" s="140">
        <v>-359.53000000000003</v>
      </c>
      <c r="L125" s="140">
        <v>0</v>
      </c>
    </row>
    <row r="126" spans="1:12" x14ac:dyDescent="0.3">
      <c r="A126" s="139" t="s">
        <v>709</v>
      </c>
      <c r="B126" s="17" t="s">
        <v>710</v>
      </c>
      <c r="C126" s="140">
        <v>0</v>
      </c>
      <c r="D126" s="140">
        <v>0</v>
      </c>
      <c r="E126" s="140">
        <v>-69.960000000000008</v>
      </c>
      <c r="F126" s="140">
        <v>0</v>
      </c>
      <c r="G126" s="140">
        <v>-11.05</v>
      </c>
      <c r="H126" s="140">
        <v>0</v>
      </c>
      <c r="I126" s="140">
        <v>-81.010000000000005</v>
      </c>
      <c r="J126" s="140">
        <v>0</v>
      </c>
      <c r="K126" s="140">
        <v>-81.010000000000005</v>
      </c>
      <c r="L126" s="140">
        <v>0</v>
      </c>
    </row>
    <row r="127" spans="1:12" x14ac:dyDescent="0.3">
      <c r="A127" s="139" t="s">
        <v>711</v>
      </c>
      <c r="B127" s="17" t="s">
        <v>712</v>
      </c>
      <c r="C127" s="140">
        <v>0</v>
      </c>
      <c r="D127" s="140">
        <v>0</v>
      </c>
      <c r="E127" s="140">
        <v>-854.87</v>
      </c>
      <c r="F127" s="140">
        <v>0</v>
      </c>
      <c r="G127" s="140">
        <v>-92.86</v>
      </c>
      <c r="H127" s="140">
        <v>0</v>
      </c>
      <c r="I127" s="140">
        <v>-947.73</v>
      </c>
      <c r="J127" s="140">
        <v>0</v>
      </c>
      <c r="K127" s="140">
        <v>-947.73</v>
      </c>
      <c r="L127" s="140">
        <v>0</v>
      </c>
    </row>
    <row r="128" spans="1:12" x14ac:dyDescent="0.3">
      <c r="A128" s="139" t="s">
        <v>713</v>
      </c>
      <c r="B128" s="17" t="s">
        <v>714</v>
      </c>
      <c r="C128" s="140">
        <v>0</v>
      </c>
      <c r="D128" s="140">
        <v>0</v>
      </c>
      <c r="E128" s="140">
        <v>-168.9</v>
      </c>
      <c r="F128" s="140">
        <v>0</v>
      </c>
      <c r="G128" s="140">
        <v>-37.24</v>
      </c>
      <c r="H128" s="140">
        <v>0</v>
      </c>
      <c r="I128" s="140">
        <v>-206.14000000000001</v>
      </c>
      <c r="J128" s="140">
        <v>0</v>
      </c>
      <c r="K128" s="140">
        <v>-206.14000000000001</v>
      </c>
      <c r="L128" s="140">
        <v>0</v>
      </c>
    </row>
    <row r="129" spans="1:12" x14ac:dyDescent="0.3">
      <c r="A129" s="139" t="s">
        <v>719</v>
      </c>
      <c r="B129" s="17" t="s">
        <v>720</v>
      </c>
      <c r="C129" s="140">
        <v>0</v>
      </c>
      <c r="D129" s="140">
        <v>0</v>
      </c>
      <c r="E129" s="140">
        <v>-86.72</v>
      </c>
      <c r="F129" s="140">
        <v>0</v>
      </c>
      <c r="G129" s="140">
        <v>-13.32</v>
      </c>
      <c r="H129" s="140">
        <v>0</v>
      </c>
      <c r="I129" s="140">
        <v>-100.04</v>
      </c>
      <c r="J129" s="140">
        <v>0</v>
      </c>
      <c r="K129" s="140">
        <v>-100.04</v>
      </c>
      <c r="L129" s="140">
        <v>0</v>
      </c>
    </row>
    <row r="130" spans="1:12" x14ac:dyDescent="0.3">
      <c r="A130" s="139" t="s">
        <v>721</v>
      </c>
      <c r="B130" s="17" t="s">
        <v>722</v>
      </c>
      <c r="C130" s="140">
        <v>0</v>
      </c>
      <c r="D130" s="140">
        <v>0</v>
      </c>
      <c r="E130" s="140">
        <v>-1176.1100000000001</v>
      </c>
      <c r="F130" s="140">
        <v>0</v>
      </c>
      <c r="G130" s="140">
        <v>-207.1</v>
      </c>
      <c r="H130" s="140">
        <v>0</v>
      </c>
      <c r="I130" s="140">
        <v>-1383.21</v>
      </c>
      <c r="J130" s="140">
        <v>0</v>
      </c>
      <c r="K130" s="140">
        <v>-1383.21</v>
      </c>
      <c r="L130" s="140">
        <v>0</v>
      </c>
    </row>
    <row r="131" spans="1:12" x14ac:dyDescent="0.3">
      <c r="A131" s="139" t="s">
        <v>723</v>
      </c>
      <c r="B131" s="17" t="s">
        <v>724</v>
      </c>
      <c r="C131" s="140">
        <v>0</v>
      </c>
      <c r="D131" s="140">
        <v>0</v>
      </c>
      <c r="E131" s="140">
        <v>-5005.88</v>
      </c>
      <c r="F131" s="140">
        <v>0</v>
      </c>
      <c r="G131" s="140">
        <v>422.21000000000004</v>
      </c>
      <c r="H131" s="140">
        <v>0</v>
      </c>
      <c r="I131" s="140">
        <v>-4583.67</v>
      </c>
      <c r="J131" s="140">
        <v>0</v>
      </c>
      <c r="K131" s="140">
        <v>-4583.67</v>
      </c>
      <c r="L131" s="140">
        <v>0</v>
      </c>
    </row>
    <row r="132" spans="1:12" x14ac:dyDescent="0.3">
      <c r="A132" s="139" t="s">
        <v>725</v>
      </c>
      <c r="B132" s="17" t="s">
        <v>726</v>
      </c>
      <c r="C132" s="140">
        <v>0</v>
      </c>
      <c r="D132" s="140">
        <v>0</v>
      </c>
      <c r="E132" s="140">
        <v>-2517.02</v>
      </c>
      <c r="F132" s="140">
        <v>0</v>
      </c>
      <c r="G132" s="140">
        <v>-8.48</v>
      </c>
      <c r="H132" s="140">
        <v>0</v>
      </c>
      <c r="I132" s="140">
        <v>-2525.5</v>
      </c>
      <c r="J132" s="140">
        <v>0</v>
      </c>
      <c r="K132" s="140">
        <v>-2525.5</v>
      </c>
      <c r="L132" s="140">
        <v>0</v>
      </c>
    </row>
    <row r="133" spans="1:12" x14ac:dyDescent="0.3">
      <c r="A133" s="139" t="s">
        <v>727</v>
      </c>
      <c r="B133" s="17" t="s">
        <v>728</v>
      </c>
      <c r="C133" s="140">
        <v>0</v>
      </c>
      <c r="D133" s="140">
        <v>0</v>
      </c>
      <c r="E133" s="140">
        <v>-573.49</v>
      </c>
      <c r="F133" s="140">
        <v>0</v>
      </c>
      <c r="G133" s="140">
        <v>-24.13</v>
      </c>
      <c r="H133" s="140">
        <v>0</v>
      </c>
      <c r="I133" s="140">
        <v>-597.62</v>
      </c>
      <c r="J133" s="140">
        <v>0</v>
      </c>
      <c r="K133" s="140">
        <v>-597.62</v>
      </c>
      <c r="L133" s="140">
        <v>0</v>
      </c>
    </row>
    <row r="134" spans="1:12" x14ac:dyDescent="0.3">
      <c r="A134" s="139" t="s">
        <v>729</v>
      </c>
      <c r="B134" s="17" t="s">
        <v>730</v>
      </c>
      <c r="C134" s="140">
        <v>0</v>
      </c>
      <c r="D134" s="140">
        <v>0</v>
      </c>
      <c r="E134" s="140">
        <v>-8882.4699999999993</v>
      </c>
      <c r="F134" s="140">
        <v>0</v>
      </c>
      <c r="G134" s="140">
        <v>42.6</v>
      </c>
      <c r="H134" s="140">
        <v>0</v>
      </c>
      <c r="I134" s="140">
        <v>-8839.8700000000008</v>
      </c>
      <c r="J134" s="140">
        <v>0</v>
      </c>
      <c r="K134" s="140">
        <v>-8839.8700000000008</v>
      </c>
      <c r="L134" s="140">
        <v>0</v>
      </c>
    </row>
    <row r="135" spans="1:12" x14ac:dyDescent="0.3">
      <c r="A135" s="139" t="s">
        <v>731</v>
      </c>
      <c r="B135" s="17" t="s">
        <v>732</v>
      </c>
      <c r="C135" s="140">
        <v>0</v>
      </c>
      <c r="D135" s="140">
        <v>0</v>
      </c>
      <c r="E135" s="140">
        <v>-105.63</v>
      </c>
      <c r="F135" s="140">
        <v>0</v>
      </c>
      <c r="G135" s="140">
        <v>0</v>
      </c>
      <c r="H135" s="140">
        <v>0</v>
      </c>
      <c r="I135" s="140">
        <v>-105.63</v>
      </c>
      <c r="J135" s="140">
        <v>0</v>
      </c>
      <c r="K135" s="140">
        <v>-105.63</v>
      </c>
      <c r="L135" s="140">
        <v>0</v>
      </c>
    </row>
    <row r="136" spans="1:12" x14ac:dyDescent="0.3">
      <c r="A136" s="139" t="s">
        <v>733</v>
      </c>
      <c r="B136" s="17" t="s">
        <v>734</v>
      </c>
      <c r="C136" s="140">
        <v>0</v>
      </c>
      <c r="D136" s="140">
        <v>0</v>
      </c>
      <c r="E136" s="140">
        <v>-157.59</v>
      </c>
      <c r="F136" s="140">
        <v>0</v>
      </c>
      <c r="G136" s="140">
        <v>-6.37</v>
      </c>
      <c r="H136" s="140">
        <v>0</v>
      </c>
      <c r="I136" s="140">
        <v>-163.96</v>
      </c>
      <c r="J136" s="140">
        <v>0</v>
      </c>
      <c r="K136" s="140">
        <v>-163.96</v>
      </c>
      <c r="L136" s="140">
        <v>0</v>
      </c>
    </row>
    <row r="137" spans="1:12" x14ac:dyDescent="0.3">
      <c r="A137" s="139" t="s">
        <v>735</v>
      </c>
      <c r="B137" s="17" t="s">
        <v>736</v>
      </c>
      <c r="C137" s="140">
        <v>0</v>
      </c>
      <c r="D137" s="140">
        <v>0</v>
      </c>
      <c r="E137" s="140">
        <v>17.420000000000002</v>
      </c>
      <c r="F137" s="140">
        <v>0</v>
      </c>
      <c r="G137" s="140">
        <v>0</v>
      </c>
      <c r="H137" s="140">
        <v>0</v>
      </c>
      <c r="I137" s="140">
        <v>17.420000000000002</v>
      </c>
      <c r="J137" s="140">
        <v>0</v>
      </c>
      <c r="K137" s="140">
        <v>17.420000000000002</v>
      </c>
      <c r="L137" s="140">
        <v>0</v>
      </c>
    </row>
    <row r="138" spans="1:12" x14ac:dyDescent="0.3">
      <c r="A138" s="139" t="s">
        <v>737</v>
      </c>
      <c r="B138" s="17" t="s">
        <v>738</v>
      </c>
      <c r="C138" s="140">
        <v>0</v>
      </c>
      <c r="D138" s="140">
        <v>0</v>
      </c>
      <c r="E138" s="140">
        <v>0</v>
      </c>
      <c r="F138" s="140">
        <v>0</v>
      </c>
      <c r="G138" s="140">
        <v>2.72</v>
      </c>
      <c r="H138" s="140">
        <v>0</v>
      </c>
      <c r="I138" s="140">
        <v>2.72</v>
      </c>
      <c r="J138" s="140">
        <v>0</v>
      </c>
      <c r="K138" s="140">
        <v>2.72</v>
      </c>
      <c r="L138" s="140">
        <v>0</v>
      </c>
    </row>
    <row r="139" spans="1:12" x14ac:dyDescent="0.3">
      <c r="A139" s="139" t="s">
        <v>739</v>
      </c>
      <c r="B139" s="17" t="s">
        <v>740</v>
      </c>
      <c r="C139" s="140">
        <v>0</v>
      </c>
      <c r="D139" s="140">
        <v>0</v>
      </c>
      <c r="E139" s="140">
        <v>265.64</v>
      </c>
      <c r="F139" s="140">
        <v>0</v>
      </c>
      <c r="G139" s="140">
        <v>131.59</v>
      </c>
      <c r="H139" s="140">
        <v>146.26</v>
      </c>
      <c r="I139" s="140">
        <v>1509.42</v>
      </c>
      <c r="J139" s="140">
        <v>1258.45</v>
      </c>
      <c r="K139" s="140">
        <v>250.97</v>
      </c>
      <c r="L139" s="140">
        <v>0</v>
      </c>
    </row>
    <row r="140" spans="1:12" x14ac:dyDescent="0.3">
      <c r="A140" s="139" t="s">
        <v>741</v>
      </c>
      <c r="B140" s="17" t="s">
        <v>742</v>
      </c>
      <c r="C140" s="140">
        <v>0</v>
      </c>
      <c r="D140" s="140">
        <v>0</v>
      </c>
      <c r="E140" s="140">
        <v>-78.260000000000005</v>
      </c>
      <c r="F140" s="140">
        <v>0</v>
      </c>
      <c r="G140" s="140">
        <v>21.35</v>
      </c>
      <c r="H140" s="140">
        <v>0</v>
      </c>
      <c r="I140" s="140">
        <v>-56.910000000000004</v>
      </c>
      <c r="J140" s="140">
        <v>0</v>
      </c>
      <c r="K140" s="140">
        <v>-56.910000000000004</v>
      </c>
      <c r="L140" s="140">
        <v>0</v>
      </c>
    </row>
    <row r="141" spans="1:12" x14ac:dyDescent="0.3">
      <c r="A141" s="139" t="s">
        <v>743</v>
      </c>
      <c r="B141" s="17" t="s">
        <v>744</v>
      </c>
      <c r="C141" s="140">
        <v>0</v>
      </c>
      <c r="D141" s="140">
        <v>0</v>
      </c>
      <c r="E141" s="140">
        <v>-533.19000000000005</v>
      </c>
      <c r="F141" s="140">
        <v>0</v>
      </c>
      <c r="G141" s="140">
        <v>-40.6</v>
      </c>
      <c r="H141" s="140">
        <v>0</v>
      </c>
      <c r="I141" s="140">
        <v>-573.79</v>
      </c>
      <c r="J141" s="140">
        <v>0</v>
      </c>
      <c r="K141" s="140">
        <v>-573.79</v>
      </c>
      <c r="L141" s="140">
        <v>0</v>
      </c>
    </row>
    <row r="142" spans="1:12" x14ac:dyDescent="0.3">
      <c r="A142" s="139" t="s">
        <v>745</v>
      </c>
      <c r="B142" s="17" t="s">
        <v>746</v>
      </c>
      <c r="C142" s="140">
        <v>0</v>
      </c>
      <c r="D142" s="140">
        <v>0</v>
      </c>
      <c r="E142" s="140">
        <v>-2.97</v>
      </c>
      <c r="F142" s="140">
        <v>0</v>
      </c>
      <c r="G142" s="140">
        <v>0</v>
      </c>
      <c r="H142" s="140">
        <v>0</v>
      </c>
      <c r="I142" s="140">
        <v>-2.97</v>
      </c>
      <c r="J142" s="140">
        <v>0</v>
      </c>
      <c r="K142" s="140">
        <v>-2.97</v>
      </c>
      <c r="L142" s="140">
        <v>0</v>
      </c>
    </row>
    <row r="143" spans="1:12" x14ac:dyDescent="0.3">
      <c r="A143" s="139" t="s">
        <v>747</v>
      </c>
      <c r="B143" s="17" t="s">
        <v>748</v>
      </c>
      <c r="C143" s="140">
        <v>0</v>
      </c>
      <c r="D143" s="140">
        <v>0</v>
      </c>
      <c r="E143" s="140">
        <v>67.86</v>
      </c>
      <c r="F143" s="140">
        <v>0</v>
      </c>
      <c r="G143" s="140">
        <v>-59.480000000000004</v>
      </c>
      <c r="H143" s="140">
        <v>0</v>
      </c>
      <c r="I143" s="140">
        <v>8.3800000000000008</v>
      </c>
      <c r="J143" s="140">
        <v>0</v>
      </c>
      <c r="K143" s="140">
        <v>8.3800000000000008</v>
      </c>
      <c r="L143" s="140">
        <v>0</v>
      </c>
    </row>
    <row r="144" spans="1:12" x14ac:dyDescent="0.3">
      <c r="A144" s="139" t="s">
        <v>749</v>
      </c>
      <c r="B144" s="17" t="s">
        <v>750</v>
      </c>
      <c r="C144" s="140">
        <v>0</v>
      </c>
      <c r="D144" s="140">
        <v>0</v>
      </c>
      <c r="E144" s="140">
        <v>331.45</v>
      </c>
      <c r="F144" s="140">
        <v>0</v>
      </c>
      <c r="G144" s="140">
        <v>-42.36</v>
      </c>
      <c r="H144" s="140">
        <v>0</v>
      </c>
      <c r="I144" s="140">
        <v>289.09000000000003</v>
      </c>
      <c r="J144" s="140">
        <v>0</v>
      </c>
      <c r="K144" s="140">
        <v>289.09000000000003</v>
      </c>
      <c r="L144" s="140">
        <v>0</v>
      </c>
    </row>
    <row r="145" spans="1:12" x14ac:dyDescent="0.3">
      <c r="A145" s="139" t="s">
        <v>751</v>
      </c>
      <c r="B145" s="17" t="s">
        <v>752</v>
      </c>
      <c r="C145" s="140">
        <v>0</v>
      </c>
      <c r="D145" s="140">
        <v>0</v>
      </c>
      <c r="E145" s="140">
        <v>-186.06</v>
      </c>
      <c r="F145" s="140">
        <v>0</v>
      </c>
      <c r="G145" s="140">
        <v>245.83</v>
      </c>
      <c r="H145" s="140">
        <v>0</v>
      </c>
      <c r="I145" s="140">
        <v>59.77</v>
      </c>
      <c r="J145" s="140">
        <v>0</v>
      </c>
      <c r="K145" s="140">
        <v>59.77</v>
      </c>
      <c r="L145" s="140">
        <v>0</v>
      </c>
    </row>
    <row r="146" spans="1:12" x14ac:dyDescent="0.3">
      <c r="A146" s="139" t="s">
        <v>753</v>
      </c>
      <c r="B146" s="17" t="s">
        <v>754</v>
      </c>
      <c r="C146" s="140">
        <v>0</v>
      </c>
      <c r="D146" s="140">
        <v>0</v>
      </c>
      <c r="E146" s="140">
        <v>0</v>
      </c>
      <c r="F146" s="140">
        <v>0</v>
      </c>
      <c r="G146" s="140">
        <v>0</v>
      </c>
      <c r="H146" s="140">
        <v>0</v>
      </c>
      <c r="I146" s="140">
        <v>0</v>
      </c>
      <c r="J146" s="140">
        <v>0</v>
      </c>
      <c r="K146" s="140">
        <v>0</v>
      </c>
      <c r="L146" s="140">
        <v>0</v>
      </c>
    </row>
    <row r="147" spans="1:12" x14ac:dyDescent="0.3">
      <c r="A147" s="139" t="s">
        <v>755</v>
      </c>
      <c r="B147" s="17" t="s">
        <v>756</v>
      </c>
      <c r="C147" s="140">
        <v>0</v>
      </c>
      <c r="D147" s="140">
        <v>0</v>
      </c>
      <c r="E147" s="140">
        <v>45.9</v>
      </c>
      <c r="F147" s="140">
        <v>0</v>
      </c>
      <c r="G147" s="140">
        <v>20.100000000000001</v>
      </c>
      <c r="H147" s="140">
        <v>0</v>
      </c>
      <c r="I147" s="140">
        <v>66</v>
      </c>
      <c r="J147" s="140">
        <v>0</v>
      </c>
      <c r="K147" s="140">
        <v>66</v>
      </c>
      <c r="L147" s="140">
        <v>0</v>
      </c>
    </row>
    <row r="148" spans="1:12" x14ac:dyDescent="0.3">
      <c r="A148" s="139" t="s">
        <v>757</v>
      </c>
      <c r="B148" s="17" t="s">
        <v>758</v>
      </c>
      <c r="C148" s="140">
        <v>0</v>
      </c>
      <c r="D148" s="140">
        <v>0</v>
      </c>
      <c r="E148" s="140">
        <v>231.6</v>
      </c>
      <c r="F148" s="140">
        <v>0</v>
      </c>
      <c r="G148" s="140">
        <v>0</v>
      </c>
      <c r="H148" s="140">
        <v>0</v>
      </c>
      <c r="I148" s="140">
        <v>231.6</v>
      </c>
      <c r="J148" s="140">
        <v>0</v>
      </c>
      <c r="K148" s="140">
        <v>231.6</v>
      </c>
      <c r="L148" s="140">
        <v>0</v>
      </c>
    </row>
    <row r="149" spans="1:12" x14ac:dyDescent="0.3">
      <c r="A149" s="139" t="s">
        <v>759</v>
      </c>
      <c r="B149" s="17" t="s">
        <v>760</v>
      </c>
      <c r="C149" s="140">
        <v>0</v>
      </c>
      <c r="D149" s="140">
        <v>0</v>
      </c>
      <c r="E149" s="140">
        <v>0</v>
      </c>
      <c r="F149" s="140">
        <v>0</v>
      </c>
      <c r="G149" s="140">
        <v>1150</v>
      </c>
      <c r="H149" s="140">
        <v>0</v>
      </c>
      <c r="I149" s="140">
        <v>1150</v>
      </c>
      <c r="J149" s="140">
        <v>0</v>
      </c>
      <c r="K149" s="140">
        <v>1150</v>
      </c>
      <c r="L149" s="140">
        <v>0</v>
      </c>
    </row>
    <row r="150" spans="1:12" x14ac:dyDescent="0.3">
      <c r="A150" s="139" t="s">
        <v>761</v>
      </c>
      <c r="B150" s="17" t="s">
        <v>762</v>
      </c>
      <c r="C150" s="140">
        <v>0</v>
      </c>
      <c r="D150" s="140">
        <v>0</v>
      </c>
      <c r="E150" s="140">
        <v>252</v>
      </c>
      <c r="F150" s="140">
        <v>0</v>
      </c>
      <c r="G150" s="140">
        <v>0</v>
      </c>
      <c r="H150" s="140">
        <v>0</v>
      </c>
      <c r="I150" s="140">
        <v>252</v>
      </c>
      <c r="J150" s="140">
        <v>0</v>
      </c>
      <c r="K150" s="140">
        <v>252</v>
      </c>
      <c r="L150" s="140">
        <v>0</v>
      </c>
    </row>
    <row r="151" spans="1:12" x14ac:dyDescent="0.3">
      <c r="A151" s="139" t="s">
        <v>763</v>
      </c>
      <c r="B151" s="17" t="s">
        <v>764</v>
      </c>
      <c r="C151" s="140">
        <v>0</v>
      </c>
      <c r="D151" s="140">
        <v>0</v>
      </c>
      <c r="E151" s="140">
        <v>0</v>
      </c>
      <c r="F151" s="140">
        <v>0</v>
      </c>
      <c r="G151" s="140">
        <v>0</v>
      </c>
      <c r="H151" s="140">
        <v>0</v>
      </c>
      <c r="I151" s="140">
        <v>0</v>
      </c>
      <c r="J151" s="140">
        <v>0</v>
      </c>
      <c r="K151" s="140">
        <v>0</v>
      </c>
      <c r="L151" s="140">
        <v>0</v>
      </c>
    </row>
    <row r="152" spans="1:12" x14ac:dyDescent="0.3">
      <c r="A152" s="139" t="s">
        <v>765</v>
      </c>
      <c r="B152" s="17" t="s">
        <v>766</v>
      </c>
      <c r="C152" s="140">
        <v>0</v>
      </c>
      <c r="D152" s="140">
        <v>0</v>
      </c>
      <c r="E152" s="140">
        <v>85.27</v>
      </c>
      <c r="F152" s="140">
        <v>0</v>
      </c>
      <c r="G152" s="140">
        <v>8.0299999999999994</v>
      </c>
      <c r="H152" s="140">
        <v>0</v>
      </c>
      <c r="I152" s="140">
        <v>93.3</v>
      </c>
      <c r="J152" s="140">
        <v>0</v>
      </c>
      <c r="K152" s="140">
        <v>93.3</v>
      </c>
      <c r="L152" s="140">
        <v>0</v>
      </c>
    </row>
    <row r="153" spans="1:12" x14ac:dyDescent="0.3">
      <c r="A153" s="139" t="s">
        <v>767</v>
      </c>
      <c r="B153" s="17" t="s">
        <v>768</v>
      </c>
      <c r="C153" s="140">
        <v>0</v>
      </c>
      <c r="D153" s="140">
        <v>0</v>
      </c>
      <c r="E153" s="140">
        <v>539</v>
      </c>
      <c r="F153" s="140">
        <v>0</v>
      </c>
      <c r="G153" s="140">
        <v>49</v>
      </c>
      <c r="H153" s="140">
        <v>0</v>
      </c>
      <c r="I153" s="140">
        <v>588</v>
      </c>
      <c r="J153" s="140">
        <v>0</v>
      </c>
      <c r="K153" s="140">
        <v>588</v>
      </c>
      <c r="L153" s="140">
        <v>0</v>
      </c>
    </row>
    <row r="154" spans="1:12" x14ac:dyDescent="0.3">
      <c r="A154" s="139" t="s">
        <v>769</v>
      </c>
      <c r="B154" s="17" t="s">
        <v>770</v>
      </c>
      <c r="C154" s="140">
        <v>0</v>
      </c>
      <c r="D154" s="140">
        <v>0</v>
      </c>
      <c r="E154" s="140">
        <v>88.2</v>
      </c>
      <c r="F154" s="140">
        <v>0</v>
      </c>
      <c r="G154" s="140">
        <v>9.25</v>
      </c>
      <c r="H154" s="140">
        <v>0</v>
      </c>
      <c r="I154" s="140">
        <v>97.45</v>
      </c>
      <c r="J154" s="140">
        <v>0</v>
      </c>
      <c r="K154" s="140">
        <v>97.45</v>
      </c>
      <c r="L154" s="140">
        <v>0</v>
      </c>
    </row>
    <row r="155" spans="1:12" x14ac:dyDescent="0.3">
      <c r="A155" s="139" t="s">
        <v>771</v>
      </c>
      <c r="B155" s="17" t="s">
        <v>772</v>
      </c>
      <c r="C155" s="140">
        <v>0</v>
      </c>
      <c r="D155" s="140">
        <v>0</v>
      </c>
      <c r="E155" s="140">
        <v>107.33</v>
      </c>
      <c r="F155" s="140">
        <v>0</v>
      </c>
      <c r="G155" s="140">
        <v>12.24</v>
      </c>
      <c r="H155" s="140">
        <v>0</v>
      </c>
      <c r="I155" s="140">
        <v>119.57000000000001</v>
      </c>
      <c r="J155" s="140">
        <v>0</v>
      </c>
      <c r="K155" s="140">
        <v>119.57000000000001</v>
      </c>
      <c r="L155" s="140">
        <v>0</v>
      </c>
    </row>
    <row r="156" spans="1:12" x14ac:dyDescent="0.3">
      <c r="A156" s="139" t="s">
        <v>773</v>
      </c>
      <c r="B156" s="17" t="s">
        <v>774</v>
      </c>
      <c r="C156" s="140">
        <v>0</v>
      </c>
      <c r="D156" s="140">
        <v>0</v>
      </c>
      <c r="E156" s="140">
        <v>104</v>
      </c>
      <c r="F156" s="140">
        <v>0</v>
      </c>
      <c r="G156" s="140">
        <v>40</v>
      </c>
      <c r="H156" s="140">
        <v>0</v>
      </c>
      <c r="I156" s="140">
        <v>144</v>
      </c>
      <c r="J156" s="140">
        <v>0</v>
      </c>
      <c r="K156" s="140">
        <v>144</v>
      </c>
      <c r="L156" s="140">
        <v>0</v>
      </c>
    </row>
    <row r="157" spans="1:12" x14ac:dyDescent="0.3">
      <c r="A157" s="139" t="s">
        <v>775</v>
      </c>
      <c r="B157" s="17" t="s">
        <v>776</v>
      </c>
      <c r="C157" s="140">
        <v>0</v>
      </c>
      <c r="D157" s="140">
        <v>0</v>
      </c>
      <c r="E157" s="140">
        <v>0</v>
      </c>
      <c r="F157" s="140">
        <v>0</v>
      </c>
      <c r="G157" s="140">
        <v>5181.8</v>
      </c>
      <c r="H157" s="140">
        <v>0</v>
      </c>
      <c r="I157" s="140">
        <v>5181.8</v>
      </c>
      <c r="J157" s="140">
        <v>0</v>
      </c>
      <c r="K157" s="140">
        <v>5181.8</v>
      </c>
      <c r="L157" s="140">
        <v>0</v>
      </c>
    </row>
    <row r="158" spans="1:12" x14ac:dyDescent="0.3">
      <c r="A158" s="139" t="s">
        <v>969</v>
      </c>
      <c r="B158" s="17" t="s">
        <v>970</v>
      </c>
      <c r="C158" s="140">
        <v>0</v>
      </c>
      <c r="D158" s="140">
        <v>0</v>
      </c>
      <c r="E158" s="140">
        <v>155</v>
      </c>
      <c r="F158" s="140">
        <v>0</v>
      </c>
      <c r="G158" s="140">
        <v>0</v>
      </c>
      <c r="H158" s="140">
        <v>0</v>
      </c>
      <c r="I158" s="140">
        <v>155</v>
      </c>
      <c r="J158" s="140">
        <v>0</v>
      </c>
      <c r="K158" s="140">
        <v>155</v>
      </c>
      <c r="L158" s="140">
        <v>0</v>
      </c>
    </row>
    <row r="159" spans="1:12" x14ac:dyDescent="0.3">
      <c r="A159" s="139" t="s">
        <v>971</v>
      </c>
      <c r="B159" s="17" t="s">
        <v>972</v>
      </c>
      <c r="C159" s="140">
        <v>0</v>
      </c>
      <c r="D159" s="140">
        <v>0</v>
      </c>
      <c r="E159" s="140">
        <v>1936</v>
      </c>
      <c r="F159" s="140">
        <v>0</v>
      </c>
      <c r="G159" s="140">
        <v>176</v>
      </c>
      <c r="H159" s="140">
        <v>0</v>
      </c>
      <c r="I159" s="140">
        <v>2112</v>
      </c>
      <c r="J159" s="140">
        <v>0</v>
      </c>
      <c r="K159" s="140">
        <v>2112</v>
      </c>
      <c r="L159" s="140">
        <v>0</v>
      </c>
    </row>
    <row r="160" spans="1:12" x14ac:dyDescent="0.3">
      <c r="A160" s="139" t="s">
        <v>973</v>
      </c>
      <c r="B160" s="17" t="s">
        <v>974</v>
      </c>
      <c r="C160" s="140">
        <v>0</v>
      </c>
      <c r="D160" s="140">
        <v>0</v>
      </c>
      <c r="E160" s="140">
        <v>-8.7900000000000009</v>
      </c>
      <c r="F160" s="140">
        <v>0</v>
      </c>
      <c r="G160" s="140">
        <v>-8.620000000000001</v>
      </c>
      <c r="H160" s="140">
        <v>0</v>
      </c>
      <c r="I160" s="140">
        <v>-17.41</v>
      </c>
      <c r="J160" s="140">
        <v>0</v>
      </c>
      <c r="K160" s="140">
        <v>-17.41</v>
      </c>
      <c r="L160" s="140">
        <v>0</v>
      </c>
    </row>
    <row r="161" spans="1:12" x14ac:dyDescent="0.3">
      <c r="A161" s="139" t="s">
        <v>779</v>
      </c>
      <c r="B161" s="17" t="s">
        <v>780</v>
      </c>
      <c r="C161" s="140">
        <v>0</v>
      </c>
      <c r="D161" s="140">
        <v>0</v>
      </c>
      <c r="E161" s="140">
        <v>7</v>
      </c>
      <c r="F161" s="140">
        <v>0</v>
      </c>
      <c r="G161" s="140">
        <v>0</v>
      </c>
      <c r="H161" s="140">
        <v>0</v>
      </c>
      <c r="I161" s="140">
        <v>7</v>
      </c>
      <c r="J161" s="140">
        <v>0</v>
      </c>
      <c r="K161" s="140">
        <v>7</v>
      </c>
      <c r="L161" s="140">
        <v>0</v>
      </c>
    </row>
    <row r="162" spans="1:12" x14ac:dyDescent="0.3">
      <c r="A162" s="139" t="s">
        <v>781</v>
      </c>
      <c r="B162" s="17" t="s">
        <v>782</v>
      </c>
      <c r="C162" s="140">
        <v>0</v>
      </c>
      <c r="D162" s="140">
        <v>0</v>
      </c>
      <c r="E162" s="140">
        <v>9037.9500000000007</v>
      </c>
      <c r="F162" s="140">
        <v>0</v>
      </c>
      <c r="G162" s="140">
        <v>830.07</v>
      </c>
      <c r="H162" s="140">
        <v>0</v>
      </c>
      <c r="I162" s="140">
        <v>9868.02</v>
      </c>
      <c r="J162" s="140">
        <v>0</v>
      </c>
      <c r="K162" s="140">
        <v>9868.02</v>
      </c>
      <c r="L162" s="140">
        <v>0</v>
      </c>
    </row>
    <row r="163" spans="1:12" x14ac:dyDescent="0.3">
      <c r="A163" s="139" t="s">
        <v>783</v>
      </c>
      <c r="B163" s="17" t="s">
        <v>784</v>
      </c>
      <c r="C163" s="140">
        <v>0</v>
      </c>
      <c r="D163" s="140">
        <v>0</v>
      </c>
      <c r="E163" s="140">
        <v>0</v>
      </c>
      <c r="F163" s="140">
        <v>0</v>
      </c>
      <c r="G163" s="140">
        <v>33.43</v>
      </c>
      <c r="H163" s="140">
        <v>0</v>
      </c>
      <c r="I163" s="140">
        <v>33.43</v>
      </c>
      <c r="J163" s="140">
        <v>0</v>
      </c>
      <c r="K163" s="140">
        <v>33.43</v>
      </c>
      <c r="L163" s="140">
        <v>0</v>
      </c>
    </row>
    <row r="164" spans="1:12" x14ac:dyDescent="0.3">
      <c r="A164" s="139" t="s">
        <v>785</v>
      </c>
      <c r="B164" s="17" t="s">
        <v>786</v>
      </c>
      <c r="C164" s="140">
        <v>0</v>
      </c>
      <c r="D164" s="140">
        <v>0</v>
      </c>
      <c r="E164" s="140">
        <v>59.97</v>
      </c>
      <c r="F164" s="140">
        <v>0</v>
      </c>
      <c r="G164" s="140">
        <v>6.12</v>
      </c>
      <c r="H164" s="140">
        <v>0</v>
      </c>
      <c r="I164" s="140">
        <v>66.09</v>
      </c>
      <c r="J164" s="140">
        <v>0</v>
      </c>
      <c r="K164" s="140">
        <v>66.09</v>
      </c>
      <c r="L164" s="140">
        <v>0</v>
      </c>
    </row>
    <row r="165" spans="1:12" x14ac:dyDescent="0.3">
      <c r="A165" s="139" t="s">
        <v>787</v>
      </c>
      <c r="B165" s="17" t="s">
        <v>788</v>
      </c>
      <c r="C165" s="140">
        <v>0</v>
      </c>
      <c r="D165" s="140">
        <v>0</v>
      </c>
      <c r="E165" s="140">
        <v>341.5</v>
      </c>
      <c r="F165" s="140">
        <v>0</v>
      </c>
      <c r="G165" s="140">
        <v>0</v>
      </c>
      <c r="H165" s="140">
        <v>0</v>
      </c>
      <c r="I165" s="140">
        <v>341.5</v>
      </c>
      <c r="J165" s="140">
        <v>0</v>
      </c>
      <c r="K165" s="140">
        <v>341.5</v>
      </c>
      <c r="L165" s="140">
        <v>0</v>
      </c>
    </row>
    <row r="166" spans="1:12" x14ac:dyDescent="0.3">
      <c r="A166" s="139" t="s">
        <v>789</v>
      </c>
      <c r="B166" s="17" t="s">
        <v>790</v>
      </c>
      <c r="C166" s="140">
        <v>0</v>
      </c>
      <c r="D166" s="140">
        <v>0</v>
      </c>
      <c r="E166" s="140">
        <v>586</v>
      </c>
      <c r="F166" s="140">
        <v>0</v>
      </c>
      <c r="G166" s="140">
        <v>0</v>
      </c>
      <c r="H166" s="140">
        <v>0</v>
      </c>
      <c r="I166" s="140">
        <v>586</v>
      </c>
      <c r="J166" s="140">
        <v>0</v>
      </c>
      <c r="K166" s="140">
        <v>586</v>
      </c>
      <c r="L166" s="140">
        <v>0</v>
      </c>
    </row>
    <row r="167" spans="1:12" x14ac:dyDescent="0.3">
      <c r="A167" s="139" t="s">
        <v>791</v>
      </c>
      <c r="B167" s="17" t="s">
        <v>792</v>
      </c>
      <c r="C167" s="140">
        <v>0</v>
      </c>
      <c r="D167" s="140">
        <v>0</v>
      </c>
      <c r="E167" s="140">
        <v>-61.9</v>
      </c>
      <c r="F167" s="140">
        <v>0</v>
      </c>
      <c r="G167" s="140">
        <v>21.990000000000002</v>
      </c>
      <c r="H167" s="140">
        <v>0</v>
      </c>
      <c r="I167" s="140">
        <v>-39.910000000000004</v>
      </c>
      <c r="J167" s="140">
        <v>0</v>
      </c>
      <c r="K167" s="140">
        <v>-39.910000000000004</v>
      </c>
      <c r="L167" s="140">
        <v>0</v>
      </c>
    </row>
    <row r="168" spans="1:12" x14ac:dyDescent="0.3">
      <c r="A168" s="139" t="s">
        <v>793</v>
      </c>
      <c r="B168" s="17" t="s">
        <v>794</v>
      </c>
      <c r="C168" s="140">
        <v>0</v>
      </c>
      <c r="D168" s="140">
        <v>0</v>
      </c>
      <c r="E168" s="140">
        <v>1640.98</v>
      </c>
      <c r="F168" s="140">
        <v>0</v>
      </c>
      <c r="G168" s="140">
        <v>-86.350000000000009</v>
      </c>
      <c r="H168" s="140">
        <v>0</v>
      </c>
      <c r="I168" s="140">
        <v>1554.63</v>
      </c>
      <c r="J168" s="140">
        <v>0</v>
      </c>
      <c r="K168" s="140">
        <v>1554.63</v>
      </c>
      <c r="L168" s="140">
        <v>0</v>
      </c>
    </row>
    <row r="169" spans="1:12" x14ac:dyDescent="0.3">
      <c r="A169" s="139" t="s">
        <v>795</v>
      </c>
      <c r="B169" s="17" t="s">
        <v>796</v>
      </c>
      <c r="C169" s="140">
        <v>0</v>
      </c>
      <c r="D169" s="140">
        <v>0</v>
      </c>
      <c r="E169" s="140">
        <v>173.01</v>
      </c>
      <c r="F169" s="140">
        <v>0</v>
      </c>
      <c r="G169" s="140">
        <v>0</v>
      </c>
      <c r="H169" s="140">
        <v>0</v>
      </c>
      <c r="I169" s="140">
        <v>173.01</v>
      </c>
      <c r="J169" s="140">
        <v>0</v>
      </c>
      <c r="K169" s="140">
        <v>173.01</v>
      </c>
      <c r="L169" s="140">
        <v>0</v>
      </c>
    </row>
    <row r="170" spans="1:12" x14ac:dyDescent="0.3">
      <c r="A170" s="139" t="s">
        <v>797</v>
      </c>
      <c r="B170" s="17" t="s">
        <v>798</v>
      </c>
      <c r="C170" s="140">
        <v>0</v>
      </c>
      <c r="D170" s="140">
        <v>0</v>
      </c>
      <c r="E170" s="140">
        <v>215.82</v>
      </c>
      <c r="F170" s="140">
        <v>0</v>
      </c>
      <c r="G170" s="140">
        <v>15.9</v>
      </c>
      <c r="H170" s="140">
        <v>0</v>
      </c>
      <c r="I170" s="140">
        <v>231.72</v>
      </c>
      <c r="J170" s="140">
        <v>0</v>
      </c>
      <c r="K170" s="140">
        <v>231.72</v>
      </c>
      <c r="L170" s="140">
        <v>0</v>
      </c>
    </row>
    <row r="171" spans="1:12" x14ac:dyDescent="0.3">
      <c r="A171" s="139" t="s">
        <v>799</v>
      </c>
      <c r="B171" s="17" t="s">
        <v>800</v>
      </c>
      <c r="C171" s="140">
        <v>0</v>
      </c>
      <c r="D171" s="140">
        <v>0</v>
      </c>
      <c r="E171" s="140">
        <v>261</v>
      </c>
      <c r="F171" s="140">
        <v>0</v>
      </c>
      <c r="G171" s="140">
        <v>115</v>
      </c>
      <c r="H171" s="140">
        <v>0</v>
      </c>
      <c r="I171" s="140">
        <v>376</v>
      </c>
      <c r="J171" s="140">
        <v>0</v>
      </c>
      <c r="K171" s="140">
        <v>376</v>
      </c>
      <c r="L171" s="140">
        <v>0</v>
      </c>
    </row>
    <row r="172" spans="1:12" x14ac:dyDescent="0.3">
      <c r="A172" s="139" t="s">
        <v>803</v>
      </c>
      <c r="B172" s="17" t="s">
        <v>804</v>
      </c>
      <c r="C172" s="140">
        <v>0</v>
      </c>
      <c r="D172" s="140">
        <v>0</v>
      </c>
      <c r="E172" s="140">
        <v>27438.690000000002</v>
      </c>
      <c r="F172" s="140">
        <v>0</v>
      </c>
      <c r="G172" s="140">
        <v>2471.7400000000002</v>
      </c>
      <c r="H172" s="140">
        <v>0</v>
      </c>
      <c r="I172" s="140">
        <v>32092.400000000001</v>
      </c>
      <c r="J172" s="140">
        <v>2181.9700000000003</v>
      </c>
      <c r="K172" s="140">
        <v>29910.43</v>
      </c>
      <c r="L172" s="140">
        <v>0</v>
      </c>
    </row>
    <row r="173" spans="1:12" x14ac:dyDescent="0.3">
      <c r="A173" s="139" t="s">
        <v>805</v>
      </c>
      <c r="B173" s="17" t="s">
        <v>806</v>
      </c>
      <c r="C173" s="140">
        <v>0</v>
      </c>
      <c r="D173" s="140">
        <v>0</v>
      </c>
      <c r="E173" s="140">
        <v>4425.82</v>
      </c>
      <c r="F173" s="140">
        <v>0</v>
      </c>
      <c r="G173" s="140">
        <v>510.22</v>
      </c>
      <c r="H173" s="140">
        <v>0</v>
      </c>
      <c r="I173" s="140">
        <v>4936.04</v>
      </c>
      <c r="J173" s="140">
        <v>0</v>
      </c>
      <c r="K173" s="140">
        <v>4936.04</v>
      </c>
      <c r="L173" s="140">
        <v>0</v>
      </c>
    </row>
    <row r="174" spans="1:12" x14ac:dyDescent="0.3">
      <c r="A174" s="139" t="s">
        <v>807</v>
      </c>
      <c r="B174" s="17" t="s">
        <v>808</v>
      </c>
      <c r="C174" s="140">
        <v>0</v>
      </c>
      <c r="D174" s="140">
        <v>0</v>
      </c>
      <c r="E174" s="140">
        <v>818.05000000000007</v>
      </c>
      <c r="F174" s="140">
        <v>0</v>
      </c>
      <c r="G174" s="140">
        <v>350</v>
      </c>
      <c r="H174" s="140">
        <v>0</v>
      </c>
      <c r="I174" s="140">
        <v>1168.05</v>
      </c>
      <c r="J174" s="140">
        <v>0</v>
      </c>
      <c r="K174" s="140">
        <v>1168.05</v>
      </c>
      <c r="L174" s="140">
        <v>0</v>
      </c>
    </row>
    <row r="175" spans="1:12" x14ac:dyDescent="0.3">
      <c r="A175" s="139" t="s">
        <v>815</v>
      </c>
      <c r="B175" s="17" t="s">
        <v>816</v>
      </c>
      <c r="C175" s="140">
        <v>0</v>
      </c>
      <c r="D175" s="140">
        <v>0</v>
      </c>
      <c r="E175" s="140">
        <v>825</v>
      </c>
      <c r="F175" s="140">
        <v>0</v>
      </c>
      <c r="G175" s="140">
        <v>118.4</v>
      </c>
      <c r="H175" s="140">
        <v>0</v>
      </c>
      <c r="I175" s="140">
        <v>943.4</v>
      </c>
      <c r="J175" s="140">
        <v>0</v>
      </c>
      <c r="K175" s="140">
        <v>943.4</v>
      </c>
      <c r="L175" s="140">
        <v>0</v>
      </c>
    </row>
    <row r="176" spans="1:12" x14ac:dyDescent="0.3">
      <c r="A176" s="139" t="s">
        <v>817</v>
      </c>
      <c r="B176" s="17" t="s">
        <v>818</v>
      </c>
      <c r="C176" s="140">
        <v>0</v>
      </c>
      <c r="D176" s="140">
        <v>0</v>
      </c>
      <c r="E176" s="140">
        <v>380.6</v>
      </c>
      <c r="F176" s="140">
        <v>0</v>
      </c>
      <c r="G176" s="140">
        <v>67.400000000000006</v>
      </c>
      <c r="H176" s="140">
        <v>0</v>
      </c>
      <c r="I176" s="140">
        <v>448</v>
      </c>
      <c r="J176" s="140">
        <v>0</v>
      </c>
      <c r="K176" s="140">
        <v>448</v>
      </c>
      <c r="L176" s="140">
        <v>0</v>
      </c>
    </row>
    <row r="177" spans="1:12" x14ac:dyDescent="0.3">
      <c r="A177" s="139" t="s">
        <v>819</v>
      </c>
      <c r="B177" s="17" t="s">
        <v>820</v>
      </c>
      <c r="C177" s="140">
        <v>0</v>
      </c>
      <c r="D177" s="140">
        <v>0</v>
      </c>
      <c r="E177" s="140">
        <v>630.04</v>
      </c>
      <c r="F177" s="140">
        <v>0</v>
      </c>
      <c r="G177" s="140">
        <v>0</v>
      </c>
      <c r="H177" s="140">
        <v>0</v>
      </c>
      <c r="I177" s="140">
        <v>630.04</v>
      </c>
      <c r="J177" s="140">
        <v>0</v>
      </c>
      <c r="K177" s="140">
        <v>630.04</v>
      </c>
      <c r="L177" s="140">
        <v>0</v>
      </c>
    </row>
    <row r="178" spans="1:12" x14ac:dyDescent="0.3">
      <c r="A178" s="139" t="s">
        <v>821</v>
      </c>
      <c r="B178" s="17" t="s">
        <v>822</v>
      </c>
      <c r="C178" s="140">
        <v>0</v>
      </c>
      <c r="D178" s="140">
        <v>0</v>
      </c>
      <c r="E178" s="140">
        <v>545.6</v>
      </c>
      <c r="F178" s="140">
        <v>0</v>
      </c>
      <c r="G178" s="140">
        <v>73.900000000000006</v>
      </c>
      <c r="H178" s="140">
        <v>0</v>
      </c>
      <c r="I178" s="140">
        <v>619.5</v>
      </c>
      <c r="J178" s="140">
        <v>0</v>
      </c>
      <c r="K178" s="140">
        <v>619.5</v>
      </c>
      <c r="L178" s="140">
        <v>0</v>
      </c>
    </row>
    <row r="179" spans="1:12" x14ac:dyDescent="0.3">
      <c r="A179" s="139" t="s">
        <v>823</v>
      </c>
      <c r="B179" s="17" t="s">
        <v>824</v>
      </c>
      <c r="C179" s="140">
        <v>0</v>
      </c>
      <c r="D179" s="140">
        <v>0</v>
      </c>
      <c r="E179" s="140">
        <v>-445.65000000000003</v>
      </c>
      <c r="F179" s="140">
        <v>0</v>
      </c>
      <c r="G179" s="140">
        <v>-93.56</v>
      </c>
      <c r="H179" s="140">
        <v>0</v>
      </c>
      <c r="I179" s="140">
        <v>-539.21</v>
      </c>
      <c r="J179" s="140">
        <v>0</v>
      </c>
      <c r="K179" s="140">
        <v>-539.21</v>
      </c>
      <c r="L179" s="140">
        <v>0</v>
      </c>
    </row>
    <row r="180" spans="1:12" x14ac:dyDescent="0.3">
      <c r="A180" s="139" t="s">
        <v>825</v>
      </c>
      <c r="B180" s="17" t="s">
        <v>826</v>
      </c>
      <c r="C180" s="140">
        <v>0</v>
      </c>
      <c r="D180" s="140">
        <v>0</v>
      </c>
      <c r="E180" s="140">
        <v>-600</v>
      </c>
      <c r="F180" s="140">
        <v>0</v>
      </c>
      <c r="G180" s="140">
        <v>1300</v>
      </c>
      <c r="H180" s="140">
        <v>0</v>
      </c>
      <c r="I180" s="140">
        <v>700</v>
      </c>
      <c r="J180" s="140">
        <v>0</v>
      </c>
      <c r="K180" s="140">
        <v>700</v>
      </c>
      <c r="L180" s="140">
        <v>0</v>
      </c>
    </row>
    <row r="181" spans="1:12" x14ac:dyDescent="0.3">
      <c r="A181" s="139" t="s">
        <v>829</v>
      </c>
      <c r="B181" s="17" t="s">
        <v>830</v>
      </c>
      <c r="C181" s="140">
        <v>0</v>
      </c>
      <c r="D181" s="140">
        <v>0</v>
      </c>
      <c r="E181" s="140">
        <v>2504.9299999999998</v>
      </c>
      <c r="F181" s="140">
        <v>0</v>
      </c>
      <c r="G181" s="140">
        <v>176</v>
      </c>
      <c r="H181" s="140">
        <v>0</v>
      </c>
      <c r="I181" s="140">
        <v>2680.93</v>
      </c>
      <c r="J181" s="140">
        <v>0</v>
      </c>
      <c r="K181" s="140">
        <v>2680.93</v>
      </c>
      <c r="L181" s="140">
        <v>0</v>
      </c>
    </row>
    <row r="182" spans="1:12" x14ac:dyDescent="0.3">
      <c r="A182" s="139" t="s">
        <v>831</v>
      </c>
      <c r="B182" s="17" t="s">
        <v>832</v>
      </c>
      <c r="C182" s="140">
        <v>0</v>
      </c>
      <c r="D182" s="140">
        <v>0</v>
      </c>
      <c r="E182" s="140">
        <v>8470.5499999999993</v>
      </c>
      <c r="F182" s="140">
        <v>0</v>
      </c>
      <c r="G182" s="140">
        <v>856.55000000000007</v>
      </c>
      <c r="H182" s="140">
        <v>0</v>
      </c>
      <c r="I182" s="140">
        <v>9327.1</v>
      </c>
      <c r="J182" s="140">
        <v>0</v>
      </c>
      <c r="K182" s="140">
        <v>9327.1</v>
      </c>
      <c r="L182" s="140">
        <v>0</v>
      </c>
    </row>
    <row r="183" spans="1:12" x14ac:dyDescent="0.3">
      <c r="A183" s="139" t="s">
        <v>833</v>
      </c>
      <c r="B183" s="17" t="s">
        <v>834</v>
      </c>
      <c r="C183" s="140">
        <v>0</v>
      </c>
      <c r="D183" s="140">
        <v>0</v>
      </c>
      <c r="E183" s="140">
        <v>3411.2000000000003</v>
      </c>
      <c r="F183" s="140">
        <v>0</v>
      </c>
      <c r="G183" s="140">
        <v>339.93</v>
      </c>
      <c r="H183" s="140">
        <v>0</v>
      </c>
      <c r="I183" s="140">
        <v>3751.13</v>
      </c>
      <c r="J183" s="140">
        <v>0</v>
      </c>
      <c r="K183" s="140">
        <v>3751.13</v>
      </c>
      <c r="L183" s="140">
        <v>0</v>
      </c>
    </row>
    <row r="184" spans="1:12" x14ac:dyDescent="0.3">
      <c r="A184" s="139" t="s">
        <v>835</v>
      </c>
      <c r="B184" s="17" t="s">
        <v>836</v>
      </c>
      <c r="C184" s="140">
        <v>0</v>
      </c>
      <c r="D184" s="140">
        <v>0</v>
      </c>
      <c r="E184" s="140">
        <v>345.36</v>
      </c>
      <c r="F184" s="140">
        <v>0</v>
      </c>
      <c r="G184" s="140">
        <v>48.46</v>
      </c>
      <c r="H184" s="140">
        <v>0</v>
      </c>
      <c r="I184" s="140">
        <v>393.82</v>
      </c>
      <c r="J184" s="140">
        <v>0</v>
      </c>
      <c r="K184" s="140">
        <v>393.82</v>
      </c>
      <c r="L184" s="140">
        <v>0</v>
      </c>
    </row>
    <row r="185" spans="1:12" x14ac:dyDescent="0.3">
      <c r="A185" s="139" t="s">
        <v>837</v>
      </c>
      <c r="B185" s="17" t="s">
        <v>838</v>
      </c>
      <c r="C185" s="140">
        <v>0</v>
      </c>
      <c r="D185" s="140">
        <v>0</v>
      </c>
      <c r="E185" s="140">
        <v>137.06</v>
      </c>
      <c r="F185" s="140">
        <v>0</v>
      </c>
      <c r="G185" s="140">
        <v>19.23</v>
      </c>
      <c r="H185" s="140">
        <v>0</v>
      </c>
      <c r="I185" s="140">
        <v>156.29</v>
      </c>
      <c r="J185" s="140">
        <v>0</v>
      </c>
      <c r="K185" s="140">
        <v>156.29</v>
      </c>
      <c r="L185" s="140">
        <v>0</v>
      </c>
    </row>
    <row r="186" spans="1:12" x14ac:dyDescent="0.3">
      <c r="A186" s="139" t="s">
        <v>839</v>
      </c>
      <c r="B186" s="17" t="s">
        <v>840</v>
      </c>
      <c r="C186" s="140">
        <v>0</v>
      </c>
      <c r="D186" s="140">
        <v>0</v>
      </c>
      <c r="E186" s="140">
        <v>-112.03</v>
      </c>
      <c r="F186" s="140">
        <v>0</v>
      </c>
      <c r="G186" s="140">
        <v>-23.580000000000002</v>
      </c>
      <c r="H186" s="140">
        <v>0</v>
      </c>
      <c r="I186" s="140">
        <v>413.97</v>
      </c>
      <c r="J186" s="140">
        <v>549.58000000000004</v>
      </c>
      <c r="K186" s="140">
        <v>-135.61000000000001</v>
      </c>
      <c r="L186" s="140">
        <v>0</v>
      </c>
    </row>
    <row r="187" spans="1:12" x14ac:dyDescent="0.3">
      <c r="A187" s="139" t="s">
        <v>841</v>
      </c>
      <c r="B187" s="17" t="s">
        <v>842</v>
      </c>
      <c r="C187" s="140">
        <v>0</v>
      </c>
      <c r="D187" s="140">
        <v>0</v>
      </c>
      <c r="E187" s="140">
        <v>-44.47</v>
      </c>
      <c r="F187" s="140">
        <v>0</v>
      </c>
      <c r="G187" s="140">
        <v>-9.35</v>
      </c>
      <c r="H187" s="140">
        <v>0</v>
      </c>
      <c r="I187" s="140">
        <v>164.28</v>
      </c>
      <c r="J187" s="140">
        <v>218.1</v>
      </c>
      <c r="K187" s="140">
        <v>-53.82</v>
      </c>
      <c r="L187" s="140">
        <v>0</v>
      </c>
    </row>
    <row r="188" spans="1:12" x14ac:dyDescent="0.3">
      <c r="A188" s="139" t="s">
        <v>843</v>
      </c>
      <c r="B188" s="17" t="s">
        <v>844</v>
      </c>
      <c r="C188" s="140">
        <v>0</v>
      </c>
      <c r="D188" s="140">
        <v>0</v>
      </c>
      <c r="E188" s="140">
        <v>-151.20000000000002</v>
      </c>
      <c r="F188" s="140">
        <v>0</v>
      </c>
      <c r="G188" s="140">
        <v>327.60000000000002</v>
      </c>
      <c r="H188" s="140">
        <v>0</v>
      </c>
      <c r="I188" s="140">
        <v>176.4</v>
      </c>
      <c r="J188" s="140">
        <v>0</v>
      </c>
      <c r="K188" s="140">
        <v>176.4</v>
      </c>
      <c r="L188" s="140">
        <v>0</v>
      </c>
    </row>
    <row r="189" spans="1:12" x14ac:dyDescent="0.3">
      <c r="A189" s="139" t="s">
        <v>845</v>
      </c>
      <c r="B189" s="17" t="s">
        <v>846</v>
      </c>
      <c r="C189" s="140">
        <v>0</v>
      </c>
      <c r="D189" s="140">
        <v>0</v>
      </c>
      <c r="E189" s="140">
        <v>-60</v>
      </c>
      <c r="F189" s="140">
        <v>0</v>
      </c>
      <c r="G189" s="140">
        <v>130</v>
      </c>
      <c r="H189" s="140">
        <v>0</v>
      </c>
      <c r="I189" s="140">
        <v>70</v>
      </c>
      <c r="J189" s="140">
        <v>0</v>
      </c>
      <c r="K189" s="140">
        <v>70</v>
      </c>
      <c r="L189" s="140">
        <v>0</v>
      </c>
    </row>
    <row r="190" spans="1:12" x14ac:dyDescent="0.3">
      <c r="A190" s="139" t="s">
        <v>851</v>
      </c>
      <c r="B190" s="17" t="s">
        <v>852</v>
      </c>
      <c r="C190" s="140">
        <v>0</v>
      </c>
      <c r="D190" s="140">
        <v>0</v>
      </c>
      <c r="E190" s="140">
        <v>881.78</v>
      </c>
      <c r="F190" s="140">
        <v>0</v>
      </c>
      <c r="G190" s="140">
        <v>61.95</v>
      </c>
      <c r="H190" s="140">
        <v>0</v>
      </c>
      <c r="I190" s="140">
        <v>943.73</v>
      </c>
      <c r="J190" s="140">
        <v>0</v>
      </c>
      <c r="K190" s="140">
        <v>943.73</v>
      </c>
      <c r="L190" s="140">
        <v>0</v>
      </c>
    </row>
    <row r="191" spans="1:12" x14ac:dyDescent="0.3">
      <c r="A191" s="139" t="s">
        <v>853</v>
      </c>
      <c r="B191" s="17" t="s">
        <v>854</v>
      </c>
      <c r="C191" s="140">
        <v>0</v>
      </c>
      <c r="D191" s="140">
        <v>0</v>
      </c>
      <c r="E191" s="140">
        <v>186.98</v>
      </c>
      <c r="F191" s="140">
        <v>0</v>
      </c>
      <c r="G191" s="140">
        <v>19.59</v>
      </c>
      <c r="H191" s="140">
        <v>0</v>
      </c>
      <c r="I191" s="140">
        <v>206.57</v>
      </c>
      <c r="J191" s="140">
        <v>0</v>
      </c>
      <c r="K191" s="140">
        <v>206.57</v>
      </c>
      <c r="L191" s="140">
        <v>0</v>
      </c>
    </row>
    <row r="192" spans="1:12" x14ac:dyDescent="0.3">
      <c r="A192" s="139" t="s">
        <v>855</v>
      </c>
      <c r="B192" s="17" t="s">
        <v>856</v>
      </c>
      <c r="C192" s="140">
        <v>0</v>
      </c>
      <c r="D192" s="140">
        <v>0</v>
      </c>
      <c r="E192" s="140">
        <v>888.23</v>
      </c>
      <c r="F192" s="140">
        <v>0</v>
      </c>
      <c r="G192" s="140">
        <v>90.820000000000007</v>
      </c>
      <c r="H192" s="140">
        <v>0</v>
      </c>
      <c r="I192" s="140">
        <v>979.05000000000007</v>
      </c>
      <c r="J192" s="140">
        <v>0</v>
      </c>
      <c r="K192" s="140">
        <v>979.05000000000007</v>
      </c>
      <c r="L192" s="140">
        <v>0</v>
      </c>
    </row>
    <row r="193" spans="1:12" x14ac:dyDescent="0.3">
      <c r="A193" s="139" t="s">
        <v>861</v>
      </c>
      <c r="B193" s="17" t="s">
        <v>862</v>
      </c>
      <c r="C193" s="140">
        <v>0</v>
      </c>
      <c r="D193" s="140">
        <v>0</v>
      </c>
      <c r="E193" s="140">
        <v>229.71</v>
      </c>
      <c r="F193" s="140">
        <v>0</v>
      </c>
      <c r="G193" s="140">
        <v>0</v>
      </c>
      <c r="H193" s="140">
        <v>0</v>
      </c>
      <c r="I193" s="140">
        <v>229.71</v>
      </c>
      <c r="J193" s="140">
        <v>0</v>
      </c>
      <c r="K193" s="140">
        <v>229.71</v>
      </c>
      <c r="L193" s="140">
        <v>0</v>
      </c>
    </row>
    <row r="194" spans="1:12" x14ac:dyDescent="0.3">
      <c r="A194" s="139" t="s">
        <v>863</v>
      </c>
      <c r="B194" s="17" t="s">
        <v>864</v>
      </c>
      <c r="C194" s="140">
        <v>0</v>
      </c>
      <c r="D194" s="140">
        <v>0</v>
      </c>
      <c r="E194" s="140">
        <v>69.600000000000009</v>
      </c>
      <c r="F194" s="140">
        <v>0</v>
      </c>
      <c r="G194" s="140">
        <v>124.36</v>
      </c>
      <c r="H194" s="140">
        <v>0</v>
      </c>
      <c r="I194" s="140">
        <v>193.96</v>
      </c>
      <c r="J194" s="140">
        <v>0</v>
      </c>
      <c r="K194" s="140">
        <v>193.96</v>
      </c>
      <c r="L194" s="140">
        <v>0</v>
      </c>
    </row>
    <row r="195" spans="1:12" x14ac:dyDescent="0.3">
      <c r="A195" s="139" t="s">
        <v>865</v>
      </c>
      <c r="B195" s="17" t="s">
        <v>866</v>
      </c>
      <c r="C195" s="140">
        <v>0</v>
      </c>
      <c r="D195" s="140">
        <v>0</v>
      </c>
      <c r="E195" s="140">
        <v>74.98</v>
      </c>
      <c r="F195" s="140">
        <v>0</v>
      </c>
      <c r="G195" s="140">
        <v>6.86</v>
      </c>
      <c r="H195" s="140">
        <v>0</v>
      </c>
      <c r="I195" s="140">
        <v>81.84</v>
      </c>
      <c r="J195" s="140">
        <v>0</v>
      </c>
      <c r="K195" s="140">
        <v>81.84</v>
      </c>
      <c r="L195" s="140">
        <v>0</v>
      </c>
    </row>
    <row r="196" spans="1:12" x14ac:dyDescent="0.3">
      <c r="A196" s="139" t="s">
        <v>867</v>
      </c>
      <c r="B196" s="17" t="s">
        <v>868</v>
      </c>
      <c r="C196" s="140">
        <v>0</v>
      </c>
      <c r="D196" s="140">
        <v>0</v>
      </c>
      <c r="E196" s="140">
        <v>190</v>
      </c>
      <c r="F196" s="140">
        <v>0</v>
      </c>
      <c r="G196" s="140">
        <v>80</v>
      </c>
      <c r="H196" s="140">
        <v>0</v>
      </c>
      <c r="I196" s="140">
        <v>270</v>
      </c>
      <c r="J196" s="140">
        <v>0</v>
      </c>
      <c r="K196" s="140">
        <v>270</v>
      </c>
      <c r="L196" s="140">
        <v>0</v>
      </c>
    </row>
    <row r="197" spans="1:12" x14ac:dyDescent="0.3">
      <c r="A197" s="139" t="s">
        <v>871</v>
      </c>
      <c r="B197" s="17" t="s">
        <v>603</v>
      </c>
      <c r="C197" s="140">
        <v>0</v>
      </c>
      <c r="D197" s="140">
        <v>0</v>
      </c>
      <c r="E197" s="140">
        <v>55.68</v>
      </c>
      <c r="F197" s="140">
        <v>0</v>
      </c>
      <c r="G197" s="140">
        <v>0</v>
      </c>
      <c r="H197" s="140">
        <v>0</v>
      </c>
      <c r="I197" s="140">
        <v>55.68</v>
      </c>
      <c r="J197" s="140">
        <v>0</v>
      </c>
      <c r="K197" s="140">
        <v>55.68</v>
      </c>
      <c r="L197" s="140">
        <v>0</v>
      </c>
    </row>
    <row r="198" spans="1:12" x14ac:dyDescent="0.3">
      <c r="A198" s="139" t="s">
        <v>874</v>
      </c>
      <c r="B198" s="17" t="s">
        <v>875</v>
      </c>
      <c r="C198" s="140">
        <v>0</v>
      </c>
      <c r="D198" s="140">
        <v>0</v>
      </c>
      <c r="E198" s="140">
        <v>351.57</v>
      </c>
      <c r="F198" s="140">
        <v>0</v>
      </c>
      <c r="G198" s="140">
        <v>169.47</v>
      </c>
      <c r="H198" s="140">
        <v>351.57</v>
      </c>
      <c r="I198" s="140">
        <v>22080.75</v>
      </c>
      <c r="J198" s="140">
        <v>21911.279999999999</v>
      </c>
      <c r="K198" s="140">
        <v>169.47</v>
      </c>
      <c r="L198" s="140">
        <v>0</v>
      </c>
    </row>
    <row r="199" spans="1:12" x14ac:dyDescent="0.3">
      <c r="A199" s="139" t="s">
        <v>876</v>
      </c>
      <c r="B199" s="17" t="s">
        <v>877</v>
      </c>
      <c r="C199" s="140">
        <v>0</v>
      </c>
      <c r="D199" s="140">
        <v>0</v>
      </c>
      <c r="E199" s="140">
        <v>0.53</v>
      </c>
      <c r="F199" s="140">
        <v>0</v>
      </c>
      <c r="G199" s="140">
        <v>0.03</v>
      </c>
      <c r="H199" s="140">
        <v>0</v>
      </c>
      <c r="I199" s="140">
        <v>0.56000000000000005</v>
      </c>
      <c r="J199" s="140">
        <v>0</v>
      </c>
      <c r="K199" s="140">
        <v>0.56000000000000005</v>
      </c>
      <c r="L199" s="140">
        <v>0</v>
      </c>
    </row>
    <row r="200" spans="1:12" x14ac:dyDescent="0.3">
      <c r="A200" s="139" t="s">
        <v>878</v>
      </c>
      <c r="B200" s="17" t="s">
        <v>879</v>
      </c>
      <c r="C200" s="140">
        <v>0</v>
      </c>
      <c r="D200" s="140">
        <v>0</v>
      </c>
      <c r="E200" s="140">
        <v>314.95</v>
      </c>
      <c r="F200" s="140">
        <v>0</v>
      </c>
      <c r="G200" s="140">
        <v>0</v>
      </c>
      <c r="H200" s="140">
        <v>0</v>
      </c>
      <c r="I200" s="140">
        <v>314.95</v>
      </c>
      <c r="J200" s="140">
        <v>0</v>
      </c>
      <c r="K200" s="140">
        <v>314.95</v>
      </c>
      <c r="L200" s="140">
        <v>0</v>
      </c>
    </row>
    <row r="201" spans="1:12" x14ac:dyDescent="0.3">
      <c r="A201" s="139" t="s">
        <v>880</v>
      </c>
      <c r="B201" s="17" t="s">
        <v>881</v>
      </c>
      <c r="C201" s="140">
        <v>0</v>
      </c>
      <c r="D201" s="140">
        <v>0</v>
      </c>
      <c r="E201" s="140">
        <v>130</v>
      </c>
      <c r="F201" s="140">
        <v>0</v>
      </c>
      <c r="G201" s="140">
        <v>0</v>
      </c>
      <c r="H201" s="140">
        <v>0</v>
      </c>
      <c r="I201" s="140">
        <v>130</v>
      </c>
      <c r="J201" s="140">
        <v>0</v>
      </c>
      <c r="K201" s="140">
        <v>130</v>
      </c>
      <c r="L201" s="140">
        <v>0</v>
      </c>
    </row>
    <row r="202" spans="1:12" x14ac:dyDescent="0.3">
      <c r="A202" s="139" t="s">
        <v>882</v>
      </c>
      <c r="B202" s="17" t="s">
        <v>883</v>
      </c>
      <c r="C202" s="140">
        <v>0</v>
      </c>
      <c r="D202" s="140">
        <v>0</v>
      </c>
      <c r="E202" s="140">
        <v>24.19</v>
      </c>
      <c r="F202" s="140">
        <v>0</v>
      </c>
      <c r="G202" s="140">
        <v>13.25</v>
      </c>
      <c r="H202" s="140">
        <v>0</v>
      </c>
      <c r="I202" s="140">
        <v>37.44</v>
      </c>
      <c r="J202" s="140">
        <v>0</v>
      </c>
      <c r="K202" s="140">
        <v>37.44</v>
      </c>
      <c r="L202" s="140">
        <v>0</v>
      </c>
    </row>
    <row r="203" spans="1:12" x14ac:dyDescent="0.3">
      <c r="A203" s="139" t="s">
        <v>886</v>
      </c>
      <c r="B203" s="17" t="s">
        <v>887</v>
      </c>
      <c r="C203" s="140">
        <v>0</v>
      </c>
      <c r="D203" s="140">
        <v>0</v>
      </c>
      <c r="E203" s="140">
        <v>0</v>
      </c>
      <c r="F203" s="140">
        <v>0</v>
      </c>
      <c r="G203" s="140">
        <v>0</v>
      </c>
      <c r="H203" s="140">
        <v>0</v>
      </c>
      <c r="I203" s="140">
        <v>17.420000000000002</v>
      </c>
      <c r="J203" s="140">
        <v>17.420000000000002</v>
      </c>
      <c r="K203" s="140">
        <v>0</v>
      </c>
      <c r="L203" s="140">
        <v>0</v>
      </c>
    </row>
    <row r="204" spans="1:12" x14ac:dyDescent="0.3">
      <c r="A204" s="139" t="s">
        <v>888</v>
      </c>
      <c r="B204" s="17" t="s">
        <v>889</v>
      </c>
      <c r="C204" s="140">
        <v>0</v>
      </c>
      <c r="D204" s="140">
        <v>0</v>
      </c>
      <c r="E204" s="140">
        <v>1414.27</v>
      </c>
      <c r="F204" s="140">
        <v>0</v>
      </c>
      <c r="G204" s="140">
        <v>128.57</v>
      </c>
      <c r="H204" s="140">
        <v>0</v>
      </c>
      <c r="I204" s="140">
        <v>1542.8400000000001</v>
      </c>
      <c r="J204" s="140">
        <v>0</v>
      </c>
      <c r="K204" s="140">
        <v>1542.8400000000001</v>
      </c>
      <c r="L204" s="140">
        <v>0</v>
      </c>
    </row>
    <row r="205" spans="1:12" x14ac:dyDescent="0.3">
      <c r="A205" s="139" t="s">
        <v>890</v>
      </c>
      <c r="B205" s="17" t="s">
        <v>891</v>
      </c>
      <c r="C205" s="140">
        <v>0</v>
      </c>
      <c r="D205" s="140">
        <v>0</v>
      </c>
      <c r="E205" s="140">
        <v>0</v>
      </c>
      <c r="F205" s="140">
        <v>0</v>
      </c>
      <c r="G205" s="140">
        <v>119.10000000000001</v>
      </c>
      <c r="H205" s="140">
        <v>0</v>
      </c>
      <c r="I205" s="140">
        <v>119.10000000000001</v>
      </c>
      <c r="J205" s="140">
        <v>0</v>
      </c>
      <c r="K205" s="140">
        <v>119.10000000000001</v>
      </c>
      <c r="L205" s="140">
        <v>0</v>
      </c>
    </row>
    <row r="206" spans="1:12" x14ac:dyDescent="0.3">
      <c r="A206" s="139" t="s">
        <v>892</v>
      </c>
      <c r="B206" s="17" t="s">
        <v>893</v>
      </c>
      <c r="C206" s="140">
        <v>0</v>
      </c>
      <c r="D206" s="140">
        <v>0</v>
      </c>
      <c r="E206" s="140">
        <v>0</v>
      </c>
      <c r="F206" s="140">
        <v>0</v>
      </c>
      <c r="G206" s="140">
        <v>65.53</v>
      </c>
      <c r="H206" s="140">
        <v>0</v>
      </c>
      <c r="I206" s="140">
        <v>65.53</v>
      </c>
      <c r="J206" s="140">
        <v>0</v>
      </c>
      <c r="K206" s="140">
        <v>65.53</v>
      </c>
      <c r="L206" s="140">
        <v>0</v>
      </c>
    </row>
    <row r="207" spans="1:12" x14ac:dyDescent="0.3">
      <c r="A207" s="139" t="s">
        <v>898</v>
      </c>
      <c r="B207" s="17" t="s">
        <v>899</v>
      </c>
      <c r="C207" s="140">
        <v>0</v>
      </c>
      <c r="D207" s="140">
        <v>0</v>
      </c>
      <c r="E207" s="140">
        <v>359.16</v>
      </c>
      <c r="F207" s="140">
        <v>0</v>
      </c>
      <c r="G207" s="140">
        <v>55.76</v>
      </c>
      <c r="H207" s="140">
        <v>0</v>
      </c>
      <c r="I207" s="140">
        <v>414.92</v>
      </c>
      <c r="J207" s="140">
        <v>0</v>
      </c>
      <c r="K207" s="140">
        <v>414.92</v>
      </c>
      <c r="L207" s="140">
        <v>0</v>
      </c>
    </row>
    <row r="208" spans="1:12" x14ac:dyDescent="0.3">
      <c r="A208" s="139" t="s">
        <v>900</v>
      </c>
      <c r="B208" s="17" t="s">
        <v>901</v>
      </c>
      <c r="C208" s="140">
        <v>0</v>
      </c>
      <c r="D208" s="140">
        <v>0</v>
      </c>
      <c r="E208" s="140">
        <v>1048.54</v>
      </c>
      <c r="F208" s="140">
        <v>0</v>
      </c>
      <c r="G208" s="140">
        <v>359.17</v>
      </c>
      <c r="H208" s="140">
        <v>0</v>
      </c>
      <c r="I208" s="140">
        <v>1407.71</v>
      </c>
      <c r="J208" s="140">
        <v>0</v>
      </c>
      <c r="K208" s="140">
        <v>1407.71</v>
      </c>
      <c r="L208" s="140">
        <v>0</v>
      </c>
    </row>
    <row r="209" spans="1:12" x14ac:dyDescent="0.3">
      <c r="A209" s="139" t="s">
        <v>902</v>
      </c>
      <c r="B209" s="17" t="s">
        <v>903</v>
      </c>
      <c r="C209" s="140">
        <v>0</v>
      </c>
      <c r="D209" s="140">
        <v>0</v>
      </c>
      <c r="E209" s="140">
        <v>6.44</v>
      </c>
      <c r="F209" s="140">
        <v>0</v>
      </c>
      <c r="G209" s="140">
        <v>0</v>
      </c>
      <c r="H209" s="140">
        <v>0</v>
      </c>
      <c r="I209" s="140">
        <v>6.44</v>
      </c>
      <c r="J209" s="140">
        <v>0</v>
      </c>
      <c r="K209" s="140">
        <v>6.44</v>
      </c>
      <c r="L209" s="140">
        <v>0</v>
      </c>
    </row>
    <row r="210" spans="1:12" x14ac:dyDescent="0.3">
      <c r="A210" s="139" t="s">
        <v>904</v>
      </c>
      <c r="B210" s="17" t="s">
        <v>905</v>
      </c>
      <c r="C210" s="140">
        <v>0</v>
      </c>
      <c r="D210" s="140">
        <v>0</v>
      </c>
      <c r="E210" s="140">
        <v>479.2</v>
      </c>
      <c r="F210" s="140">
        <v>0</v>
      </c>
      <c r="G210" s="140">
        <v>53.550000000000004</v>
      </c>
      <c r="H210" s="140">
        <v>0</v>
      </c>
      <c r="I210" s="140">
        <v>532.75</v>
      </c>
      <c r="J210" s="140">
        <v>0</v>
      </c>
      <c r="K210" s="140">
        <v>532.75</v>
      </c>
      <c r="L210" s="140">
        <v>0</v>
      </c>
    </row>
    <row r="211" spans="1:12" x14ac:dyDescent="0.3">
      <c r="A211" s="139" t="s">
        <v>908</v>
      </c>
      <c r="B211" s="17" t="s">
        <v>909</v>
      </c>
      <c r="C211" s="140">
        <v>0</v>
      </c>
      <c r="D211" s="140">
        <v>0</v>
      </c>
      <c r="E211" s="140">
        <v>598.63</v>
      </c>
      <c r="F211" s="140">
        <v>0</v>
      </c>
      <c r="G211" s="140">
        <v>72.84</v>
      </c>
      <c r="H211" s="140">
        <v>0</v>
      </c>
      <c r="I211" s="140">
        <v>671.47</v>
      </c>
      <c r="J211" s="140">
        <v>0</v>
      </c>
      <c r="K211" s="140">
        <v>671.47</v>
      </c>
      <c r="L211" s="140">
        <v>0</v>
      </c>
    </row>
    <row r="212" spans="1:12" x14ac:dyDescent="0.3">
      <c r="A212" s="139" t="s">
        <v>910</v>
      </c>
      <c r="B212" s="17" t="s">
        <v>911</v>
      </c>
      <c r="C212" s="140">
        <v>0</v>
      </c>
      <c r="D212" s="140">
        <v>0</v>
      </c>
      <c r="E212" s="140">
        <v>0</v>
      </c>
      <c r="F212" s="140">
        <v>0</v>
      </c>
      <c r="G212" s="140">
        <v>2764.16</v>
      </c>
      <c r="H212" s="140">
        <v>0</v>
      </c>
      <c r="I212" s="140">
        <v>2764.16</v>
      </c>
      <c r="J212" s="140">
        <v>0</v>
      </c>
      <c r="K212" s="140">
        <v>2764.16</v>
      </c>
      <c r="L212" s="140">
        <v>0</v>
      </c>
    </row>
    <row r="213" spans="1:12" x14ac:dyDescent="0.3">
      <c r="A213" s="139" t="s">
        <v>912</v>
      </c>
      <c r="B213" s="17" t="s">
        <v>258</v>
      </c>
      <c r="C213" s="140">
        <v>0</v>
      </c>
      <c r="D213" s="140">
        <v>0</v>
      </c>
      <c r="E213" s="140">
        <v>0</v>
      </c>
      <c r="F213" s="140">
        <v>0</v>
      </c>
      <c r="G213" s="140">
        <v>864.87</v>
      </c>
      <c r="H213" s="140">
        <v>1357.8</v>
      </c>
      <c r="I213" s="140">
        <v>864.87</v>
      </c>
      <c r="J213" s="140">
        <v>1357.8</v>
      </c>
      <c r="K213" s="140">
        <v>-492.93</v>
      </c>
      <c r="L213" s="140">
        <v>0</v>
      </c>
    </row>
    <row r="214" spans="1:12" x14ac:dyDescent="0.3">
      <c r="A214" s="139" t="s">
        <v>913</v>
      </c>
      <c r="B214" s="17" t="s">
        <v>914</v>
      </c>
      <c r="C214" s="140">
        <v>0</v>
      </c>
      <c r="D214" s="140">
        <v>0</v>
      </c>
      <c r="E214" s="140">
        <v>0</v>
      </c>
      <c r="F214" s="140">
        <v>18.5</v>
      </c>
      <c r="G214" s="140">
        <v>0</v>
      </c>
      <c r="H214" s="140">
        <v>0</v>
      </c>
      <c r="I214" s="140">
        <v>0</v>
      </c>
      <c r="J214" s="140">
        <v>18.5</v>
      </c>
      <c r="K214" s="140">
        <v>0</v>
      </c>
      <c r="L214" s="140">
        <v>18.5</v>
      </c>
    </row>
    <row r="215" spans="1:12" x14ac:dyDescent="0.3">
      <c r="A215" s="139" t="s">
        <v>915</v>
      </c>
      <c r="B215" s="17" t="s">
        <v>916</v>
      </c>
      <c r="C215" s="140">
        <v>0</v>
      </c>
      <c r="D215" s="140">
        <v>0</v>
      </c>
      <c r="E215" s="140">
        <v>0</v>
      </c>
      <c r="F215" s="140">
        <v>110.41</v>
      </c>
      <c r="G215" s="140">
        <v>0</v>
      </c>
      <c r="H215" s="140">
        <v>184.11</v>
      </c>
      <c r="I215" s="140">
        <v>1656.2</v>
      </c>
      <c r="J215" s="140">
        <v>1950.72</v>
      </c>
      <c r="K215" s="140">
        <v>0</v>
      </c>
      <c r="L215" s="140">
        <v>294.52</v>
      </c>
    </row>
    <row r="216" spans="1:12" x14ac:dyDescent="0.3">
      <c r="A216" s="139" t="s">
        <v>921</v>
      </c>
      <c r="B216" s="17" t="s">
        <v>922</v>
      </c>
      <c r="C216" s="140">
        <v>0</v>
      </c>
      <c r="D216" s="140">
        <v>0</v>
      </c>
      <c r="E216" s="140">
        <v>0</v>
      </c>
      <c r="F216" s="140">
        <v>231049.36000000002</v>
      </c>
      <c r="G216" s="140">
        <v>0</v>
      </c>
      <c r="H216" s="140">
        <v>24902.34</v>
      </c>
      <c r="I216" s="140">
        <v>0</v>
      </c>
      <c r="J216" s="140">
        <v>255951.7</v>
      </c>
      <c r="K216" s="140">
        <v>0</v>
      </c>
      <c r="L216" s="140">
        <v>255951.7</v>
      </c>
    </row>
    <row r="217" spans="1:12" x14ac:dyDescent="0.3">
      <c r="A217" s="139" t="s">
        <v>923</v>
      </c>
      <c r="B217" s="17" t="s">
        <v>924</v>
      </c>
      <c r="C217" s="140">
        <v>0</v>
      </c>
      <c r="D217" s="140">
        <v>0</v>
      </c>
      <c r="E217" s="140">
        <v>0</v>
      </c>
      <c r="F217" s="140">
        <v>63228.270000000004</v>
      </c>
      <c r="G217" s="140">
        <v>0</v>
      </c>
      <c r="H217" s="140">
        <v>8450.5400000000009</v>
      </c>
      <c r="I217" s="140">
        <v>204.06</v>
      </c>
      <c r="J217" s="140">
        <v>71882.87</v>
      </c>
      <c r="K217" s="140">
        <v>0</v>
      </c>
      <c r="L217" s="140">
        <v>71678.81</v>
      </c>
    </row>
    <row r="218" spans="1:12" x14ac:dyDescent="0.3">
      <c r="A218" s="139" t="s">
        <v>925</v>
      </c>
      <c r="B218" s="17" t="s">
        <v>926</v>
      </c>
      <c r="C218" s="140">
        <v>0</v>
      </c>
      <c r="D218" s="140">
        <v>0</v>
      </c>
      <c r="E218" s="140">
        <v>0</v>
      </c>
      <c r="F218" s="140">
        <v>92618.81</v>
      </c>
      <c r="G218" s="140">
        <v>0</v>
      </c>
      <c r="H218" s="140">
        <v>11113.29</v>
      </c>
      <c r="I218" s="140">
        <v>0</v>
      </c>
      <c r="J218" s="140">
        <v>103732.1</v>
      </c>
      <c r="K218" s="140">
        <v>0</v>
      </c>
      <c r="L218" s="140">
        <v>103732.1</v>
      </c>
    </row>
    <row r="219" spans="1:12" x14ac:dyDescent="0.3">
      <c r="A219" s="139" t="s">
        <v>927</v>
      </c>
      <c r="B219" s="17" t="s">
        <v>928</v>
      </c>
      <c r="C219" s="140">
        <v>0</v>
      </c>
      <c r="D219" s="140">
        <v>0</v>
      </c>
      <c r="E219" s="140">
        <v>0</v>
      </c>
      <c r="F219" s="140">
        <v>23539.72</v>
      </c>
      <c r="G219" s="140">
        <v>0</v>
      </c>
      <c r="H219" s="140">
        <v>2609.89</v>
      </c>
      <c r="I219" s="140">
        <v>0</v>
      </c>
      <c r="J219" s="140">
        <v>26149.61</v>
      </c>
      <c r="K219" s="140">
        <v>0</v>
      </c>
      <c r="L219" s="140">
        <v>26149.61</v>
      </c>
    </row>
    <row r="220" spans="1:12" x14ac:dyDescent="0.3">
      <c r="A220" s="139" t="s">
        <v>929</v>
      </c>
      <c r="B220" s="17" t="s">
        <v>930</v>
      </c>
      <c r="C220" s="140">
        <v>0</v>
      </c>
      <c r="D220" s="140">
        <v>0</v>
      </c>
      <c r="E220" s="140">
        <v>0</v>
      </c>
      <c r="F220" s="140">
        <v>-4182.55</v>
      </c>
      <c r="G220" s="140">
        <v>0</v>
      </c>
      <c r="H220" s="140">
        <v>-517.41</v>
      </c>
      <c r="I220" s="140">
        <v>0</v>
      </c>
      <c r="J220" s="140">
        <v>-4699.96</v>
      </c>
      <c r="K220" s="140">
        <v>0</v>
      </c>
      <c r="L220" s="140">
        <v>-4699.96</v>
      </c>
    </row>
    <row r="221" spans="1:12" x14ac:dyDescent="0.3">
      <c r="A221" s="139" t="s">
        <v>931</v>
      </c>
      <c r="B221" s="17" t="s">
        <v>932</v>
      </c>
      <c r="C221" s="140">
        <v>0</v>
      </c>
      <c r="D221" s="140">
        <v>0</v>
      </c>
      <c r="E221" s="140">
        <v>0</v>
      </c>
      <c r="F221" s="140">
        <v>-2500.59</v>
      </c>
      <c r="G221" s="140">
        <v>0</v>
      </c>
      <c r="H221" s="140">
        <v>-417.63</v>
      </c>
      <c r="I221" s="140">
        <v>0</v>
      </c>
      <c r="J221" s="140">
        <v>-2918.2200000000003</v>
      </c>
      <c r="K221" s="140">
        <v>0</v>
      </c>
      <c r="L221" s="140">
        <v>-2918.2200000000003</v>
      </c>
    </row>
    <row r="222" spans="1:12" x14ac:dyDescent="0.3">
      <c r="A222" s="139" t="s">
        <v>933</v>
      </c>
      <c r="B222" s="17" t="s">
        <v>934</v>
      </c>
      <c r="C222" s="140">
        <v>0</v>
      </c>
      <c r="D222" s="140">
        <v>0</v>
      </c>
      <c r="E222" s="140">
        <v>0</v>
      </c>
      <c r="F222" s="140">
        <v>8345.25</v>
      </c>
      <c r="G222" s="140">
        <v>0</v>
      </c>
      <c r="H222" s="140">
        <v>0</v>
      </c>
      <c r="I222" s="140">
        <v>0</v>
      </c>
      <c r="J222" s="140">
        <v>8345.25</v>
      </c>
      <c r="K222" s="140">
        <v>0</v>
      </c>
      <c r="L222" s="140">
        <v>8345.25</v>
      </c>
    </row>
    <row r="223" spans="1:12" x14ac:dyDescent="0.3">
      <c r="A223" s="139" t="s">
        <v>935</v>
      </c>
      <c r="B223" s="17" t="s">
        <v>936</v>
      </c>
      <c r="C223" s="140">
        <v>0</v>
      </c>
      <c r="D223" s="140">
        <v>0</v>
      </c>
      <c r="E223" s="140">
        <v>0</v>
      </c>
      <c r="F223" s="140">
        <v>79.070000000000007</v>
      </c>
      <c r="G223" s="140">
        <v>0</v>
      </c>
      <c r="H223" s="140">
        <v>31.490000000000002</v>
      </c>
      <c r="I223" s="140">
        <v>0</v>
      </c>
      <c r="J223" s="140">
        <v>110.56</v>
      </c>
      <c r="K223" s="140">
        <v>0</v>
      </c>
      <c r="L223" s="140">
        <v>110.56</v>
      </c>
    </row>
    <row r="224" spans="1:12" x14ac:dyDescent="0.3">
      <c r="A224" s="139" t="s">
        <v>939</v>
      </c>
      <c r="B224" s="17" t="s">
        <v>940</v>
      </c>
      <c r="C224" s="140">
        <v>0</v>
      </c>
      <c r="D224" s="140">
        <v>0</v>
      </c>
      <c r="E224" s="140">
        <v>0</v>
      </c>
      <c r="F224" s="140">
        <v>8376.81</v>
      </c>
      <c r="G224" s="140">
        <v>0</v>
      </c>
      <c r="H224" s="140">
        <v>0</v>
      </c>
      <c r="I224" s="140">
        <v>0</v>
      </c>
      <c r="J224" s="140">
        <v>8376.81</v>
      </c>
      <c r="K224" s="140">
        <v>0</v>
      </c>
      <c r="L224" s="140">
        <v>8376.81</v>
      </c>
    </row>
    <row r="225" spans="1:12" x14ac:dyDescent="0.3">
      <c r="A225" s="139" t="s">
        <v>941</v>
      </c>
      <c r="B225" s="17" t="s">
        <v>877</v>
      </c>
      <c r="C225" s="140">
        <v>0</v>
      </c>
      <c r="D225" s="140">
        <v>0</v>
      </c>
      <c r="E225" s="140">
        <v>0</v>
      </c>
      <c r="F225" s="140">
        <v>0.19</v>
      </c>
      <c r="G225" s="140">
        <v>0</v>
      </c>
      <c r="H225" s="140">
        <v>0</v>
      </c>
      <c r="I225" s="140">
        <v>0</v>
      </c>
      <c r="J225" s="140">
        <v>0.19</v>
      </c>
      <c r="K225" s="140">
        <v>0</v>
      </c>
      <c r="L225" s="140">
        <v>0.19</v>
      </c>
    </row>
    <row r="226" spans="1:12" x14ac:dyDescent="0.3">
      <c r="A226" s="139" t="s">
        <v>942</v>
      </c>
      <c r="B226" s="17" t="s">
        <v>943</v>
      </c>
      <c r="C226" s="140">
        <v>0</v>
      </c>
      <c r="D226" s="140">
        <v>0</v>
      </c>
      <c r="E226" s="140">
        <v>0</v>
      </c>
      <c r="F226" s="140">
        <v>10</v>
      </c>
      <c r="G226" s="140">
        <v>0</v>
      </c>
      <c r="H226" s="140">
        <v>34.22</v>
      </c>
      <c r="I226" s="140">
        <v>0</v>
      </c>
      <c r="J226" s="140">
        <v>44.22</v>
      </c>
      <c r="K226" s="140">
        <v>0</v>
      </c>
      <c r="L226" s="140">
        <v>44.22</v>
      </c>
    </row>
    <row r="227" spans="1:12" x14ac:dyDescent="0.3">
      <c r="A227" s="139" t="s">
        <v>944</v>
      </c>
      <c r="B227" s="17" t="s">
        <v>945</v>
      </c>
      <c r="C227" s="140">
        <v>0</v>
      </c>
      <c r="D227" s="140">
        <v>0</v>
      </c>
      <c r="E227" s="140">
        <v>0</v>
      </c>
      <c r="F227" s="140">
        <v>0</v>
      </c>
      <c r="G227" s="140">
        <v>0</v>
      </c>
      <c r="H227" s="140">
        <v>0</v>
      </c>
      <c r="I227" s="140">
        <v>0</v>
      </c>
      <c r="J227" s="140">
        <v>0</v>
      </c>
      <c r="K227" s="140">
        <v>0</v>
      </c>
      <c r="L227" s="140">
        <v>0</v>
      </c>
    </row>
    <row r="228" spans="1:12" x14ac:dyDescent="0.3">
      <c r="A228" s="139" t="s">
        <v>946</v>
      </c>
      <c r="B228" s="17" t="s">
        <v>947</v>
      </c>
      <c r="C228" s="140">
        <v>0</v>
      </c>
      <c r="D228" s="140">
        <v>0</v>
      </c>
      <c r="E228" s="140">
        <v>0</v>
      </c>
      <c r="F228" s="140">
        <v>616.25</v>
      </c>
      <c r="G228" s="140">
        <v>0</v>
      </c>
      <c r="H228" s="140">
        <v>0.22</v>
      </c>
      <c r="I228" s="140">
        <v>0</v>
      </c>
      <c r="J228" s="140">
        <v>616.47</v>
      </c>
      <c r="K228" s="140">
        <v>0</v>
      </c>
      <c r="L228" s="140">
        <v>616.47</v>
      </c>
    </row>
    <row r="229" spans="1:12" x14ac:dyDescent="0.3">
      <c r="A229" s="139" t="s">
        <v>948</v>
      </c>
      <c r="B229" s="17" t="s">
        <v>949</v>
      </c>
      <c r="C229" s="140">
        <v>0</v>
      </c>
      <c r="D229" s="140">
        <v>0</v>
      </c>
      <c r="E229" s="140">
        <v>0</v>
      </c>
      <c r="F229" s="140">
        <v>0</v>
      </c>
      <c r="G229" s="140">
        <v>0</v>
      </c>
      <c r="H229" s="140">
        <v>0</v>
      </c>
      <c r="I229" s="140">
        <v>0</v>
      </c>
      <c r="J229" s="140">
        <v>0</v>
      </c>
      <c r="K229" s="140">
        <v>0</v>
      </c>
      <c r="L229" s="140">
        <v>0</v>
      </c>
    </row>
    <row r="230" spans="1:12" x14ac:dyDescent="0.3">
      <c r="A230" s="139" t="s">
        <v>950</v>
      </c>
      <c r="B230" s="17" t="s">
        <v>951</v>
      </c>
      <c r="C230" s="140">
        <v>0</v>
      </c>
      <c r="D230" s="140">
        <v>0</v>
      </c>
      <c r="E230" s="140">
        <v>0</v>
      </c>
      <c r="F230" s="140">
        <v>0</v>
      </c>
      <c r="G230" s="140">
        <v>0</v>
      </c>
      <c r="H230" s="140">
        <v>473.2</v>
      </c>
      <c r="I230" s="140">
        <v>0</v>
      </c>
      <c r="J230" s="140">
        <v>473.2</v>
      </c>
      <c r="K230" s="140">
        <v>0</v>
      </c>
      <c r="L230" s="140">
        <v>473.2</v>
      </c>
    </row>
    <row r="231" spans="1:12" x14ac:dyDescent="0.3">
      <c r="A231" s="139" t="s">
        <v>952</v>
      </c>
      <c r="B231" s="17" t="s">
        <v>903</v>
      </c>
      <c r="C231" s="140">
        <v>0</v>
      </c>
      <c r="D231" s="140">
        <v>0</v>
      </c>
      <c r="E231" s="140">
        <v>0</v>
      </c>
      <c r="F231" s="140">
        <v>702.45</v>
      </c>
      <c r="G231" s="140">
        <v>0</v>
      </c>
      <c r="H231" s="140">
        <v>89.97</v>
      </c>
      <c r="I231" s="140">
        <v>0</v>
      </c>
      <c r="J231" s="140">
        <v>792.42000000000007</v>
      </c>
      <c r="K231" s="140">
        <v>0</v>
      </c>
      <c r="L231" s="140">
        <v>792.42000000000007</v>
      </c>
    </row>
    <row r="232" spans="1:12" x14ac:dyDescent="0.3">
      <c r="A232" s="139" t="s">
        <v>953</v>
      </c>
      <c r="B232" s="17" t="s">
        <v>954</v>
      </c>
      <c r="C232" s="140">
        <v>20</v>
      </c>
      <c r="D232" s="140">
        <v>0</v>
      </c>
      <c r="E232" s="140">
        <v>20</v>
      </c>
      <c r="F232" s="140">
        <v>0</v>
      </c>
      <c r="G232" s="140">
        <v>-20</v>
      </c>
      <c r="H232" s="140">
        <v>0</v>
      </c>
      <c r="I232" s="140">
        <v>-20</v>
      </c>
      <c r="J232" s="140">
        <v>0</v>
      </c>
      <c r="K232" s="140">
        <v>0</v>
      </c>
      <c r="L232" s="140">
        <v>0</v>
      </c>
    </row>
    <row r="233" spans="1:12" x14ac:dyDescent="0.3">
      <c r="A233" s="139" t="s">
        <v>955</v>
      </c>
      <c r="B233" s="17" t="s">
        <v>956</v>
      </c>
      <c r="C233" s="140">
        <v>-20</v>
      </c>
      <c r="D233" s="140">
        <v>0</v>
      </c>
      <c r="E233" s="140">
        <v>-20</v>
      </c>
      <c r="F233" s="140">
        <v>0</v>
      </c>
      <c r="G233" s="140">
        <v>0</v>
      </c>
      <c r="H233" s="140">
        <v>-20</v>
      </c>
      <c r="I233" s="140">
        <v>0</v>
      </c>
      <c r="J233" s="140">
        <v>-20</v>
      </c>
      <c r="K233" s="140">
        <v>0</v>
      </c>
      <c r="L233" s="140">
        <v>0</v>
      </c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L124"/>
  <sheetViews>
    <sheetView workbookViewId="0">
      <selection activeCell="B2" sqref="B2"/>
    </sheetView>
  </sheetViews>
  <sheetFormatPr defaultColWidth="9.109375" defaultRowHeight="14.4" x14ac:dyDescent="0.3"/>
  <cols>
    <col min="1" max="1" width="16.109375" style="139" customWidth="1"/>
    <col min="2" max="2" width="46.6640625" style="17" customWidth="1"/>
    <col min="3" max="3" width="15.33203125" style="140" customWidth="1"/>
    <col min="4" max="4" width="15.33203125" style="140" bestFit="1" customWidth="1"/>
    <col min="5" max="5" width="15.109375" style="140" customWidth="1"/>
    <col min="6" max="7" width="15.33203125" style="140" bestFit="1" customWidth="1"/>
    <col min="8" max="8" width="15.33203125" style="140" customWidth="1"/>
    <col min="9" max="11" width="15.33203125" style="140" bestFit="1" customWidth="1"/>
    <col min="12" max="12" width="14.88671875" style="140" customWidth="1"/>
  </cols>
  <sheetData>
    <row r="1" spans="1:12" ht="20.399999999999999" x14ac:dyDescent="0.3">
      <c r="A1" s="144" t="s">
        <v>390</v>
      </c>
      <c r="B1" s="145" t="s">
        <v>391</v>
      </c>
      <c r="C1" s="146" t="s">
        <v>370</v>
      </c>
      <c r="D1" s="146" t="s">
        <v>371</v>
      </c>
      <c r="E1" s="146" t="s">
        <v>372</v>
      </c>
      <c r="F1" s="146" t="s">
        <v>373</v>
      </c>
      <c r="G1" s="146" t="s">
        <v>374</v>
      </c>
      <c r="H1" s="146" t="s">
        <v>375</v>
      </c>
      <c r="I1" s="146" t="s">
        <v>376</v>
      </c>
      <c r="J1" s="146" t="s">
        <v>377</v>
      </c>
      <c r="K1" s="146" t="s">
        <v>378</v>
      </c>
      <c r="L1" s="146" t="s">
        <v>379</v>
      </c>
    </row>
    <row r="2" spans="1:12" x14ac:dyDescent="0.3">
      <c r="A2" s="136" t="s">
        <v>975</v>
      </c>
      <c r="B2" s="137" t="s">
        <v>447</v>
      </c>
      <c r="C2" s="138">
        <v>948</v>
      </c>
      <c r="D2" s="138">
        <v>0</v>
      </c>
      <c r="E2" s="138">
        <v>948</v>
      </c>
      <c r="F2" s="138">
        <v>0</v>
      </c>
      <c r="G2" s="138">
        <v>0</v>
      </c>
      <c r="H2" s="138">
        <v>0</v>
      </c>
      <c r="I2" s="138">
        <v>0</v>
      </c>
      <c r="J2" s="138">
        <v>0</v>
      </c>
      <c r="K2" s="138">
        <v>948</v>
      </c>
      <c r="L2" s="138">
        <v>0</v>
      </c>
    </row>
    <row r="3" spans="1:12" x14ac:dyDescent="0.3">
      <c r="A3" s="136" t="s">
        <v>976</v>
      </c>
      <c r="B3" s="137" t="s">
        <v>30</v>
      </c>
      <c r="C3" s="138">
        <v>30856.080000000002</v>
      </c>
      <c r="D3" s="138">
        <v>0</v>
      </c>
      <c r="E3" s="138">
        <v>30856.080000000002</v>
      </c>
      <c r="F3" s="138">
        <v>0</v>
      </c>
      <c r="G3" s="138">
        <v>0</v>
      </c>
      <c r="H3" s="138">
        <v>0</v>
      </c>
      <c r="I3" s="138">
        <v>0</v>
      </c>
      <c r="J3" s="138">
        <v>0</v>
      </c>
      <c r="K3" s="138">
        <v>30856.080000000002</v>
      </c>
      <c r="L3" s="138">
        <v>0</v>
      </c>
    </row>
    <row r="4" spans="1:12" x14ac:dyDescent="0.3">
      <c r="A4" s="136" t="s">
        <v>977</v>
      </c>
      <c r="B4" s="137" t="s">
        <v>978</v>
      </c>
      <c r="C4" s="138">
        <v>0</v>
      </c>
      <c r="D4" s="138">
        <v>0</v>
      </c>
      <c r="E4" s="138">
        <v>0</v>
      </c>
      <c r="F4" s="138">
        <v>0</v>
      </c>
      <c r="G4" s="138">
        <v>13293</v>
      </c>
      <c r="H4" s="138">
        <v>0</v>
      </c>
      <c r="I4" s="138">
        <v>13293</v>
      </c>
      <c r="J4" s="138">
        <v>0</v>
      </c>
      <c r="K4" s="138">
        <v>13293</v>
      </c>
      <c r="L4" s="138">
        <v>0</v>
      </c>
    </row>
    <row r="5" spans="1:12" x14ac:dyDescent="0.3">
      <c r="A5" s="136" t="s">
        <v>979</v>
      </c>
      <c r="B5" s="137" t="s">
        <v>980</v>
      </c>
      <c r="C5" s="138">
        <v>10750.58</v>
      </c>
      <c r="D5" s="138">
        <v>0</v>
      </c>
      <c r="E5" s="138">
        <v>10422.380000000001</v>
      </c>
      <c r="F5" s="138">
        <v>0</v>
      </c>
      <c r="G5" s="138">
        <v>0</v>
      </c>
      <c r="H5" s="138">
        <v>0</v>
      </c>
      <c r="I5" s="138">
        <v>1944</v>
      </c>
      <c r="J5" s="138">
        <v>2272.2000000000003</v>
      </c>
      <c r="K5" s="138">
        <v>10422.380000000001</v>
      </c>
      <c r="L5" s="138">
        <v>0</v>
      </c>
    </row>
    <row r="6" spans="1:12" x14ac:dyDescent="0.3">
      <c r="A6" s="136" t="s">
        <v>982</v>
      </c>
      <c r="B6" s="137" t="s">
        <v>465</v>
      </c>
      <c r="C6" s="138">
        <v>0</v>
      </c>
      <c r="D6" s="138">
        <v>0</v>
      </c>
      <c r="E6" s="138">
        <v>0</v>
      </c>
      <c r="F6" s="138">
        <v>0</v>
      </c>
      <c r="G6" s="138">
        <v>13858.470000000001</v>
      </c>
      <c r="H6" s="138">
        <v>13293</v>
      </c>
      <c r="I6" s="138">
        <v>15802.470000000001</v>
      </c>
      <c r="J6" s="138">
        <v>15237</v>
      </c>
      <c r="K6" s="138">
        <v>565.47</v>
      </c>
      <c r="L6" s="138">
        <v>0</v>
      </c>
    </row>
    <row r="7" spans="1:12" x14ac:dyDescent="0.3">
      <c r="A7" s="136" t="s">
        <v>983</v>
      </c>
      <c r="B7" s="137" t="s">
        <v>467</v>
      </c>
      <c r="C7" s="138">
        <v>0</v>
      </c>
      <c r="D7" s="138">
        <v>948</v>
      </c>
      <c r="E7" s="138">
        <v>0</v>
      </c>
      <c r="F7" s="138">
        <v>948</v>
      </c>
      <c r="G7" s="138">
        <v>0</v>
      </c>
      <c r="H7" s="138">
        <v>0</v>
      </c>
      <c r="I7" s="138">
        <v>0</v>
      </c>
      <c r="J7" s="138">
        <v>0</v>
      </c>
      <c r="K7" s="138">
        <v>0</v>
      </c>
      <c r="L7" s="138">
        <v>948</v>
      </c>
    </row>
    <row r="8" spans="1:12" x14ac:dyDescent="0.3">
      <c r="A8" s="136" t="s">
        <v>984</v>
      </c>
      <c r="B8" s="137" t="s">
        <v>985</v>
      </c>
      <c r="C8" s="138">
        <v>0</v>
      </c>
      <c r="D8" s="138">
        <v>11057.02</v>
      </c>
      <c r="E8" s="138">
        <v>0</v>
      </c>
      <c r="F8" s="138">
        <v>12471.29</v>
      </c>
      <c r="G8" s="138">
        <v>0</v>
      </c>
      <c r="H8" s="138">
        <v>128.57</v>
      </c>
      <c r="I8" s="138">
        <v>0</v>
      </c>
      <c r="J8" s="138">
        <v>1542.8400000000001</v>
      </c>
      <c r="K8" s="138">
        <v>0</v>
      </c>
      <c r="L8" s="138">
        <v>12599.86</v>
      </c>
    </row>
    <row r="9" spans="1:12" x14ac:dyDescent="0.3">
      <c r="A9" s="136" t="s">
        <v>986</v>
      </c>
      <c r="B9" s="137" t="s">
        <v>987</v>
      </c>
      <c r="C9" s="138">
        <v>0</v>
      </c>
      <c r="D9" s="138">
        <v>0</v>
      </c>
      <c r="E9" s="138">
        <v>0</v>
      </c>
      <c r="F9" s="138">
        <v>0</v>
      </c>
      <c r="G9" s="138">
        <v>0</v>
      </c>
      <c r="H9" s="138">
        <v>184.63</v>
      </c>
      <c r="I9" s="138">
        <v>0</v>
      </c>
      <c r="J9" s="138">
        <v>184.63</v>
      </c>
      <c r="K9" s="138">
        <v>0</v>
      </c>
      <c r="L9" s="138">
        <v>184.63</v>
      </c>
    </row>
    <row r="10" spans="1:12" x14ac:dyDescent="0.3">
      <c r="A10" s="136" t="s">
        <v>988</v>
      </c>
      <c r="B10" s="137" t="s">
        <v>989</v>
      </c>
      <c r="C10" s="138">
        <v>0</v>
      </c>
      <c r="D10" s="138">
        <v>8926.0400000000009</v>
      </c>
      <c r="E10" s="138">
        <v>0</v>
      </c>
      <c r="F10" s="138">
        <v>8061.54</v>
      </c>
      <c r="G10" s="138">
        <v>0</v>
      </c>
      <c r="H10" s="138">
        <v>414.93</v>
      </c>
      <c r="I10" s="138">
        <v>2272.2000000000003</v>
      </c>
      <c r="J10" s="138">
        <v>1822.63</v>
      </c>
      <c r="K10" s="138">
        <v>0</v>
      </c>
      <c r="L10" s="138">
        <v>8476.4699999999993</v>
      </c>
    </row>
    <row r="11" spans="1:12" x14ac:dyDescent="0.3">
      <c r="A11" s="136" t="s">
        <v>990</v>
      </c>
      <c r="B11" s="137" t="s">
        <v>483</v>
      </c>
      <c r="C11" s="138">
        <v>0</v>
      </c>
      <c r="D11" s="138">
        <v>0</v>
      </c>
      <c r="E11" s="138">
        <v>10.450000000000001</v>
      </c>
      <c r="F11" s="138">
        <v>0</v>
      </c>
      <c r="G11" s="138">
        <v>40243.68</v>
      </c>
      <c r="H11" s="138">
        <v>40254.129999999997</v>
      </c>
      <c r="I11" s="138">
        <v>399954.73</v>
      </c>
      <c r="J11" s="138">
        <v>399954.73</v>
      </c>
      <c r="K11" s="138">
        <v>0</v>
      </c>
      <c r="L11" s="138">
        <v>0</v>
      </c>
    </row>
    <row r="12" spans="1:12" x14ac:dyDescent="0.3">
      <c r="A12" s="136" t="s">
        <v>991</v>
      </c>
      <c r="B12" s="137" t="s">
        <v>992</v>
      </c>
      <c r="C12" s="138">
        <v>56104.35</v>
      </c>
      <c r="D12" s="138">
        <v>0</v>
      </c>
      <c r="E12" s="138">
        <v>51175.83</v>
      </c>
      <c r="F12" s="138">
        <v>0</v>
      </c>
      <c r="G12" s="138">
        <v>40263.629999999997</v>
      </c>
      <c r="H12" s="138">
        <v>39447.19</v>
      </c>
      <c r="I12" s="138">
        <v>401446.67</v>
      </c>
      <c r="J12" s="138">
        <v>405558.75</v>
      </c>
      <c r="K12" s="138">
        <v>51992.270000000004</v>
      </c>
      <c r="L12" s="138">
        <v>0</v>
      </c>
    </row>
    <row r="13" spans="1:12" x14ac:dyDescent="0.3">
      <c r="A13" s="136" t="s">
        <v>993</v>
      </c>
      <c r="B13" s="137" t="s">
        <v>489</v>
      </c>
      <c r="C13" s="138">
        <v>0</v>
      </c>
      <c r="D13" s="138">
        <v>0</v>
      </c>
      <c r="E13" s="138">
        <v>877.83</v>
      </c>
      <c r="F13" s="138">
        <v>0</v>
      </c>
      <c r="G13" s="138">
        <v>0</v>
      </c>
      <c r="H13" s="138">
        <v>877.83</v>
      </c>
      <c r="I13" s="138">
        <v>12534.68</v>
      </c>
      <c r="J13" s="138">
        <v>12534.68</v>
      </c>
      <c r="K13" s="138">
        <v>0</v>
      </c>
      <c r="L13" s="138">
        <v>0</v>
      </c>
    </row>
    <row r="14" spans="1:12" x14ac:dyDescent="0.3">
      <c r="A14" s="136" t="s">
        <v>994</v>
      </c>
      <c r="B14" s="137" t="s">
        <v>491</v>
      </c>
      <c r="C14" s="138">
        <v>0</v>
      </c>
      <c r="D14" s="138">
        <v>1989.5800000000002</v>
      </c>
      <c r="E14" s="138">
        <v>0</v>
      </c>
      <c r="F14" s="138">
        <v>1899.95</v>
      </c>
      <c r="G14" s="138">
        <v>146.26</v>
      </c>
      <c r="H14" s="138">
        <v>276.43</v>
      </c>
      <c r="I14" s="138">
        <v>1258.45</v>
      </c>
      <c r="J14" s="138">
        <v>1298.99</v>
      </c>
      <c r="K14" s="138">
        <v>0</v>
      </c>
      <c r="L14" s="138">
        <v>2030.1200000000001</v>
      </c>
    </row>
    <row r="15" spans="1:12" x14ac:dyDescent="0.3">
      <c r="A15" s="136" t="s">
        <v>995</v>
      </c>
      <c r="B15" s="137" t="s">
        <v>996</v>
      </c>
      <c r="C15" s="138">
        <v>772.78</v>
      </c>
      <c r="D15" s="138">
        <v>0</v>
      </c>
      <c r="E15" s="138">
        <v>3319.9500000000003</v>
      </c>
      <c r="F15" s="138">
        <v>0</v>
      </c>
      <c r="G15" s="138">
        <v>24528.47</v>
      </c>
      <c r="H15" s="138">
        <v>26490.690000000002</v>
      </c>
      <c r="I15" s="138">
        <v>230855.46</v>
      </c>
      <c r="J15" s="138">
        <v>230270.51</v>
      </c>
      <c r="K15" s="138">
        <v>1357.73</v>
      </c>
      <c r="L15" s="138">
        <v>0</v>
      </c>
    </row>
    <row r="16" spans="1:12" x14ac:dyDescent="0.3">
      <c r="A16" s="136" t="s">
        <v>997</v>
      </c>
      <c r="B16" s="137" t="s">
        <v>998</v>
      </c>
      <c r="C16" s="138">
        <v>0</v>
      </c>
      <c r="D16" s="138">
        <v>0</v>
      </c>
      <c r="E16" s="138">
        <v>0</v>
      </c>
      <c r="F16" s="138">
        <v>0</v>
      </c>
      <c r="G16" s="138">
        <v>159.9</v>
      </c>
      <c r="H16" s="138">
        <v>159.9</v>
      </c>
      <c r="I16" s="138">
        <v>1723.8</v>
      </c>
      <c r="J16" s="138">
        <v>1723.8</v>
      </c>
      <c r="K16" s="138">
        <v>0</v>
      </c>
      <c r="L16" s="138">
        <v>0</v>
      </c>
    </row>
    <row r="17" spans="1:12" x14ac:dyDescent="0.3">
      <c r="A17" s="136" t="s">
        <v>999</v>
      </c>
      <c r="B17" s="137" t="s">
        <v>1000</v>
      </c>
      <c r="C17" s="138">
        <v>0</v>
      </c>
      <c r="D17" s="138">
        <v>0</v>
      </c>
      <c r="E17" s="138">
        <v>0</v>
      </c>
      <c r="F17" s="138">
        <v>0</v>
      </c>
      <c r="G17" s="138">
        <v>82165.25</v>
      </c>
      <c r="H17" s="138">
        <v>82165.25</v>
      </c>
      <c r="I17" s="138">
        <v>955364.01</v>
      </c>
      <c r="J17" s="138">
        <v>955364.01</v>
      </c>
      <c r="K17" s="138">
        <v>0</v>
      </c>
      <c r="L17" s="138">
        <v>0</v>
      </c>
    </row>
    <row r="18" spans="1:12" x14ac:dyDescent="0.3">
      <c r="A18" s="136" t="s">
        <v>1001</v>
      </c>
      <c r="B18" s="137" t="s">
        <v>1002</v>
      </c>
      <c r="C18" s="138">
        <v>0</v>
      </c>
      <c r="D18" s="138">
        <v>0</v>
      </c>
      <c r="E18" s="138">
        <v>0</v>
      </c>
      <c r="F18" s="138">
        <v>0</v>
      </c>
      <c r="G18" s="138">
        <v>15198.7</v>
      </c>
      <c r="H18" s="138">
        <v>15198.7</v>
      </c>
      <c r="I18" s="138">
        <v>129997.95</v>
      </c>
      <c r="J18" s="138">
        <v>129997.95</v>
      </c>
      <c r="K18" s="138">
        <v>0</v>
      </c>
      <c r="L18" s="138">
        <v>0</v>
      </c>
    </row>
    <row r="19" spans="1:12" x14ac:dyDescent="0.3">
      <c r="A19" s="136" t="s">
        <v>1003</v>
      </c>
      <c r="B19" s="137" t="s">
        <v>503</v>
      </c>
      <c r="C19" s="138">
        <v>42464.71</v>
      </c>
      <c r="D19" s="138">
        <v>0</v>
      </c>
      <c r="E19" s="138">
        <v>25994.27</v>
      </c>
      <c r="F19" s="138">
        <v>0</v>
      </c>
      <c r="G19" s="138">
        <v>26800.7</v>
      </c>
      <c r="H19" s="138">
        <v>22939.920000000002</v>
      </c>
      <c r="I19" s="138">
        <v>294089.3</v>
      </c>
      <c r="J19" s="138">
        <v>306698.96000000002</v>
      </c>
      <c r="K19" s="138">
        <v>29855.05</v>
      </c>
      <c r="L19" s="138">
        <v>0</v>
      </c>
    </row>
    <row r="20" spans="1:12" x14ac:dyDescent="0.3">
      <c r="A20" s="136" t="s">
        <v>1004</v>
      </c>
      <c r="B20" s="137" t="s">
        <v>1005</v>
      </c>
      <c r="C20" s="138">
        <v>8641.61</v>
      </c>
      <c r="D20" s="138">
        <v>0</v>
      </c>
      <c r="E20" s="138">
        <v>10104.719999999999</v>
      </c>
      <c r="F20" s="138">
        <v>0</v>
      </c>
      <c r="G20" s="138">
        <v>12573.54</v>
      </c>
      <c r="H20" s="138">
        <v>11608.37</v>
      </c>
      <c r="I20" s="138">
        <v>110914.79000000001</v>
      </c>
      <c r="J20" s="138">
        <v>108486.51000000001</v>
      </c>
      <c r="K20" s="138">
        <v>11069.89</v>
      </c>
      <c r="L20" s="138">
        <v>0</v>
      </c>
    </row>
    <row r="21" spans="1:12" x14ac:dyDescent="0.3">
      <c r="A21" s="136" t="s">
        <v>1006</v>
      </c>
      <c r="B21" s="137" t="s">
        <v>541</v>
      </c>
      <c r="C21" s="138">
        <v>0</v>
      </c>
      <c r="D21" s="138">
        <v>90168.960000000006</v>
      </c>
      <c r="E21" s="138">
        <v>0</v>
      </c>
      <c r="F21" s="138">
        <v>100645.32</v>
      </c>
      <c r="G21" s="138">
        <v>54819.03</v>
      </c>
      <c r="H21" s="138">
        <v>67334.44</v>
      </c>
      <c r="I21" s="138">
        <v>474072.89</v>
      </c>
      <c r="J21" s="138">
        <v>497064.66000000003</v>
      </c>
      <c r="K21" s="138">
        <v>0</v>
      </c>
      <c r="L21" s="138">
        <v>113160.73</v>
      </c>
    </row>
    <row r="22" spans="1:12" x14ac:dyDescent="0.3">
      <c r="A22" s="136" t="s">
        <v>1007</v>
      </c>
      <c r="B22" s="137" t="s">
        <v>1008</v>
      </c>
      <c r="C22" s="138">
        <v>0</v>
      </c>
      <c r="D22" s="138">
        <v>4863.12</v>
      </c>
      <c r="E22" s="138">
        <v>0</v>
      </c>
      <c r="F22" s="138">
        <v>3664.9500000000003</v>
      </c>
      <c r="G22" s="138">
        <v>5261.8</v>
      </c>
      <c r="H22" s="138">
        <v>7865.63</v>
      </c>
      <c r="I22" s="138">
        <v>8861.4500000000007</v>
      </c>
      <c r="J22" s="138">
        <v>10267.11</v>
      </c>
      <c r="K22" s="138">
        <v>0</v>
      </c>
      <c r="L22" s="138">
        <v>6268.78</v>
      </c>
    </row>
    <row r="23" spans="1:12" x14ac:dyDescent="0.3">
      <c r="A23" s="136" t="s">
        <v>1009</v>
      </c>
      <c r="B23" s="137" t="s">
        <v>567</v>
      </c>
      <c r="C23" s="138">
        <v>0</v>
      </c>
      <c r="D23" s="138">
        <v>0</v>
      </c>
      <c r="E23" s="138">
        <v>0</v>
      </c>
      <c r="F23" s="138">
        <v>54.86</v>
      </c>
      <c r="G23" s="138">
        <v>1687.68</v>
      </c>
      <c r="H23" s="138">
        <v>1699.22</v>
      </c>
      <c r="I23" s="138">
        <v>16541.939999999999</v>
      </c>
      <c r="J23" s="138">
        <v>16608.34</v>
      </c>
      <c r="K23" s="138">
        <v>0</v>
      </c>
      <c r="L23" s="138">
        <v>66.400000000000006</v>
      </c>
    </row>
    <row r="24" spans="1:12" x14ac:dyDescent="0.3">
      <c r="A24" s="136" t="s">
        <v>1010</v>
      </c>
      <c r="B24" s="137" t="s">
        <v>571</v>
      </c>
      <c r="C24" s="138">
        <v>0</v>
      </c>
      <c r="D24" s="138">
        <v>58.97</v>
      </c>
      <c r="E24" s="138">
        <v>0</v>
      </c>
      <c r="F24" s="138">
        <v>90</v>
      </c>
      <c r="G24" s="138">
        <v>1084.92</v>
      </c>
      <c r="H24" s="138">
        <v>1181.3</v>
      </c>
      <c r="I24" s="138">
        <v>1907.73</v>
      </c>
      <c r="J24" s="138">
        <v>2035.14</v>
      </c>
      <c r="K24" s="138">
        <v>0</v>
      </c>
      <c r="L24" s="138">
        <v>186.38</v>
      </c>
    </row>
    <row r="25" spans="1:12" x14ac:dyDescent="0.3">
      <c r="A25" s="136" t="s">
        <v>1011</v>
      </c>
      <c r="B25" s="137" t="s">
        <v>575</v>
      </c>
      <c r="C25" s="138">
        <v>0</v>
      </c>
      <c r="D25" s="138">
        <v>2323.4</v>
      </c>
      <c r="E25" s="138">
        <v>0</v>
      </c>
      <c r="F25" s="138">
        <v>2346.33</v>
      </c>
      <c r="G25" s="138">
        <v>3400.41</v>
      </c>
      <c r="H25" s="138">
        <v>3591.66</v>
      </c>
      <c r="I25" s="138">
        <v>38800.99</v>
      </c>
      <c r="J25" s="138">
        <v>39015.17</v>
      </c>
      <c r="K25" s="138">
        <v>0</v>
      </c>
      <c r="L25" s="138">
        <v>2537.58</v>
      </c>
    </row>
    <row r="26" spans="1:12" x14ac:dyDescent="0.3">
      <c r="A26" s="136" t="s">
        <v>1012</v>
      </c>
      <c r="B26" s="137" t="s">
        <v>577</v>
      </c>
      <c r="C26" s="138">
        <v>0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130</v>
      </c>
      <c r="J26" s="138">
        <v>130</v>
      </c>
      <c r="K26" s="138">
        <v>0</v>
      </c>
      <c r="L26" s="138">
        <v>0</v>
      </c>
    </row>
    <row r="27" spans="1:12" x14ac:dyDescent="0.3">
      <c r="A27" s="136" t="s">
        <v>1013</v>
      </c>
      <c r="B27" s="137" t="s">
        <v>583</v>
      </c>
      <c r="C27" s="138">
        <v>0</v>
      </c>
      <c r="D27" s="138">
        <v>0</v>
      </c>
      <c r="E27" s="138">
        <v>0</v>
      </c>
      <c r="F27" s="138">
        <v>0</v>
      </c>
      <c r="G27" s="138">
        <v>53.300000000000004</v>
      </c>
      <c r="H27" s="138">
        <v>53.300000000000004</v>
      </c>
      <c r="I27" s="138">
        <v>660.6</v>
      </c>
      <c r="J27" s="138">
        <v>660.6</v>
      </c>
      <c r="K27" s="138">
        <v>0</v>
      </c>
      <c r="L27" s="138">
        <v>0</v>
      </c>
    </row>
    <row r="28" spans="1:12" x14ac:dyDescent="0.3">
      <c r="A28" s="136" t="s">
        <v>1014</v>
      </c>
      <c r="B28" s="137" t="s">
        <v>1015</v>
      </c>
      <c r="C28" s="138">
        <v>0</v>
      </c>
      <c r="D28" s="138">
        <v>1548.78</v>
      </c>
      <c r="E28" s="138">
        <v>0</v>
      </c>
      <c r="F28" s="138">
        <v>1670.77</v>
      </c>
      <c r="G28" s="138">
        <v>1670.77</v>
      </c>
      <c r="H28" s="138">
        <v>1745.4</v>
      </c>
      <c r="I28" s="138">
        <v>18618.990000000002</v>
      </c>
      <c r="J28" s="138">
        <v>18815.61</v>
      </c>
      <c r="K28" s="138">
        <v>0</v>
      </c>
      <c r="L28" s="138">
        <v>1745.4</v>
      </c>
    </row>
    <row r="29" spans="1:12" x14ac:dyDescent="0.3">
      <c r="A29" s="136" t="s">
        <v>1016</v>
      </c>
      <c r="B29" s="137" t="s">
        <v>1017</v>
      </c>
      <c r="C29" s="138">
        <v>-1315.01</v>
      </c>
      <c r="D29" s="138">
        <v>0</v>
      </c>
      <c r="E29" s="138">
        <v>0</v>
      </c>
      <c r="F29" s="138">
        <v>0</v>
      </c>
      <c r="G29" s="138">
        <v>0</v>
      </c>
      <c r="H29" s="138">
        <v>2764.16</v>
      </c>
      <c r="I29" s="138">
        <v>1315.01</v>
      </c>
      <c r="J29" s="138">
        <v>2764.16</v>
      </c>
      <c r="K29" s="138">
        <v>-2764.16</v>
      </c>
      <c r="L29" s="138">
        <v>0</v>
      </c>
    </row>
    <row r="30" spans="1:12" x14ac:dyDescent="0.3">
      <c r="A30" s="136" t="s">
        <v>1018</v>
      </c>
      <c r="B30" s="137" t="s">
        <v>1019</v>
      </c>
      <c r="C30" s="138">
        <v>0</v>
      </c>
      <c r="D30" s="138">
        <v>384.62</v>
      </c>
      <c r="E30" s="138">
        <v>0</v>
      </c>
      <c r="F30" s="138">
        <v>494.28000000000003</v>
      </c>
      <c r="G30" s="138">
        <v>494.28000000000003</v>
      </c>
      <c r="H30" s="138">
        <v>519.54999999999995</v>
      </c>
      <c r="I30" s="138">
        <v>5545.7300000000005</v>
      </c>
      <c r="J30" s="138">
        <v>5680.66</v>
      </c>
      <c r="K30" s="138">
        <v>0</v>
      </c>
      <c r="L30" s="138">
        <v>519.54999999999995</v>
      </c>
    </row>
    <row r="31" spans="1:12" x14ac:dyDescent="0.3">
      <c r="A31" s="136" t="s">
        <v>1020</v>
      </c>
      <c r="B31" s="137" t="s">
        <v>1021</v>
      </c>
      <c r="C31" s="138">
        <v>0</v>
      </c>
      <c r="D31" s="138">
        <v>0</v>
      </c>
      <c r="E31" s="138">
        <v>0</v>
      </c>
      <c r="F31" s="138">
        <v>0</v>
      </c>
      <c r="G31" s="138">
        <v>14343.06</v>
      </c>
      <c r="H31" s="138">
        <v>14343.06</v>
      </c>
      <c r="I31" s="138">
        <v>102679.89</v>
      </c>
      <c r="J31" s="138">
        <v>102679.89</v>
      </c>
      <c r="K31" s="138">
        <v>0</v>
      </c>
      <c r="L31" s="138">
        <v>0</v>
      </c>
    </row>
    <row r="32" spans="1:12" x14ac:dyDescent="0.3">
      <c r="A32" s="136" t="s">
        <v>1022</v>
      </c>
      <c r="B32" s="137" t="s">
        <v>603</v>
      </c>
      <c r="C32" s="138">
        <v>0</v>
      </c>
      <c r="D32" s="138">
        <v>0</v>
      </c>
      <c r="E32" s="138">
        <v>0</v>
      </c>
      <c r="F32" s="138">
        <v>0</v>
      </c>
      <c r="G32" s="138">
        <v>0</v>
      </c>
      <c r="H32" s="138">
        <v>0</v>
      </c>
      <c r="I32" s="138">
        <v>55.68</v>
      </c>
      <c r="J32" s="138">
        <v>55.68</v>
      </c>
      <c r="K32" s="138">
        <v>0</v>
      </c>
      <c r="L32" s="138">
        <v>0</v>
      </c>
    </row>
    <row r="33" spans="1:12" x14ac:dyDescent="0.3">
      <c r="A33" s="136" t="s">
        <v>1023</v>
      </c>
      <c r="B33" s="137" t="s">
        <v>1024</v>
      </c>
      <c r="C33" s="138">
        <v>0</v>
      </c>
      <c r="D33" s="138">
        <v>0</v>
      </c>
      <c r="E33" s="138">
        <v>0</v>
      </c>
      <c r="F33" s="138">
        <v>0</v>
      </c>
      <c r="G33" s="138">
        <v>473.2</v>
      </c>
      <c r="H33" s="138">
        <v>473.2</v>
      </c>
      <c r="I33" s="138">
        <v>473.2</v>
      </c>
      <c r="J33" s="138">
        <v>473.2</v>
      </c>
      <c r="K33" s="138">
        <v>0</v>
      </c>
      <c r="L33" s="138">
        <v>0</v>
      </c>
    </row>
    <row r="34" spans="1:12" x14ac:dyDescent="0.3">
      <c r="A34" s="136" t="s">
        <v>1025</v>
      </c>
      <c r="B34" s="137" t="s">
        <v>1026</v>
      </c>
      <c r="C34" s="138">
        <v>10742.960000000001</v>
      </c>
      <c r="D34" s="138">
        <v>0</v>
      </c>
      <c r="E34" s="138">
        <v>52740</v>
      </c>
      <c r="F34" s="138">
        <v>0</v>
      </c>
      <c r="G34" s="138">
        <v>89.97</v>
      </c>
      <c r="H34" s="138">
        <v>10369.380000000001</v>
      </c>
      <c r="I34" s="138">
        <v>60559.23</v>
      </c>
      <c r="J34" s="138">
        <v>28841.600000000002</v>
      </c>
      <c r="K34" s="138">
        <v>42460.590000000004</v>
      </c>
      <c r="L34" s="138">
        <v>0</v>
      </c>
    </row>
    <row r="35" spans="1:12" x14ac:dyDescent="0.3">
      <c r="A35" s="136" t="s">
        <v>1027</v>
      </c>
      <c r="B35" s="137" t="s">
        <v>1028</v>
      </c>
      <c r="C35" s="138">
        <v>0</v>
      </c>
      <c r="D35" s="138">
        <v>0</v>
      </c>
      <c r="E35" s="138">
        <v>0</v>
      </c>
      <c r="F35" s="138">
        <v>0</v>
      </c>
      <c r="G35" s="138">
        <v>31462.99</v>
      </c>
      <c r="H35" s="138">
        <v>31462.99</v>
      </c>
      <c r="I35" s="138">
        <v>446552.81</v>
      </c>
      <c r="J35" s="138">
        <v>446552.81</v>
      </c>
      <c r="K35" s="138">
        <v>0</v>
      </c>
      <c r="L35" s="138">
        <v>0</v>
      </c>
    </row>
    <row r="36" spans="1:12" x14ac:dyDescent="0.3">
      <c r="A36" s="136" t="s">
        <v>1029</v>
      </c>
      <c r="B36" s="137" t="s">
        <v>103</v>
      </c>
      <c r="C36" s="138">
        <v>0</v>
      </c>
      <c r="D36" s="138">
        <v>0</v>
      </c>
      <c r="E36" s="138">
        <v>-453.83</v>
      </c>
      <c r="F36" s="138">
        <v>0</v>
      </c>
      <c r="G36" s="138">
        <v>1918.23</v>
      </c>
      <c r="H36" s="138">
        <v>351.57</v>
      </c>
      <c r="I36" s="138">
        <v>28326.720000000001</v>
      </c>
      <c r="J36" s="138">
        <v>27213.89</v>
      </c>
      <c r="K36" s="138">
        <v>1112.83</v>
      </c>
      <c r="L36" s="138">
        <v>0</v>
      </c>
    </row>
    <row r="37" spans="1:12" x14ac:dyDescent="0.3">
      <c r="A37" s="136" t="s">
        <v>1030</v>
      </c>
      <c r="B37" s="137" t="s">
        <v>1031</v>
      </c>
      <c r="C37" s="138">
        <v>0</v>
      </c>
      <c r="D37" s="138">
        <v>1026.44</v>
      </c>
      <c r="E37" s="138">
        <v>0</v>
      </c>
      <c r="F37" s="138">
        <v>0</v>
      </c>
      <c r="G37" s="138">
        <v>0</v>
      </c>
      <c r="H37" s="138">
        <v>0</v>
      </c>
      <c r="I37" s="138">
        <v>4890.74</v>
      </c>
      <c r="J37" s="138">
        <v>3864.3</v>
      </c>
      <c r="K37" s="138">
        <v>0</v>
      </c>
      <c r="L37" s="138">
        <v>0</v>
      </c>
    </row>
    <row r="38" spans="1:12" x14ac:dyDescent="0.3">
      <c r="A38" s="136" t="s">
        <v>1032</v>
      </c>
      <c r="B38" s="137" t="s">
        <v>626</v>
      </c>
      <c r="C38" s="138">
        <v>330</v>
      </c>
      <c r="D38" s="138">
        <v>0</v>
      </c>
      <c r="E38" s="138">
        <v>330</v>
      </c>
      <c r="F38" s="138">
        <v>0</v>
      </c>
      <c r="G38" s="138">
        <v>42.18</v>
      </c>
      <c r="H38" s="138">
        <v>0</v>
      </c>
      <c r="I38" s="138">
        <v>372.18</v>
      </c>
      <c r="J38" s="138">
        <v>330</v>
      </c>
      <c r="K38" s="138">
        <v>372.18</v>
      </c>
      <c r="L38" s="138">
        <v>0</v>
      </c>
    </row>
    <row r="39" spans="1:12" x14ac:dyDescent="0.3">
      <c r="A39" s="136" t="s">
        <v>1033</v>
      </c>
      <c r="B39" s="137" t="s">
        <v>1034</v>
      </c>
      <c r="C39" s="138">
        <v>0</v>
      </c>
      <c r="D39" s="138">
        <v>0</v>
      </c>
      <c r="E39" s="138">
        <v>0</v>
      </c>
      <c r="F39" s="138">
        <v>351.57</v>
      </c>
      <c r="G39" s="138">
        <v>351.57</v>
      </c>
      <c r="H39" s="138">
        <v>169.47</v>
      </c>
      <c r="I39" s="138">
        <v>21911.279999999999</v>
      </c>
      <c r="J39" s="138">
        <v>22080.75</v>
      </c>
      <c r="K39" s="138">
        <v>0</v>
      </c>
      <c r="L39" s="138">
        <v>169.47</v>
      </c>
    </row>
    <row r="40" spans="1:12" x14ac:dyDescent="0.3">
      <c r="A40" s="136" t="s">
        <v>1035</v>
      </c>
      <c r="B40" s="137" t="s">
        <v>630</v>
      </c>
      <c r="C40" s="138">
        <v>0</v>
      </c>
      <c r="D40" s="138">
        <v>0</v>
      </c>
      <c r="E40" s="138">
        <v>0</v>
      </c>
      <c r="F40" s="138">
        <v>0</v>
      </c>
      <c r="G40" s="138">
        <v>53751.65</v>
      </c>
      <c r="H40" s="138">
        <v>53751.65</v>
      </c>
      <c r="I40" s="138">
        <v>553834.99</v>
      </c>
      <c r="J40" s="138">
        <v>553834.99</v>
      </c>
      <c r="K40" s="138">
        <v>0</v>
      </c>
      <c r="L40" s="138">
        <v>0</v>
      </c>
    </row>
    <row r="41" spans="1:12" x14ac:dyDescent="0.3">
      <c r="A41" s="136" t="s">
        <v>1036</v>
      </c>
      <c r="B41" s="137" t="s">
        <v>262</v>
      </c>
      <c r="C41" s="138">
        <v>0</v>
      </c>
      <c r="D41" s="138">
        <v>5000</v>
      </c>
      <c r="E41" s="138">
        <v>0</v>
      </c>
      <c r="F41" s="138">
        <v>5000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  <c r="L41" s="138">
        <v>5000</v>
      </c>
    </row>
    <row r="42" spans="1:12" x14ac:dyDescent="0.3">
      <c r="A42" s="136" t="s">
        <v>1037</v>
      </c>
      <c r="B42" s="137" t="s">
        <v>265</v>
      </c>
      <c r="C42" s="138">
        <v>0</v>
      </c>
      <c r="D42" s="138">
        <v>8000</v>
      </c>
      <c r="E42" s="138">
        <v>0</v>
      </c>
      <c r="F42" s="138">
        <v>8000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8000</v>
      </c>
    </row>
    <row r="43" spans="1:12" x14ac:dyDescent="0.3">
      <c r="A43" s="136" t="s">
        <v>1038</v>
      </c>
      <c r="B43" s="137" t="s">
        <v>268</v>
      </c>
      <c r="C43" s="138">
        <v>0</v>
      </c>
      <c r="D43" s="138">
        <v>500</v>
      </c>
      <c r="E43" s="138">
        <v>0</v>
      </c>
      <c r="F43" s="138">
        <v>500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500</v>
      </c>
    </row>
    <row r="44" spans="1:12" x14ac:dyDescent="0.3">
      <c r="A44" s="136" t="s">
        <v>1039</v>
      </c>
      <c r="B44" s="137" t="s">
        <v>271</v>
      </c>
      <c r="C44" s="138">
        <v>0</v>
      </c>
      <c r="D44" s="138">
        <v>19644.420000000002</v>
      </c>
      <c r="E44" s="138">
        <v>0</v>
      </c>
      <c r="F44" s="138">
        <v>24209.75</v>
      </c>
      <c r="G44" s="138">
        <v>0</v>
      </c>
      <c r="H44" s="138">
        <v>0</v>
      </c>
      <c r="I44" s="138">
        <v>0</v>
      </c>
      <c r="J44" s="138">
        <v>4565.33</v>
      </c>
      <c r="K44" s="138">
        <v>0</v>
      </c>
      <c r="L44" s="138">
        <v>24209.75</v>
      </c>
    </row>
    <row r="45" spans="1:12" x14ac:dyDescent="0.3">
      <c r="A45" s="136" t="s">
        <v>1040</v>
      </c>
      <c r="B45" s="137" t="s">
        <v>650</v>
      </c>
      <c r="C45" s="138">
        <v>0</v>
      </c>
      <c r="D45" s="138">
        <v>4565.33</v>
      </c>
      <c r="E45" s="138">
        <v>0</v>
      </c>
      <c r="F45" s="138">
        <v>0</v>
      </c>
      <c r="G45" s="138">
        <v>0</v>
      </c>
      <c r="H45" s="138">
        <v>0</v>
      </c>
      <c r="I45" s="138">
        <v>4565.33</v>
      </c>
      <c r="J45" s="138">
        <v>0</v>
      </c>
      <c r="K45" s="138">
        <v>0</v>
      </c>
      <c r="L45" s="138">
        <v>0</v>
      </c>
    </row>
    <row r="46" spans="1:12" x14ac:dyDescent="0.3">
      <c r="A46" s="136" t="s">
        <v>1041</v>
      </c>
      <c r="B46" s="137" t="s">
        <v>652</v>
      </c>
      <c r="C46" s="138">
        <v>0</v>
      </c>
      <c r="D46" s="138">
        <v>156.25</v>
      </c>
      <c r="E46" s="138">
        <v>0</v>
      </c>
      <c r="F46" s="138">
        <v>188.86</v>
      </c>
      <c r="G46" s="138">
        <v>15.780000000000001</v>
      </c>
      <c r="H46" s="138">
        <v>19.59</v>
      </c>
      <c r="I46" s="138">
        <v>170.15</v>
      </c>
      <c r="J46" s="138">
        <v>206.57</v>
      </c>
      <c r="K46" s="138">
        <v>0</v>
      </c>
      <c r="L46" s="138">
        <v>192.67000000000002</v>
      </c>
    </row>
    <row r="47" spans="1:12" x14ac:dyDescent="0.3">
      <c r="A47" s="136" t="s">
        <v>1042</v>
      </c>
      <c r="B47" s="137" t="s">
        <v>1043</v>
      </c>
      <c r="C47" s="138">
        <v>0</v>
      </c>
      <c r="D47" s="138">
        <v>-864.87</v>
      </c>
      <c r="E47" s="138">
        <v>0</v>
      </c>
      <c r="F47" s="138">
        <v>-864.87</v>
      </c>
      <c r="G47" s="138">
        <v>1357.8</v>
      </c>
      <c r="H47" s="138">
        <v>864.87</v>
      </c>
      <c r="I47" s="138">
        <v>1357.8</v>
      </c>
      <c r="J47" s="138">
        <v>864.87</v>
      </c>
      <c r="K47" s="138">
        <v>0</v>
      </c>
      <c r="L47" s="138">
        <v>-1357.8</v>
      </c>
    </row>
    <row r="48" spans="1:12" x14ac:dyDescent="0.3">
      <c r="A48" s="136" t="s">
        <v>1044</v>
      </c>
      <c r="B48" s="137" t="s">
        <v>1045</v>
      </c>
      <c r="C48" s="138">
        <v>0</v>
      </c>
      <c r="D48" s="138">
        <v>0</v>
      </c>
      <c r="E48" s="138">
        <v>1048.82</v>
      </c>
      <c r="F48" s="138">
        <v>0</v>
      </c>
      <c r="G48" s="138">
        <v>387.53000000000003</v>
      </c>
      <c r="H48" s="138">
        <v>0</v>
      </c>
      <c r="I48" s="138">
        <v>1436.3500000000001</v>
      </c>
      <c r="J48" s="138">
        <v>0</v>
      </c>
      <c r="K48" s="138">
        <v>1436.3500000000001</v>
      </c>
      <c r="L48" s="138">
        <v>0</v>
      </c>
    </row>
    <row r="49" spans="1:12" x14ac:dyDescent="0.3">
      <c r="A49" s="136" t="s">
        <v>1046</v>
      </c>
      <c r="B49" s="137" t="s">
        <v>1047</v>
      </c>
      <c r="C49" s="138">
        <v>0</v>
      </c>
      <c r="D49" s="138">
        <v>0</v>
      </c>
      <c r="E49" s="138">
        <v>1963.63</v>
      </c>
      <c r="F49" s="138">
        <v>0</v>
      </c>
      <c r="G49" s="138">
        <v>1484.46</v>
      </c>
      <c r="H49" s="138">
        <v>0</v>
      </c>
      <c r="I49" s="138">
        <v>3448.09</v>
      </c>
      <c r="J49" s="138">
        <v>0</v>
      </c>
      <c r="K49" s="138">
        <v>3448.09</v>
      </c>
      <c r="L49" s="138">
        <v>0</v>
      </c>
    </row>
    <row r="50" spans="1:12" x14ac:dyDescent="0.3">
      <c r="A50" s="136" t="s">
        <v>1048</v>
      </c>
      <c r="B50" s="137" t="s">
        <v>1049</v>
      </c>
      <c r="C50" s="138">
        <v>0</v>
      </c>
      <c r="D50" s="138">
        <v>0</v>
      </c>
      <c r="E50" s="138">
        <v>330921.12</v>
      </c>
      <c r="F50" s="138">
        <v>0</v>
      </c>
      <c r="G50" s="138">
        <v>37884.520000000004</v>
      </c>
      <c r="H50" s="138">
        <v>0</v>
      </c>
      <c r="I50" s="138">
        <v>369671.74</v>
      </c>
      <c r="J50" s="138">
        <v>866.1</v>
      </c>
      <c r="K50" s="138">
        <v>368805.64</v>
      </c>
      <c r="L50" s="138">
        <v>0</v>
      </c>
    </row>
    <row r="51" spans="1:12" x14ac:dyDescent="0.3">
      <c r="A51" s="136" t="s">
        <v>1050</v>
      </c>
      <c r="B51" s="137" t="s">
        <v>740</v>
      </c>
      <c r="C51" s="138">
        <v>0</v>
      </c>
      <c r="D51" s="138">
        <v>0</v>
      </c>
      <c r="E51" s="138">
        <v>-89.63</v>
      </c>
      <c r="F51" s="138">
        <v>0</v>
      </c>
      <c r="G51" s="138">
        <v>276.43</v>
      </c>
      <c r="H51" s="138">
        <v>146.26</v>
      </c>
      <c r="I51" s="138">
        <v>1298.99</v>
      </c>
      <c r="J51" s="138">
        <v>1258.45</v>
      </c>
      <c r="K51" s="138">
        <v>40.54</v>
      </c>
      <c r="L51" s="138">
        <v>0</v>
      </c>
    </row>
    <row r="52" spans="1:12" x14ac:dyDescent="0.3">
      <c r="A52" s="136" t="s">
        <v>1051</v>
      </c>
      <c r="B52" s="137" t="s">
        <v>1052</v>
      </c>
      <c r="C52" s="138">
        <v>0</v>
      </c>
      <c r="D52" s="138">
        <v>0</v>
      </c>
      <c r="E52" s="138">
        <v>483.6</v>
      </c>
      <c r="F52" s="138">
        <v>0</v>
      </c>
      <c r="G52" s="138">
        <v>1150</v>
      </c>
      <c r="H52" s="138">
        <v>0</v>
      </c>
      <c r="I52" s="138">
        <v>1633.6000000000001</v>
      </c>
      <c r="J52" s="138">
        <v>0</v>
      </c>
      <c r="K52" s="138">
        <v>1633.6000000000001</v>
      </c>
      <c r="L52" s="138">
        <v>0</v>
      </c>
    </row>
    <row r="53" spans="1:12" x14ac:dyDescent="0.3">
      <c r="A53" s="136" t="s">
        <v>1053</v>
      </c>
      <c r="B53" s="137" t="s">
        <v>764</v>
      </c>
      <c r="C53" s="138">
        <v>0</v>
      </c>
      <c r="D53" s="138">
        <v>0</v>
      </c>
      <c r="E53" s="138">
        <v>0</v>
      </c>
      <c r="F53" s="138">
        <v>0</v>
      </c>
      <c r="G53" s="138">
        <v>0</v>
      </c>
      <c r="H53" s="138">
        <v>0</v>
      </c>
      <c r="I53" s="138">
        <v>0</v>
      </c>
      <c r="J53" s="138">
        <v>0</v>
      </c>
      <c r="K53" s="138">
        <v>0</v>
      </c>
      <c r="L53" s="138">
        <v>0</v>
      </c>
    </row>
    <row r="54" spans="1:12" x14ac:dyDescent="0.3">
      <c r="A54" s="136" t="s">
        <v>1054</v>
      </c>
      <c r="B54" s="137" t="s">
        <v>914</v>
      </c>
      <c r="C54" s="138">
        <v>0</v>
      </c>
      <c r="D54" s="138">
        <v>0</v>
      </c>
      <c r="E54" s="138">
        <v>15267.34</v>
      </c>
      <c r="F54" s="138">
        <v>0</v>
      </c>
      <c r="G54" s="138">
        <v>6403.8600000000006</v>
      </c>
      <c r="H54" s="138">
        <v>0</v>
      </c>
      <c r="I54" s="138">
        <v>21671.200000000001</v>
      </c>
      <c r="J54" s="138">
        <v>0</v>
      </c>
      <c r="K54" s="138">
        <v>21671.200000000001</v>
      </c>
      <c r="L54" s="138">
        <v>0</v>
      </c>
    </row>
    <row r="55" spans="1:12" x14ac:dyDescent="0.3">
      <c r="A55" s="136" t="s">
        <v>1055</v>
      </c>
      <c r="B55" s="137" t="s">
        <v>804</v>
      </c>
      <c r="C55" s="138">
        <v>0</v>
      </c>
      <c r="D55" s="138">
        <v>0</v>
      </c>
      <c r="E55" s="138">
        <v>36523.08</v>
      </c>
      <c r="F55" s="138">
        <v>0</v>
      </c>
      <c r="G55" s="138">
        <v>4974.1000000000004</v>
      </c>
      <c r="H55" s="138">
        <v>0</v>
      </c>
      <c r="I55" s="138">
        <v>43679.15</v>
      </c>
      <c r="J55" s="138">
        <v>2181.9700000000003</v>
      </c>
      <c r="K55" s="138">
        <v>41497.18</v>
      </c>
      <c r="L55" s="138">
        <v>0</v>
      </c>
    </row>
    <row r="56" spans="1:12" x14ac:dyDescent="0.3">
      <c r="A56" s="136" t="s">
        <v>1056</v>
      </c>
      <c r="B56" s="137" t="s">
        <v>832</v>
      </c>
      <c r="C56" s="138">
        <v>0</v>
      </c>
      <c r="D56" s="138">
        <v>0</v>
      </c>
      <c r="E56" s="138">
        <v>12878.25</v>
      </c>
      <c r="F56" s="138">
        <v>0</v>
      </c>
      <c r="G56" s="138">
        <v>1750.79</v>
      </c>
      <c r="H56" s="138">
        <v>0</v>
      </c>
      <c r="I56" s="138">
        <v>15396.720000000001</v>
      </c>
      <c r="J56" s="138">
        <v>767.68000000000006</v>
      </c>
      <c r="K56" s="138">
        <v>14629.04</v>
      </c>
      <c r="L56" s="138">
        <v>0</v>
      </c>
    </row>
    <row r="57" spans="1:12" x14ac:dyDescent="0.3">
      <c r="A57" s="136" t="s">
        <v>1057</v>
      </c>
      <c r="B57" s="137" t="s">
        <v>1058</v>
      </c>
      <c r="C57" s="138">
        <v>0</v>
      </c>
      <c r="D57" s="138">
        <v>0</v>
      </c>
      <c r="E57" s="138">
        <v>1449.5</v>
      </c>
      <c r="F57" s="138">
        <v>0</v>
      </c>
      <c r="G57" s="138">
        <v>241.63</v>
      </c>
      <c r="H57" s="138">
        <v>0</v>
      </c>
      <c r="I57" s="138">
        <v>1691.13</v>
      </c>
      <c r="J57" s="138">
        <v>0</v>
      </c>
      <c r="K57" s="138">
        <v>1691.13</v>
      </c>
      <c r="L57" s="138">
        <v>0</v>
      </c>
    </row>
    <row r="58" spans="1:12" x14ac:dyDescent="0.3">
      <c r="A58" s="136" t="s">
        <v>1059</v>
      </c>
      <c r="B58" s="137" t="s">
        <v>868</v>
      </c>
      <c r="C58" s="138">
        <v>0</v>
      </c>
      <c r="D58" s="138">
        <v>0</v>
      </c>
      <c r="E58" s="138">
        <v>190</v>
      </c>
      <c r="F58" s="138">
        <v>0</v>
      </c>
      <c r="G58" s="138">
        <v>80</v>
      </c>
      <c r="H58" s="138">
        <v>0</v>
      </c>
      <c r="I58" s="138">
        <v>270</v>
      </c>
      <c r="J58" s="138">
        <v>0</v>
      </c>
      <c r="K58" s="138">
        <v>270</v>
      </c>
      <c r="L58" s="138">
        <v>0</v>
      </c>
    </row>
    <row r="59" spans="1:12" x14ac:dyDescent="0.3">
      <c r="A59" s="136" t="s">
        <v>1060</v>
      </c>
      <c r="B59" s="137" t="s">
        <v>603</v>
      </c>
      <c r="C59" s="138">
        <v>0</v>
      </c>
      <c r="D59" s="138">
        <v>0</v>
      </c>
      <c r="E59" s="138">
        <v>55.68</v>
      </c>
      <c r="F59" s="138">
        <v>0</v>
      </c>
      <c r="G59" s="138">
        <v>0</v>
      </c>
      <c r="H59" s="138">
        <v>0</v>
      </c>
      <c r="I59" s="138">
        <v>55.68</v>
      </c>
      <c r="J59" s="138">
        <v>0</v>
      </c>
      <c r="K59" s="138">
        <v>55.68</v>
      </c>
      <c r="L59" s="138">
        <v>0</v>
      </c>
    </row>
    <row r="60" spans="1:12" x14ac:dyDescent="0.3">
      <c r="A60" s="136" t="s">
        <v>1063</v>
      </c>
      <c r="B60" s="137" t="s">
        <v>1064</v>
      </c>
      <c r="C60" s="138">
        <v>0</v>
      </c>
      <c r="D60" s="138">
        <v>0</v>
      </c>
      <c r="E60" s="138">
        <v>351.57</v>
      </c>
      <c r="F60" s="138">
        <v>0</v>
      </c>
      <c r="G60" s="138">
        <v>169.47</v>
      </c>
      <c r="H60" s="138">
        <v>351.57</v>
      </c>
      <c r="I60" s="138">
        <v>22080.75</v>
      </c>
      <c r="J60" s="138">
        <v>21911.279999999999</v>
      </c>
      <c r="K60" s="138">
        <v>169.47</v>
      </c>
      <c r="L60" s="138">
        <v>0</v>
      </c>
    </row>
    <row r="61" spans="1:12" x14ac:dyDescent="0.3">
      <c r="A61" s="136" t="s">
        <v>1065</v>
      </c>
      <c r="B61" s="137" t="s">
        <v>1066</v>
      </c>
      <c r="C61" s="138">
        <v>0</v>
      </c>
      <c r="D61" s="138">
        <v>0</v>
      </c>
      <c r="E61" s="138">
        <v>445.48</v>
      </c>
      <c r="F61" s="138">
        <v>0</v>
      </c>
      <c r="G61" s="138">
        <v>0.03</v>
      </c>
      <c r="H61" s="138">
        <v>0</v>
      </c>
      <c r="I61" s="138">
        <v>445.51</v>
      </c>
      <c r="J61" s="138">
        <v>0</v>
      </c>
      <c r="K61" s="138">
        <v>445.51</v>
      </c>
      <c r="L61" s="138">
        <v>0</v>
      </c>
    </row>
    <row r="62" spans="1:12" x14ac:dyDescent="0.3">
      <c r="A62" s="136" t="s">
        <v>1067</v>
      </c>
      <c r="B62" s="137" t="s">
        <v>1068</v>
      </c>
      <c r="C62" s="138">
        <v>0</v>
      </c>
      <c r="D62" s="138">
        <v>0</v>
      </c>
      <c r="E62" s="138">
        <v>24.19</v>
      </c>
      <c r="F62" s="138">
        <v>0</v>
      </c>
      <c r="G62" s="138">
        <v>13.25</v>
      </c>
      <c r="H62" s="138">
        <v>0</v>
      </c>
      <c r="I62" s="138">
        <v>54.86</v>
      </c>
      <c r="J62" s="138">
        <v>17.420000000000002</v>
      </c>
      <c r="K62" s="138">
        <v>37.44</v>
      </c>
      <c r="L62" s="138">
        <v>0</v>
      </c>
    </row>
    <row r="63" spans="1:12" x14ac:dyDescent="0.3">
      <c r="A63" s="136" t="s">
        <v>1069</v>
      </c>
      <c r="B63" s="137" t="s">
        <v>1070</v>
      </c>
      <c r="C63" s="138">
        <v>0</v>
      </c>
      <c r="D63" s="138">
        <v>0</v>
      </c>
      <c r="E63" s="138">
        <v>2821.9700000000003</v>
      </c>
      <c r="F63" s="138">
        <v>0</v>
      </c>
      <c r="G63" s="138">
        <v>728.13</v>
      </c>
      <c r="H63" s="138">
        <v>0</v>
      </c>
      <c r="I63" s="138">
        <v>3550.1</v>
      </c>
      <c r="J63" s="138">
        <v>0</v>
      </c>
      <c r="K63" s="138">
        <v>3550.1</v>
      </c>
      <c r="L63" s="138">
        <v>0</v>
      </c>
    </row>
    <row r="64" spans="1:12" x14ac:dyDescent="0.3">
      <c r="A64" s="136" t="s">
        <v>1071</v>
      </c>
      <c r="B64" s="137" t="s">
        <v>1072</v>
      </c>
      <c r="C64" s="138">
        <v>0</v>
      </c>
      <c r="D64" s="138">
        <v>0</v>
      </c>
      <c r="E64" s="138">
        <v>6.44</v>
      </c>
      <c r="F64" s="138">
        <v>0</v>
      </c>
      <c r="G64" s="138">
        <v>0</v>
      </c>
      <c r="H64" s="138">
        <v>0</v>
      </c>
      <c r="I64" s="138">
        <v>6.44</v>
      </c>
      <c r="J64" s="138">
        <v>0</v>
      </c>
      <c r="K64" s="138">
        <v>6.44</v>
      </c>
      <c r="L64" s="138">
        <v>0</v>
      </c>
    </row>
    <row r="65" spans="1:12" x14ac:dyDescent="0.3">
      <c r="A65" s="136" t="s">
        <v>1073</v>
      </c>
      <c r="B65" s="137" t="s">
        <v>1074</v>
      </c>
      <c r="C65" s="138">
        <v>0</v>
      </c>
      <c r="D65" s="138">
        <v>0</v>
      </c>
      <c r="E65" s="138">
        <v>1077.83</v>
      </c>
      <c r="F65" s="138">
        <v>0</v>
      </c>
      <c r="G65" s="138">
        <v>126.39</v>
      </c>
      <c r="H65" s="138">
        <v>0</v>
      </c>
      <c r="I65" s="138">
        <v>1204.22</v>
      </c>
      <c r="J65" s="138">
        <v>0</v>
      </c>
      <c r="K65" s="138">
        <v>1204.22</v>
      </c>
      <c r="L65" s="138">
        <v>0</v>
      </c>
    </row>
    <row r="66" spans="1:12" x14ac:dyDescent="0.3">
      <c r="A66" s="136" t="s">
        <v>1075</v>
      </c>
      <c r="B66" s="137" t="s">
        <v>1076</v>
      </c>
      <c r="C66" s="138">
        <v>0</v>
      </c>
      <c r="D66" s="138">
        <v>0</v>
      </c>
      <c r="E66" s="138">
        <v>0</v>
      </c>
      <c r="F66" s="138">
        <v>0</v>
      </c>
      <c r="G66" s="138">
        <v>2764.16</v>
      </c>
      <c r="H66" s="138">
        <v>0</v>
      </c>
      <c r="I66" s="138">
        <v>2764.16</v>
      </c>
      <c r="J66" s="138">
        <v>0</v>
      </c>
      <c r="K66" s="138">
        <v>2764.16</v>
      </c>
      <c r="L66" s="138">
        <v>0</v>
      </c>
    </row>
    <row r="67" spans="1:12" x14ac:dyDescent="0.3">
      <c r="A67" s="136" t="s">
        <v>1077</v>
      </c>
      <c r="B67" s="137" t="s">
        <v>1078</v>
      </c>
      <c r="C67" s="138">
        <v>0</v>
      </c>
      <c r="D67" s="138">
        <v>0</v>
      </c>
      <c r="E67" s="138">
        <v>0</v>
      </c>
      <c r="F67" s="138">
        <v>0</v>
      </c>
      <c r="G67" s="138">
        <v>864.87</v>
      </c>
      <c r="H67" s="138">
        <v>1357.8</v>
      </c>
      <c r="I67" s="138">
        <v>864.87</v>
      </c>
      <c r="J67" s="138">
        <v>1357.8</v>
      </c>
      <c r="K67" s="138">
        <v>-492.93</v>
      </c>
      <c r="L67" s="138">
        <v>0</v>
      </c>
    </row>
    <row r="68" spans="1:12" x14ac:dyDescent="0.3">
      <c r="A68" s="136" t="s">
        <v>1079</v>
      </c>
      <c r="B68" s="137" t="s">
        <v>1080</v>
      </c>
      <c r="C68" s="138">
        <v>0</v>
      </c>
      <c r="D68" s="138">
        <v>0</v>
      </c>
      <c r="E68" s="138">
        <v>0</v>
      </c>
      <c r="F68" s="138">
        <v>128.91</v>
      </c>
      <c r="G68" s="138">
        <v>0</v>
      </c>
      <c r="H68" s="138">
        <v>184.11</v>
      </c>
      <c r="I68" s="138">
        <v>1656.2</v>
      </c>
      <c r="J68" s="138">
        <v>1969.22</v>
      </c>
      <c r="K68" s="138">
        <v>0</v>
      </c>
      <c r="L68" s="138">
        <v>313.02</v>
      </c>
    </row>
    <row r="69" spans="1:12" x14ac:dyDescent="0.3">
      <c r="A69" s="136" t="s">
        <v>1081</v>
      </c>
      <c r="B69" s="137" t="s">
        <v>1082</v>
      </c>
      <c r="C69" s="138">
        <v>0</v>
      </c>
      <c r="D69" s="138">
        <v>0</v>
      </c>
      <c r="E69" s="138">
        <v>0</v>
      </c>
      <c r="F69" s="138">
        <v>420554.15</v>
      </c>
      <c r="G69" s="138">
        <v>0</v>
      </c>
      <c r="H69" s="138">
        <v>46172.51</v>
      </c>
      <c r="I69" s="138">
        <v>204.06</v>
      </c>
      <c r="J69" s="138">
        <v>466930.72000000003</v>
      </c>
      <c r="K69" s="138">
        <v>0</v>
      </c>
      <c r="L69" s="138">
        <v>466726.66000000003</v>
      </c>
    </row>
    <row r="70" spans="1:12" x14ac:dyDescent="0.3">
      <c r="A70" s="136" t="s">
        <v>1083</v>
      </c>
      <c r="B70" s="137" t="s">
        <v>943</v>
      </c>
      <c r="C70" s="138">
        <v>0</v>
      </c>
      <c r="D70" s="138">
        <v>0</v>
      </c>
      <c r="E70" s="138">
        <v>0</v>
      </c>
      <c r="F70" s="138">
        <v>626.44000000000005</v>
      </c>
      <c r="G70" s="138">
        <v>0</v>
      </c>
      <c r="H70" s="138">
        <v>507.64</v>
      </c>
      <c r="I70" s="138">
        <v>0</v>
      </c>
      <c r="J70" s="138">
        <v>1134.08</v>
      </c>
      <c r="K70" s="138">
        <v>0</v>
      </c>
      <c r="L70" s="138">
        <v>1134.08</v>
      </c>
    </row>
    <row r="71" spans="1:12" x14ac:dyDescent="0.3">
      <c r="A71" s="136" t="s">
        <v>1084</v>
      </c>
      <c r="B71" s="137" t="s">
        <v>1072</v>
      </c>
      <c r="C71" s="138">
        <v>0</v>
      </c>
      <c r="D71" s="138">
        <v>0</v>
      </c>
      <c r="E71" s="138">
        <v>0</v>
      </c>
      <c r="F71" s="138">
        <v>702.45</v>
      </c>
      <c r="G71" s="138">
        <v>0</v>
      </c>
      <c r="H71" s="138">
        <v>89.97</v>
      </c>
      <c r="I71" s="138">
        <v>0</v>
      </c>
      <c r="J71" s="138">
        <v>792.42000000000007</v>
      </c>
      <c r="K71" s="138">
        <v>0</v>
      </c>
      <c r="L71" s="138">
        <v>792.42000000000007</v>
      </c>
    </row>
    <row r="72" spans="1:12" x14ac:dyDescent="0.3">
      <c r="A72" s="136" t="s">
        <v>1085</v>
      </c>
      <c r="B72" s="137" t="s">
        <v>1086</v>
      </c>
      <c r="C72" s="138">
        <v>20</v>
      </c>
      <c r="D72" s="138">
        <v>0</v>
      </c>
      <c r="E72" s="138">
        <v>20</v>
      </c>
      <c r="F72" s="138">
        <v>0</v>
      </c>
      <c r="G72" s="138">
        <v>-20</v>
      </c>
      <c r="H72" s="138">
        <v>0</v>
      </c>
      <c r="I72" s="138">
        <v>-20</v>
      </c>
      <c r="J72" s="138">
        <v>0</v>
      </c>
      <c r="K72" s="138">
        <v>0</v>
      </c>
      <c r="L72" s="138">
        <v>0</v>
      </c>
    </row>
    <row r="73" spans="1:12" x14ac:dyDescent="0.3">
      <c r="A73" s="136" t="s">
        <v>1087</v>
      </c>
      <c r="B73" s="137" t="s">
        <v>1088</v>
      </c>
      <c r="C73" s="138">
        <v>-20</v>
      </c>
      <c r="D73" s="138">
        <v>0</v>
      </c>
      <c r="E73" s="138">
        <v>-20</v>
      </c>
      <c r="F73" s="138">
        <v>0</v>
      </c>
      <c r="G73" s="138">
        <v>0</v>
      </c>
      <c r="H73" s="138">
        <v>-20</v>
      </c>
      <c r="I73" s="138">
        <v>0</v>
      </c>
      <c r="J73" s="138">
        <v>-20</v>
      </c>
      <c r="K73" s="138">
        <v>0</v>
      </c>
      <c r="L73" s="138">
        <v>0</v>
      </c>
    </row>
    <row r="74" spans="1:12" x14ac:dyDescent="0.3">
      <c r="A74" s="136"/>
      <c r="B74" s="137"/>
      <c r="C74" s="138"/>
      <c r="D74" s="138"/>
      <c r="E74" s="138"/>
      <c r="F74" s="138"/>
      <c r="G74" s="138"/>
      <c r="H74" s="138"/>
      <c r="I74" s="138"/>
      <c r="J74" s="138"/>
      <c r="K74" s="138"/>
      <c r="L74" s="138"/>
    </row>
    <row r="75" spans="1:12" x14ac:dyDescent="0.3">
      <c r="A75" s="136"/>
      <c r="B75" s="137"/>
      <c r="C75" s="138"/>
      <c r="D75" s="138"/>
      <c r="E75" s="138"/>
      <c r="F75" s="138"/>
      <c r="G75" s="138"/>
      <c r="H75" s="138"/>
      <c r="I75" s="138"/>
      <c r="J75" s="138"/>
      <c r="K75" s="138"/>
      <c r="L75" s="138"/>
    </row>
    <row r="76" spans="1:12" x14ac:dyDescent="0.3">
      <c r="A76" s="136"/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138"/>
    </row>
    <row r="77" spans="1:12" x14ac:dyDescent="0.3">
      <c r="A77" s="136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138"/>
    </row>
    <row r="78" spans="1:12" x14ac:dyDescent="0.3">
      <c r="A78" s="136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138"/>
    </row>
    <row r="79" spans="1:12" x14ac:dyDescent="0.3">
      <c r="A79" s="136"/>
      <c r="B79" s="137"/>
      <c r="C79" s="138"/>
      <c r="D79" s="138"/>
      <c r="E79" s="138"/>
      <c r="F79" s="138"/>
      <c r="G79" s="138"/>
      <c r="H79" s="138"/>
      <c r="I79" s="138"/>
      <c r="J79" s="138"/>
      <c r="K79" s="138"/>
      <c r="L79" s="138"/>
    </row>
    <row r="80" spans="1:12" x14ac:dyDescent="0.3">
      <c r="A80" s="136"/>
      <c r="B80" s="137"/>
      <c r="C80" s="138"/>
      <c r="D80" s="138"/>
      <c r="E80" s="138"/>
      <c r="F80" s="138"/>
      <c r="G80" s="138"/>
      <c r="H80" s="138"/>
      <c r="I80" s="138"/>
      <c r="J80" s="138"/>
      <c r="K80" s="138"/>
      <c r="L80" s="138"/>
    </row>
    <row r="81" spans="1:12" x14ac:dyDescent="0.3">
      <c r="A81" s="136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</row>
    <row r="82" spans="1:12" x14ac:dyDescent="0.3">
      <c r="A82" s="136"/>
      <c r="B82" s="137"/>
      <c r="C82" s="138"/>
      <c r="D82" s="138"/>
      <c r="E82" s="138"/>
      <c r="F82" s="138"/>
      <c r="G82" s="138"/>
      <c r="H82" s="138"/>
      <c r="I82" s="138"/>
      <c r="J82" s="138"/>
      <c r="K82" s="138"/>
      <c r="L82" s="138"/>
    </row>
    <row r="83" spans="1:12" x14ac:dyDescent="0.3">
      <c r="A83" s="136"/>
      <c r="B83" s="137"/>
      <c r="C83" s="138"/>
      <c r="D83" s="138"/>
      <c r="E83" s="138"/>
      <c r="F83" s="138"/>
      <c r="G83" s="138"/>
      <c r="H83" s="138"/>
      <c r="I83" s="138"/>
      <c r="J83" s="138"/>
      <c r="K83" s="138"/>
      <c r="L83" s="138"/>
    </row>
    <row r="84" spans="1:12" x14ac:dyDescent="0.3">
      <c r="A84" s="136"/>
      <c r="B84" s="137"/>
      <c r="C84" s="138"/>
      <c r="D84" s="138"/>
      <c r="E84" s="138"/>
      <c r="F84" s="138"/>
      <c r="G84" s="138"/>
      <c r="H84" s="138"/>
      <c r="I84" s="138"/>
      <c r="J84" s="138"/>
      <c r="K84" s="138"/>
      <c r="L84" s="138"/>
    </row>
    <row r="85" spans="1:12" x14ac:dyDescent="0.3">
      <c r="A85" s="136"/>
      <c r="B85" s="137"/>
      <c r="C85" s="138"/>
      <c r="D85" s="138"/>
      <c r="E85" s="138"/>
      <c r="F85" s="138"/>
      <c r="G85" s="138"/>
      <c r="H85" s="138"/>
      <c r="I85" s="138"/>
      <c r="J85" s="138"/>
      <c r="K85" s="138"/>
      <c r="L85" s="138"/>
    </row>
    <row r="86" spans="1:12" x14ac:dyDescent="0.3">
      <c r="A86" s="136"/>
      <c r="B86" s="137"/>
      <c r="C86" s="138"/>
      <c r="D86" s="138"/>
      <c r="E86" s="138"/>
      <c r="F86" s="138"/>
      <c r="G86" s="138"/>
      <c r="H86" s="138"/>
      <c r="I86" s="138"/>
      <c r="J86" s="138"/>
      <c r="K86" s="138"/>
      <c r="L86" s="138"/>
    </row>
    <row r="87" spans="1:12" x14ac:dyDescent="0.3">
      <c r="A87" s="136"/>
      <c r="B87" s="137"/>
      <c r="C87" s="138"/>
      <c r="D87" s="138"/>
      <c r="E87" s="138"/>
      <c r="F87" s="138"/>
      <c r="G87" s="138"/>
      <c r="H87" s="138"/>
      <c r="I87" s="138"/>
      <c r="J87" s="138"/>
      <c r="K87" s="138"/>
      <c r="L87" s="138"/>
    </row>
    <row r="88" spans="1:12" x14ac:dyDescent="0.3">
      <c r="A88" s="136"/>
      <c r="B88" s="137"/>
      <c r="C88" s="138"/>
      <c r="D88" s="138"/>
      <c r="E88" s="138"/>
      <c r="F88" s="138"/>
      <c r="G88" s="138"/>
      <c r="H88" s="138"/>
      <c r="I88" s="138"/>
      <c r="J88" s="138"/>
      <c r="K88" s="138"/>
      <c r="L88" s="138"/>
    </row>
    <row r="89" spans="1:12" x14ac:dyDescent="0.3">
      <c r="A89" s="136"/>
      <c r="B89" s="137"/>
      <c r="C89" s="138"/>
      <c r="D89" s="138"/>
      <c r="E89" s="138"/>
      <c r="F89" s="138"/>
      <c r="G89" s="138"/>
      <c r="H89" s="138"/>
      <c r="I89" s="138"/>
      <c r="J89" s="138"/>
      <c r="K89" s="138"/>
      <c r="L89" s="138"/>
    </row>
    <row r="90" spans="1:12" x14ac:dyDescent="0.3">
      <c r="A90" s="136"/>
      <c r="B90" s="137"/>
      <c r="C90" s="138"/>
      <c r="D90" s="138"/>
      <c r="E90" s="138"/>
      <c r="F90" s="138"/>
      <c r="G90" s="138"/>
      <c r="H90" s="138"/>
      <c r="I90" s="138"/>
      <c r="J90" s="138"/>
      <c r="K90" s="138"/>
      <c r="L90" s="138"/>
    </row>
    <row r="91" spans="1:12" x14ac:dyDescent="0.3">
      <c r="A91" s="136"/>
      <c r="B91" s="137"/>
      <c r="C91" s="138"/>
      <c r="D91" s="138"/>
      <c r="E91" s="138"/>
      <c r="F91" s="138"/>
      <c r="G91" s="138"/>
      <c r="H91" s="138"/>
      <c r="I91" s="138"/>
      <c r="J91" s="138"/>
      <c r="K91" s="138"/>
      <c r="L91" s="138"/>
    </row>
    <row r="92" spans="1:12" x14ac:dyDescent="0.3">
      <c r="A92" s="136"/>
      <c r="B92" s="137"/>
      <c r="C92" s="138"/>
      <c r="D92" s="138"/>
      <c r="E92" s="138"/>
      <c r="F92" s="138"/>
      <c r="G92" s="138"/>
      <c r="H92" s="138"/>
      <c r="I92" s="138"/>
      <c r="J92" s="138"/>
      <c r="K92" s="138"/>
      <c r="L92" s="138"/>
    </row>
    <row r="93" spans="1:12" x14ac:dyDescent="0.3">
      <c r="A93" s="136"/>
      <c r="B93" s="137"/>
      <c r="C93" s="138"/>
      <c r="D93" s="138"/>
      <c r="E93" s="138"/>
      <c r="F93" s="138"/>
      <c r="G93" s="138"/>
      <c r="H93" s="138"/>
      <c r="I93" s="138"/>
      <c r="J93" s="138"/>
      <c r="K93" s="138"/>
      <c r="L93" s="138"/>
    </row>
    <row r="94" spans="1:12" x14ac:dyDescent="0.3">
      <c r="A94" s="136"/>
      <c r="B94" s="137"/>
      <c r="C94" s="138"/>
      <c r="D94" s="138"/>
      <c r="E94" s="138"/>
      <c r="F94" s="138"/>
      <c r="G94" s="138"/>
      <c r="H94" s="138"/>
      <c r="I94" s="138"/>
      <c r="J94" s="138"/>
      <c r="K94" s="138"/>
      <c r="L94" s="138"/>
    </row>
    <row r="95" spans="1:12" x14ac:dyDescent="0.3">
      <c r="A95" s="136"/>
      <c r="B95" s="137"/>
      <c r="C95" s="138"/>
      <c r="D95" s="138"/>
      <c r="E95" s="138"/>
      <c r="F95" s="138"/>
      <c r="G95" s="138"/>
      <c r="H95" s="138"/>
      <c r="I95" s="138"/>
      <c r="J95" s="138"/>
      <c r="K95" s="138"/>
      <c r="L95" s="138"/>
    </row>
    <row r="96" spans="1:12" x14ac:dyDescent="0.3">
      <c r="A96" s="136"/>
      <c r="B96" s="137"/>
      <c r="C96" s="138"/>
      <c r="D96" s="138"/>
      <c r="E96" s="138"/>
      <c r="F96" s="138"/>
      <c r="G96" s="138"/>
      <c r="H96" s="138"/>
      <c r="I96" s="138"/>
      <c r="J96" s="138"/>
      <c r="K96" s="138"/>
      <c r="L96" s="138"/>
    </row>
    <row r="97" spans="1:12" x14ac:dyDescent="0.3">
      <c r="A97" s="136"/>
      <c r="B97" s="137"/>
      <c r="C97" s="138"/>
      <c r="D97" s="138"/>
      <c r="E97" s="138"/>
      <c r="F97" s="138"/>
      <c r="G97" s="138"/>
      <c r="H97" s="138"/>
      <c r="I97" s="138"/>
      <c r="J97" s="138"/>
      <c r="K97" s="138"/>
      <c r="L97" s="138"/>
    </row>
    <row r="98" spans="1:12" x14ac:dyDescent="0.3">
      <c r="A98" s="136"/>
      <c r="B98" s="137"/>
      <c r="C98" s="138"/>
      <c r="D98" s="138"/>
      <c r="E98" s="138"/>
      <c r="F98" s="138"/>
      <c r="G98" s="138"/>
      <c r="H98" s="138"/>
      <c r="I98" s="138"/>
      <c r="J98" s="138"/>
      <c r="K98" s="138"/>
      <c r="L98" s="138"/>
    </row>
    <row r="99" spans="1:12" x14ac:dyDescent="0.3">
      <c r="A99" s="136"/>
      <c r="B99" s="137"/>
      <c r="C99" s="138"/>
      <c r="D99" s="138"/>
      <c r="E99" s="138"/>
      <c r="F99" s="138"/>
      <c r="G99" s="138"/>
      <c r="H99" s="138"/>
      <c r="I99" s="138"/>
      <c r="J99" s="138"/>
      <c r="K99" s="138"/>
      <c r="L99" s="138"/>
    </row>
    <row r="100" spans="1:12" x14ac:dyDescent="0.3">
      <c r="A100" s="136"/>
      <c r="B100" s="137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</row>
    <row r="101" spans="1:12" x14ac:dyDescent="0.3">
      <c r="A101" s="136"/>
      <c r="B101" s="137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</row>
    <row r="102" spans="1:12" x14ac:dyDescent="0.3">
      <c r="A102" s="136"/>
      <c r="B102" s="137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</row>
    <row r="103" spans="1:12" x14ac:dyDescent="0.3">
      <c r="A103" s="136"/>
      <c r="B103" s="137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</row>
    <row r="104" spans="1:12" x14ac:dyDescent="0.3">
      <c r="A104" s="136"/>
      <c r="B104" s="137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</row>
    <row r="105" spans="1:12" x14ac:dyDescent="0.3">
      <c r="A105" s="136"/>
      <c r="B105" s="137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</row>
    <row r="106" spans="1:12" x14ac:dyDescent="0.3">
      <c r="A106" s="136"/>
      <c r="B106" s="137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</row>
    <row r="107" spans="1:12" x14ac:dyDescent="0.3">
      <c r="A107" s="136"/>
      <c r="B107" s="137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</row>
    <row r="108" spans="1:12" x14ac:dyDescent="0.3">
      <c r="A108" s="136"/>
      <c r="B108" s="137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</row>
    <row r="109" spans="1:12" x14ac:dyDescent="0.3">
      <c r="A109" s="136"/>
      <c r="B109" s="137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</row>
    <row r="110" spans="1:12" x14ac:dyDescent="0.3">
      <c r="A110" s="136"/>
      <c r="B110" s="137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</row>
    <row r="111" spans="1:12" x14ac:dyDescent="0.3">
      <c r="A111" s="136"/>
      <c r="B111" s="137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</row>
    <row r="112" spans="1:12" x14ac:dyDescent="0.3">
      <c r="A112" s="136"/>
      <c r="B112" s="137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</row>
    <row r="113" spans="1:12" x14ac:dyDescent="0.3">
      <c r="A113" s="136"/>
      <c r="B113" s="137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</row>
    <row r="114" spans="1:12" x14ac:dyDescent="0.3">
      <c r="A114" s="136"/>
      <c r="B114" s="137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</row>
    <row r="115" spans="1:12" x14ac:dyDescent="0.3">
      <c r="A115" s="136"/>
      <c r="B115" s="137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</row>
    <row r="116" spans="1:12" x14ac:dyDescent="0.3">
      <c r="A116" s="136"/>
      <c r="B116" s="137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</row>
    <row r="117" spans="1:12" x14ac:dyDescent="0.3">
      <c r="A117" s="136"/>
      <c r="B117" s="137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</row>
    <row r="118" spans="1:12" x14ac:dyDescent="0.3">
      <c r="A118" s="136"/>
      <c r="B118" s="137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</row>
    <row r="119" spans="1:12" x14ac:dyDescent="0.3">
      <c r="A119" s="136"/>
      <c r="B119" s="137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</row>
    <row r="120" spans="1:12" x14ac:dyDescent="0.3">
      <c r="A120" s="136"/>
      <c r="B120" s="137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</row>
    <row r="121" spans="1:12" x14ac:dyDescent="0.3">
      <c r="A121" s="136"/>
      <c r="B121" s="137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</row>
    <row r="122" spans="1:12" x14ac:dyDescent="0.3">
      <c r="A122" s="136"/>
      <c r="B122" s="137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</row>
    <row r="123" spans="1:12" x14ac:dyDescent="0.3">
      <c r="A123" s="136"/>
      <c r="B123" s="137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</row>
    <row r="124" spans="1:12" x14ac:dyDescent="0.3">
      <c r="A124" s="136"/>
      <c r="B124" s="137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workbookViewId="0">
      <selection activeCell="B2" sqref="B2"/>
    </sheetView>
  </sheetViews>
  <sheetFormatPr defaultColWidth="9.109375" defaultRowHeight="14.4" x14ac:dyDescent="0.3"/>
  <cols>
    <col min="1" max="1" width="8.33203125" style="141" bestFit="1" customWidth="1"/>
    <col min="2" max="2" width="86.109375" style="141" bestFit="1" customWidth="1"/>
    <col min="3" max="3" width="4.44140625" style="142" bestFit="1" customWidth="1"/>
    <col min="4" max="7" width="15.33203125" style="143" bestFit="1" customWidth="1"/>
  </cols>
  <sheetData>
    <row r="1" spans="1:7" ht="30.6" x14ac:dyDescent="0.3">
      <c r="A1" s="145" t="s">
        <v>358</v>
      </c>
      <c r="B1" s="145" t="s">
        <v>366</v>
      </c>
      <c r="C1" s="144" t="s">
        <v>380</v>
      </c>
      <c r="D1" s="146" t="s">
        <v>381</v>
      </c>
      <c r="E1" s="146" t="s">
        <v>382</v>
      </c>
      <c r="F1" s="146" t="s">
        <v>365</v>
      </c>
      <c r="G1" s="146" t="s">
        <v>363</v>
      </c>
    </row>
    <row r="2" spans="1:7" x14ac:dyDescent="0.3">
      <c r="A2" s="137" t="s">
        <v>1089</v>
      </c>
      <c r="B2" s="137" t="s">
        <v>1090</v>
      </c>
      <c r="C2" s="136" t="s">
        <v>1091</v>
      </c>
      <c r="D2" s="138">
        <v>468910.77</v>
      </c>
      <c r="E2" s="138">
        <v>467039.68</v>
      </c>
      <c r="F2" s="138">
        <v>468911</v>
      </c>
      <c r="G2" s="138">
        <v>467040</v>
      </c>
    </row>
    <row r="3" spans="1:7" x14ac:dyDescent="0.3">
      <c r="A3" s="137" t="s">
        <v>1092</v>
      </c>
      <c r="B3" s="137" t="s">
        <v>1093</v>
      </c>
      <c r="C3" s="136" t="s">
        <v>1094</v>
      </c>
      <c r="D3" s="138">
        <v>469580.96</v>
      </c>
      <c r="E3" s="138">
        <v>468173.76</v>
      </c>
      <c r="F3" s="138">
        <v>469581</v>
      </c>
      <c r="G3" s="138">
        <v>468174</v>
      </c>
    </row>
    <row r="4" spans="1:7" x14ac:dyDescent="0.3">
      <c r="A4" s="137" t="s">
        <v>1095</v>
      </c>
      <c r="B4" s="137" t="s">
        <v>1096</v>
      </c>
      <c r="C4" s="136" t="s">
        <v>1097</v>
      </c>
      <c r="D4" s="138">
        <v>468743.7</v>
      </c>
      <c r="E4" s="138">
        <v>466726.66</v>
      </c>
      <c r="F4" s="138">
        <v>468744</v>
      </c>
      <c r="G4" s="138">
        <v>466727</v>
      </c>
    </row>
    <row r="5" spans="1:7" x14ac:dyDescent="0.3">
      <c r="A5" s="137" t="s">
        <v>1098</v>
      </c>
      <c r="B5" s="137" t="s">
        <v>1099</v>
      </c>
      <c r="C5" s="136" t="s">
        <v>1100</v>
      </c>
      <c r="D5" s="138">
        <v>0</v>
      </c>
      <c r="E5" s="138">
        <v>0</v>
      </c>
      <c r="F5" s="138">
        <v>0</v>
      </c>
      <c r="G5" s="138">
        <v>0</v>
      </c>
    </row>
    <row r="6" spans="1:7" x14ac:dyDescent="0.3">
      <c r="A6" s="137" t="s">
        <v>1101</v>
      </c>
      <c r="B6" s="137" t="s">
        <v>1102</v>
      </c>
      <c r="C6" s="136" t="s">
        <v>1103</v>
      </c>
      <c r="D6" s="138">
        <v>167.07</v>
      </c>
      <c r="E6" s="138">
        <v>313.02</v>
      </c>
      <c r="F6" s="138">
        <v>167</v>
      </c>
      <c r="G6" s="138">
        <v>313</v>
      </c>
    </row>
    <row r="7" spans="1:7" x14ac:dyDescent="0.3">
      <c r="A7" s="137" t="s">
        <v>1104</v>
      </c>
      <c r="B7" s="137" t="s">
        <v>1105</v>
      </c>
      <c r="C7" s="136" t="s">
        <v>1106</v>
      </c>
      <c r="D7" s="138">
        <v>0</v>
      </c>
      <c r="E7" s="138">
        <v>0</v>
      </c>
      <c r="F7" s="138">
        <v>0</v>
      </c>
      <c r="G7" s="138">
        <v>0</v>
      </c>
    </row>
    <row r="8" spans="1:7" x14ac:dyDescent="0.3">
      <c r="A8" s="137" t="s">
        <v>1107</v>
      </c>
      <c r="B8" s="137" t="s">
        <v>1108</v>
      </c>
      <c r="C8" s="136" t="s">
        <v>1109</v>
      </c>
      <c r="D8" s="138">
        <v>0</v>
      </c>
      <c r="E8" s="138">
        <v>0</v>
      </c>
      <c r="F8" s="138">
        <v>0</v>
      </c>
      <c r="G8" s="138">
        <v>0</v>
      </c>
    </row>
    <row r="9" spans="1:7" x14ac:dyDescent="0.3">
      <c r="A9" s="137" t="s">
        <v>1110</v>
      </c>
      <c r="B9" s="137" t="s">
        <v>1111</v>
      </c>
      <c r="C9" s="136" t="s">
        <v>1112</v>
      </c>
      <c r="D9" s="138">
        <v>0</v>
      </c>
      <c r="E9" s="138">
        <v>0</v>
      </c>
      <c r="F9" s="138">
        <v>0</v>
      </c>
      <c r="G9" s="138">
        <v>0</v>
      </c>
    </row>
    <row r="10" spans="1:7" x14ac:dyDescent="0.3">
      <c r="A10" s="137" t="s">
        <v>1113</v>
      </c>
      <c r="B10" s="137" t="s">
        <v>1114</v>
      </c>
      <c r="C10" s="136" t="s">
        <v>1115</v>
      </c>
      <c r="D10" s="138">
        <v>670.19</v>
      </c>
      <c r="E10" s="138">
        <v>1134.08</v>
      </c>
      <c r="F10" s="138">
        <v>670</v>
      </c>
      <c r="G10" s="138">
        <v>1134</v>
      </c>
    </row>
    <row r="11" spans="1:7" x14ac:dyDescent="0.3">
      <c r="A11" s="137" t="s">
        <v>1092</v>
      </c>
      <c r="B11" s="137" t="s">
        <v>1116</v>
      </c>
      <c r="C11" s="136" t="s">
        <v>1117</v>
      </c>
      <c r="D11" s="138">
        <v>453666.34</v>
      </c>
      <c r="E11" s="138">
        <v>459380.97</v>
      </c>
      <c r="F11" s="138">
        <v>453666</v>
      </c>
      <c r="G11" s="138">
        <v>459382</v>
      </c>
    </row>
    <row r="12" spans="1:7" x14ac:dyDescent="0.3">
      <c r="A12" s="137" t="s">
        <v>1118</v>
      </c>
      <c r="B12" s="137" t="s">
        <v>1119</v>
      </c>
      <c r="C12" s="136" t="s">
        <v>1120</v>
      </c>
      <c r="D12" s="138">
        <v>350490.43</v>
      </c>
      <c r="E12" s="138">
        <v>368805.64</v>
      </c>
      <c r="F12" s="138">
        <v>350490</v>
      </c>
      <c r="G12" s="138">
        <v>368806</v>
      </c>
    </row>
    <row r="13" spans="1:7" x14ac:dyDescent="0.3">
      <c r="A13" s="137" t="s">
        <v>1121</v>
      </c>
      <c r="B13" s="137" t="s">
        <v>1122</v>
      </c>
      <c r="C13" s="136" t="s">
        <v>1123</v>
      </c>
      <c r="D13" s="138">
        <v>4507.8900000000003</v>
      </c>
      <c r="E13" s="138">
        <v>4884.4399999999996</v>
      </c>
      <c r="F13" s="138">
        <v>4508</v>
      </c>
      <c r="G13" s="138">
        <v>4884</v>
      </c>
    </row>
    <row r="14" spans="1:7" x14ac:dyDescent="0.3">
      <c r="A14" s="137" t="s">
        <v>1124</v>
      </c>
      <c r="B14" s="137" t="s">
        <v>1125</v>
      </c>
      <c r="C14" s="136" t="s">
        <v>1126</v>
      </c>
      <c r="D14" s="138">
        <v>689.2</v>
      </c>
      <c r="E14" s="138">
        <v>40.54</v>
      </c>
      <c r="F14" s="138">
        <v>689</v>
      </c>
      <c r="G14" s="138">
        <v>41</v>
      </c>
    </row>
    <row r="15" spans="1:7" x14ac:dyDescent="0.3">
      <c r="A15" s="137" t="s">
        <v>1127</v>
      </c>
      <c r="B15" s="137" t="s">
        <v>1128</v>
      </c>
      <c r="C15" s="136" t="s">
        <v>1129</v>
      </c>
      <c r="D15" s="138">
        <v>29192.29</v>
      </c>
      <c r="E15" s="138">
        <v>23304.799999999999</v>
      </c>
      <c r="F15" s="138">
        <v>29192</v>
      </c>
      <c r="G15" s="138">
        <v>23306</v>
      </c>
    </row>
    <row r="16" spans="1:7" x14ac:dyDescent="0.3">
      <c r="A16" s="137" t="s">
        <v>1130</v>
      </c>
      <c r="B16" s="137" t="s">
        <v>1131</v>
      </c>
      <c r="C16" s="136" t="s">
        <v>1132</v>
      </c>
      <c r="D16" s="138">
        <v>60769.83</v>
      </c>
      <c r="E16" s="138">
        <v>58087.35</v>
      </c>
      <c r="F16" s="138">
        <v>60770</v>
      </c>
      <c r="G16" s="138">
        <v>58087</v>
      </c>
    </row>
    <row r="17" spans="1:7" x14ac:dyDescent="0.3">
      <c r="A17" s="137" t="s">
        <v>1133</v>
      </c>
      <c r="B17" s="137" t="s">
        <v>1134</v>
      </c>
      <c r="C17" s="136" t="s">
        <v>1135</v>
      </c>
      <c r="D17" s="138">
        <v>41804.5</v>
      </c>
      <c r="E17" s="138">
        <v>41497.18</v>
      </c>
      <c r="F17" s="138">
        <v>41805</v>
      </c>
      <c r="G17" s="138">
        <v>41497</v>
      </c>
    </row>
    <row r="18" spans="1:7" x14ac:dyDescent="0.3">
      <c r="A18" s="137">
        <v>2</v>
      </c>
      <c r="B18" s="137" t="s">
        <v>1136</v>
      </c>
      <c r="C18" s="136" t="s">
        <v>1137</v>
      </c>
      <c r="D18" s="138">
        <v>0</v>
      </c>
      <c r="E18" s="138">
        <v>0</v>
      </c>
      <c r="F18" s="138">
        <v>0</v>
      </c>
      <c r="G18" s="138">
        <v>0</v>
      </c>
    </row>
    <row r="19" spans="1:7" x14ac:dyDescent="0.3">
      <c r="A19" s="137">
        <v>3</v>
      </c>
      <c r="B19" s="137" t="s">
        <v>1138</v>
      </c>
      <c r="C19" s="136" t="s">
        <v>1139</v>
      </c>
      <c r="D19" s="138">
        <v>15153.38</v>
      </c>
      <c r="E19" s="138">
        <v>14629.04</v>
      </c>
      <c r="F19" s="138">
        <v>15153</v>
      </c>
      <c r="G19" s="138">
        <v>14629</v>
      </c>
    </row>
    <row r="20" spans="1:7" x14ac:dyDescent="0.3">
      <c r="A20" s="137">
        <v>4</v>
      </c>
      <c r="B20" s="137" t="s">
        <v>1140</v>
      </c>
      <c r="C20" s="136" t="s">
        <v>1141</v>
      </c>
      <c r="D20" s="138">
        <v>3811.95</v>
      </c>
      <c r="E20" s="138">
        <v>1961.13</v>
      </c>
      <c r="F20" s="138">
        <v>3812</v>
      </c>
      <c r="G20" s="138">
        <v>1961</v>
      </c>
    </row>
    <row r="21" spans="1:7" x14ac:dyDescent="0.3">
      <c r="A21" s="137" t="s">
        <v>1142</v>
      </c>
      <c r="B21" s="137" t="s">
        <v>1143</v>
      </c>
      <c r="C21" s="136" t="s">
        <v>1144</v>
      </c>
      <c r="D21" s="138">
        <v>55.68</v>
      </c>
      <c r="E21" s="138">
        <v>55.68</v>
      </c>
      <c r="F21" s="138">
        <v>56</v>
      </c>
      <c r="G21" s="138">
        <v>56</v>
      </c>
    </row>
    <row r="22" spans="1:7" x14ac:dyDescent="0.3">
      <c r="A22" s="137" t="s">
        <v>1145</v>
      </c>
      <c r="B22" s="137" t="s">
        <v>1146</v>
      </c>
      <c r="C22" s="136" t="s">
        <v>1147</v>
      </c>
      <c r="D22" s="138">
        <v>6595.98</v>
      </c>
      <c r="E22" s="138">
        <v>3550.1</v>
      </c>
      <c r="F22" s="138">
        <v>6596</v>
      </c>
      <c r="G22" s="138">
        <v>3550</v>
      </c>
    </row>
    <row r="23" spans="1:7" x14ac:dyDescent="0.3">
      <c r="A23" s="137" t="s">
        <v>1148</v>
      </c>
      <c r="B23" s="137" t="s">
        <v>1149</v>
      </c>
      <c r="C23" s="136" t="s">
        <v>1150</v>
      </c>
      <c r="D23" s="138">
        <v>6595.98</v>
      </c>
      <c r="E23" s="138">
        <v>3550.1</v>
      </c>
      <c r="F23" s="138">
        <v>6596</v>
      </c>
      <c r="G23" s="138">
        <v>3550</v>
      </c>
    </row>
    <row r="24" spans="1:7" x14ac:dyDescent="0.3">
      <c r="A24" s="137">
        <v>2</v>
      </c>
      <c r="B24" s="137" t="s">
        <v>1151</v>
      </c>
      <c r="C24" s="136" t="s">
        <v>1152</v>
      </c>
      <c r="D24" s="138">
        <v>0</v>
      </c>
      <c r="E24" s="138">
        <v>0</v>
      </c>
      <c r="F24" s="138">
        <v>0</v>
      </c>
      <c r="G24" s="138">
        <v>0</v>
      </c>
    </row>
    <row r="25" spans="1:7" x14ac:dyDescent="0.3">
      <c r="A25" s="137" t="s">
        <v>1153</v>
      </c>
      <c r="B25" s="137" t="s">
        <v>1154</v>
      </c>
      <c r="C25" s="136" t="s">
        <v>1155</v>
      </c>
      <c r="D25" s="138">
        <v>0</v>
      </c>
      <c r="E25" s="138">
        <v>0</v>
      </c>
      <c r="F25" s="138">
        <v>0</v>
      </c>
      <c r="G25" s="138">
        <v>0</v>
      </c>
    </row>
    <row r="26" spans="1:7" x14ac:dyDescent="0.3">
      <c r="A26" s="137" t="s">
        <v>1095</v>
      </c>
      <c r="B26" s="137" t="s">
        <v>1156</v>
      </c>
      <c r="C26" s="136" t="s">
        <v>1157</v>
      </c>
      <c r="D26" s="138">
        <v>-6.93</v>
      </c>
      <c r="E26" s="138">
        <v>169.47</v>
      </c>
      <c r="F26" s="138">
        <v>-7</v>
      </c>
      <c r="G26" s="138">
        <v>169</v>
      </c>
    </row>
    <row r="27" spans="1:7" x14ac:dyDescent="0.3">
      <c r="A27" s="137" t="s">
        <v>1158</v>
      </c>
      <c r="B27" s="137" t="s">
        <v>1159</v>
      </c>
      <c r="C27" s="136" t="s">
        <v>1160</v>
      </c>
      <c r="D27" s="138">
        <v>1371.97</v>
      </c>
      <c r="E27" s="138">
        <v>482.95</v>
      </c>
      <c r="F27" s="138">
        <v>1372</v>
      </c>
      <c r="G27" s="138">
        <v>483</v>
      </c>
    </row>
    <row r="28" spans="1:7" x14ac:dyDescent="0.3">
      <c r="A28" s="137" t="s">
        <v>1161</v>
      </c>
      <c r="B28" s="137" t="s">
        <v>1162</v>
      </c>
      <c r="C28" s="136" t="s">
        <v>1163</v>
      </c>
      <c r="D28" s="138">
        <v>15914.62</v>
      </c>
      <c r="E28" s="138">
        <v>8792.7900000000009</v>
      </c>
      <c r="F28" s="138">
        <v>15915</v>
      </c>
      <c r="G28" s="138">
        <v>8792</v>
      </c>
    </row>
    <row r="29" spans="1:7" x14ac:dyDescent="0.3">
      <c r="A29" s="137" t="s">
        <v>1089</v>
      </c>
      <c r="B29" s="137" t="s">
        <v>1164</v>
      </c>
      <c r="C29" s="136" t="s">
        <v>1165</v>
      </c>
      <c r="D29" s="138">
        <v>84030.96</v>
      </c>
      <c r="E29" s="138">
        <v>70004.259999999995</v>
      </c>
      <c r="F29" s="138">
        <v>84032</v>
      </c>
      <c r="G29" s="138">
        <v>70003</v>
      </c>
    </row>
    <row r="30" spans="1:7" x14ac:dyDescent="0.3">
      <c r="A30" s="137" t="s">
        <v>1092</v>
      </c>
      <c r="B30" s="137" t="s">
        <v>1166</v>
      </c>
      <c r="C30" s="136" t="s">
        <v>1167</v>
      </c>
      <c r="D30" s="138">
        <v>1015.84</v>
      </c>
      <c r="E30" s="138">
        <v>792.42</v>
      </c>
      <c r="F30" s="138">
        <v>1016</v>
      </c>
      <c r="G30" s="138">
        <v>792</v>
      </c>
    </row>
    <row r="31" spans="1:7" x14ac:dyDescent="0.3">
      <c r="A31" s="137" t="s">
        <v>1168</v>
      </c>
      <c r="B31" s="137" t="s">
        <v>1169</v>
      </c>
      <c r="C31" s="136" t="s">
        <v>1170</v>
      </c>
      <c r="D31" s="138">
        <v>0</v>
      </c>
      <c r="E31" s="138">
        <v>0</v>
      </c>
      <c r="F31" s="138">
        <v>0</v>
      </c>
      <c r="G31" s="138">
        <v>0</v>
      </c>
    </row>
    <row r="32" spans="1:7" x14ac:dyDescent="0.3">
      <c r="A32" s="137" t="s">
        <v>1171</v>
      </c>
      <c r="B32" s="137" t="s">
        <v>1172</v>
      </c>
      <c r="C32" s="136" t="s">
        <v>1173</v>
      </c>
      <c r="D32" s="138">
        <v>0</v>
      </c>
      <c r="E32" s="138">
        <v>0</v>
      </c>
      <c r="F32" s="138">
        <v>0</v>
      </c>
      <c r="G32" s="138">
        <v>0</v>
      </c>
    </row>
    <row r="33" spans="1:7" x14ac:dyDescent="0.3">
      <c r="A33" s="137" t="s">
        <v>1174</v>
      </c>
      <c r="B33" s="137" t="s">
        <v>1175</v>
      </c>
      <c r="C33" s="136" t="s">
        <v>1176</v>
      </c>
      <c r="D33" s="138">
        <v>0</v>
      </c>
      <c r="E33" s="138">
        <v>0</v>
      </c>
      <c r="F33" s="138">
        <v>0</v>
      </c>
      <c r="G33" s="138">
        <v>0</v>
      </c>
    </row>
    <row r="34" spans="1:7" x14ac:dyDescent="0.3">
      <c r="A34" s="137">
        <v>2</v>
      </c>
      <c r="B34" s="137" t="s">
        <v>1177</v>
      </c>
      <c r="C34" s="136" t="s">
        <v>1178</v>
      </c>
      <c r="D34" s="138">
        <v>0</v>
      </c>
      <c r="E34" s="138">
        <v>0</v>
      </c>
      <c r="F34" s="138">
        <v>0</v>
      </c>
      <c r="G34" s="138">
        <v>0</v>
      </c>
    </row>
    <row r="35" spans="1:7" x14ac:dyDescent="0.3">
      <c r="A35" s="137">
        <v>3</v>
      </c>
      <c r="B35" s="137" t="s">
        <v>1179</v>
      </c>
      <c r="C35" s="136" t="s">
        <v>1180</v>
      </c>
      <c r="D35" s="138">
        <v>0</v>
      </c>
      <c r="E35" s="138">
        <v>0</v>
      </c>
      <c r="F35" s="138">
        <v>0</v>
      </c>
      <c r="G35" s="138">
        <v>0</v>
      </c>
    </row>
    <row r="36" spans="1:7" x14ac:dyDescent="0.3">
      <c r="A36" s="137" t="s">
        <v>1181</v>
      </c>
      <c r="B36" s="137" t="s">
        <v>1182</v>
      </c>
      <c r="C36" s="136" t="s">
        <v>1183</v>
      </c>
      <c r="D36" s="138">
        <v>0</v>
      </c>
      <c r="E36" s="138">
        <v>0</v>
      </c>
      <c r="F36" s="138">
        <v>0</v>
      </c>
      <c r="G36" s="138">
        <v>0</v>
      </c>
    </row>
    <row r="37" spans="1:7" x14ac:dyDescent="0.3">
      <c r="A37" s="137" t="s">
        <v>1184</v>
      </c>
      <c r="B37" s="137" t="s">
        <v>1185</v>
      </c>
      <c r="C37" s="136" t="s">
        <v>1186</v>
      </c>
      <c r="D37" s="138">
        <v>0</v>
      </c>
      <c r="E37" s="138">
        <v>0</v>
      </c>
      <c r="F37" s="138">
        <v>0</v>
      </c>
      <c r="G37" s="138">
        <v>0</v>
      </c>
    </row>
    <row r="38" spans="1:7" x14ac:dyDescent="0.3">
      <c r="A38" s="137">
        <v>2</v>
      </c>
      <c r="B38" s="137" t="s">
        <v>1187</v>
      </c>
      <c r="C38" s="136" t="s">
        <v>1188</v>
      </c>
      <c r="D38" s="138">
        <v>0</v>
      </c>
      <c r="E38" s="138">
        <v>0</v>
      </c>
      <c r="F38" s="138">
        <v>0</v>
      </c>
      <c r="G38" s="138">
        <v>0</v>
      </c>
    </row>
    <row r="39" spans="1:7" x14ac:dyDescent="0.3">
      <c r="A39" s="137">
        <v>3</v>
      </c>
      <c r="B39" s="137" t="s">
        <v>1189</v>
      </c>
      <c r="C39" s="136" t="s">
        <v>1190</v>
      </c>
      <c r="D39" s="138">
        <v>0</v>
      </c>
      <c r="E39" s="138">
        <v>0</v>
      </c>
      <c r="F39" s="138">
        <v>0</v>
      </c>
      <c r="G39" s="138">
        <v>0</v>
      </c>
    </row>
    <row r="40" spans="1:7" x14ac:dyDescent="0.3">
      <c r="A40" s="137" t="s">
        <v>1191</v>
      </c>
      <c r="B40" s="137" t="s">
        <v>1192</v>
      </c>
      <c r="C40" s="136" t="s">
        <v>1193</v>
      </c>
      <c r="D40" s="138">
        <v>1015.84</v>
      </c>
      <c r="E40" s="138">
        <v>792.42</v>
      </c>
      <c r="F40" s="138">
        <v>1016</v>
      </c>
      <c r="G40" s="138">
        <v>792</v>
      </c>
    </row>
    <row r="41" spans="1:7" x14ac:dyDescent="0.3">
      <c r="A41" s="137" t="s">
        <v>1194</v>
      </c>
      <c r="B41" s="137" t="s">
        <v>1195</v>
      </c>
      <c r="C41" s="136" t="s">
        <v>1196</v>
      </c>
      <c r="D41" s="138">
        <v>1015.84</v>
      </c>
      <c r="E41" s="138">
        <v>792.42</v>
      </c>
      <c r="F41" s="138">
        <v>1016</v>
      </c>
      <c r="G41" s="138">
        <v>792</v>
      </c>
    </row>
    <row r="42" spans="1:7" x14ac:dyDescent="0.3">
      <c r="A42" s="137">
        <v>2</v>
      </c>
      <c r="B42" s="137" t="s">
        <v>1197</v>
      </c>
      <c r="C42" s="136" t="s">
        <v>1198</v>
      </c>
      <c r="D42" s="138">
        <v>0</v>
      </c>
      <c r="E42" s="138">
        <v>0</v>
      </c>
      <c r="F42" s="138">
        <v>0</v>
      </c>
      <c r="G42" s="138">
        <v>0</v>
      </c>
    </row>
    <row r="43" spans="1:7" x14ac:dyDescent="0.3">
      <c r="A43" s="137" t="s">
        <v>1199</v>
      </c>
      <c r="B43" s="137" t="s">
        <v>1200</v>
      </c>
      <c r="C43" s="136" t="s">
        <v>1201</v>
      </c>
      <c r="D43" s="138">
        <v>0</v>
      </c>
      <c r="E43" s="138">
        <v>0</v>
      </c>
      <c r="F43" s="138">
        <v>0</v>
      </c>
      <c r="G43" s="138">
        <v>0</v>
      </c>
    </row>
    <row r="44" spans="1:7" x14ac:dyDescent="0.3">
      <c r="A44" s="137" t="s">
        <v>1202</v>
      </c>
      <c r="B44" s="137" t="s">
        <v>1203</v>
      </c>
      <c r="C44" s="136" t="s">
        <v>1204</v>
      </c>
      <c r="D44" s="138">
        <v>0</v>
      </c>
      <c r="E44" s="138">
        <v>0</v>
      </c>
      <c r="F44" s="138">
        <v>0</v>
      </c>
      <c r="G44" s="138">
        <v>0</v>
      </c>
    </row>
    <row r="45" spans="1:7" x14ac:dyDescent="0.3">
      <c r="A45" s="137" t="s">
        <v>1205</v>
      </c>
      <c r="B45" s="137" t="s">
        <v>1206</v>
      </c>
      <c r="C45" s="136" t="s">
        <v>1207</v>
      </c>
      <c r="D45" s="138">
        <v>0</v>
      </c>
      <c r="E45" s="138">
        <v>0</v>
      </c>
      <c r="F45" s="138">
        <v>0</v>
      </c>
      <c r="G45" s="138">
        <v>0</v>
      </c>
    </row>
    <row r="46" spans="1:7" x14ac:dyDescent="0.3">
      <c r="A46" s="137" t="s">
        <v>1092</v>
      </c>
      <c r="B46" s="137" t="s">
        <v>1208</v>
      </c>
      <c r="C46" s="136" t="s">
        <v>1209</v>
      </c>
      <c r="D46" s="138">
        <v>1103.9000000000001</v>
      </c>
      <c r="E46" s="138">
        <v>1210.6600000000001</v>
      </c>
      <c r="F46" s="138">
        <v>1104</v>
      </c>
      <c r="G46" s="138">
        <v>1210</v>
      </c>
    </row>
    <row r="47" spans="1:7" x14ac:dyDescent="0.3">
      <c r="A47" s="137" t="s">
        <v>1210</v>
      </c>
      <c r="B47" s="137" t="s">
        <v>1211</v>
      </c>
      <c r="C47" s="136" t="s">
        <v>1212</v>
      </c>
      <c r="D47" s="138">
        <v>0</v>
      </c>
      <c r="E47" s="138">
        <v>0</v>
      </c>
      <c r="F47" s="138">
        <v>0</v>
      </c>
      <c r="G47" s="138">
        <v>0</v>
      </c>
    </row>
    <row r="48" spans="1:7" x14ac:dyDescent="0.3">
      <c r="A48" s="137" t="s">
        <v>1213</v>
      </c>
      <c r="B48" s="137" t="s">
        <v>1214</v>
      </c>
      <c r="C48" s="136" t="s">
        <v>1215</v>
      </c>
      <c r="D48" s="138">
        <v>0</v>
      </c>
      <c r="E48" s="138">
        <v>0</v>
      </c>
      <c r="F48" s="138">
        <v>0</v>
      </c>
      <c r="G48" s="138">
        <v>0</v>
      </c>
    </row>
    <row r="49" spans="1:7" x14ac:dyDescent="0.3">
      <c r="A49" s="137" t="s">
        <v>1216</v>
      </c>
      <c r="B49" s="137" t="s">
        <v>1217</v>
      </c>
      <c r="C49" s="136" t="s">
        <v>1218</v>
      </c>
      <c r="D49" s="138">
        <v>0</v>
      </c>
      <c r="E49" s="138">
        <v>0</v>
      </c>
      <c r="F49" s="138">
        <v>0</v>
      </c>
      <c r="G49" s="138">
        <v>0</v>
      </c>
    </row>
    <row r="50" spans="1:7" x14ac:dyDescent="0.3">
      <c r="A50" s="137" t="s">
        <v>1219</v>
      </c>
      <c r="B50" s="137" t="s">
        <v>1220</v>
      </c>
      <c r="C50" s="136" t="s">
        <v>1221</v>
      </c>
      <c r="D50" s="138">
        <v>0</v>
      </c>
      <c r="E50" s="138">
        <v>6.44</v>
      </c>
      <c r="F50" s="138">
        <v>0</v>
      </c>
      <c r="G50" s="138">
        <v>6</v>
      </c>
    </row>
    <row r="51" spans="1:7" x14ac:dyDescent="0.3">
      <c r="A51" s="137" t="s">
        <v>1222</v>
      </c>
      <c r="B51" s="137" t="s">
        <v>1223</v>
      </c>
      <c r="C51" s="136" t="s">
        <v>1224</v>
      </c>
      <c r="D51" s="138">
        <v>0</v>
      </c>
      <c r="E51" s="138">
        <v>6.44</v>
      </c>
      <c r="F51" s="138">
        <v>0</v>
      </c>
      <c r="G51" s="138">
        <v>6</v>
      </c>
    </row>
    <row r="52" spans="1:7" x14ac:dyDescent="0.3">
      <c r="A52" s="137">
        <v>2</v>
      </c>
      <c r="B52" s="137" t="s">
        <v>1225</v>
      </c>
      <c r="C52" s="136" t="s">
        <v>1226</v>
      </c>
      <c r="D52" s="138">
        <v>0</v>
      </c>
      <c r="E52" s="138">
        <v>0</v>
      </c>
      <c r="F52" s="138">
        <v>0</v>
      </c>
      <c r="G52" s="138">
        <v>0</v>
      </c>
    </row>
    <row r="53" spans="1:7" x14ac:dyDescent="0.3">
      <c r="A53" s="137" t="s">
        <v>1227</v>
      </c>
      <c r="B53" s="137" t="s">
        <v>1228</v>
      </c>
      <c r="C53" s="136" t="s">
        <v>1229</v>
      </c>
      <c r="D53" s="138">
        <v>0</v>
      </c>
      <c r="E53" s="138">
        <v>0</v>
      </c>
      <c r="F53" s="138">
        <v>0</v>
      </c>
      <c r="G53" s="138">
        <v>0</v>
      </c>
    </row>
    <row r="54" spans="1:7" x14ac:dyDescent="0.3">
      <c r="A54" s="137" t="s">
        <v>1230</v>
      </c>
      <c r="B54" s="137" t="s">
        <v>1231</v>
      </c>
      <c r="C54" s="136" t="s">
        <v>1232</v>
      </c>
      <c r="D54" s="138">
        <v>0</v>
      </c>
      <c r="E54" s="138">
        <v>0</v>
      </c>
      <c r="F54" s="138">
        <v>0</v>
      </c>
      <c r="G54" s="138">
        <v>0</v>
      </c>
    </row>
    <row r="55" spans="1:7" x14ac:dyDescent="0.3">
      <c r="A55" s="137" t="s">
        <v>1233</v>
      </c>
      <c r="B55" s="137" t="s">
        <v>1234</v>
      </c>
      <c r="C55" s="136" t="s">
        <v>1235</v>
      </c>
      <c r="D55" s="138">
        <v>1103.9000000000001</v>
      </c>
      <c r="E55" s="138">
        <v>1204.22</v>
      </c>
      <c r="F55" s="138">
        <v>1104</v>
      </c>
      <c r="G55" s="138">
        <v>1204</v>
      </c>
    </row>
    <row r="56" spans="1:7" x14ac:dyDescent="0.3">
      <c r="A56" s="137" t="s">
        <v>1161</v>
      </c>
      <c r="B56" s="137" t="s">
        <v>1236</v>
      </c>
      <c r="C56" s="136" t="s">
        <v>1237</v>
      </c>
      <c r="D56" s="138">
        <v>-88.06</v>
      </c>
      <c r="E56" s="138">
        <v>-418.24</v>
      </c>
      <c r="F56" s="138">
        <v>-88</v>
      </c>
      <c r="G56" s="138">
        <v>-418</v>
      </c>
    </row>
    <row r="57" spans="1:7" x14ac:dyDescent="0.3">
      <c r="A57" s="137" t="s">
        <v>1238</v>
      </c>
      <c r="B57" s="137" t="s">
        <v>1239</v>
      </c>
      <c r="C57" s="136" t="s">
        <v>1240</v>
      </c>
      <c r="D57" s="138">
        <v>15826.56</v>
      </c>
      <c r="E57" s="138">
        <v>8374.5499999999993</v>
      </c>
      <c r="F57" s="138">
        <v>15827</v>
      </c>
      <c r="G57" s="138">
        <v>8374</v>
      </c>
    </row>
    <row r="58" spans="1:7" x14ac:dyDescent="0.3">
      <c r="A58" s="137" t="s">
        <v>1241</v>
      </c>
      <c r="B58" s="137" t="s">
        <v>1242</v>
      </c>
      <c r="C58" s="136" t="s">
        <v>1243</v>
      </c>
      <c r="D58" s="138">
        <v>3613.4</v>
      </c>
      <c r="E58" s="138">
        <v>2271.23</v>
      </c>
      <c r="F58" s="138">
        <v>3614</v>
      </c>
      <c r="G58" s="138">
        <v>2271</v>
      </c>
    </row>
    <row r="59" spans="1:7" x14ac:dyDescent="0.3">
      <c r="A59" s="137" t="s">
        <v>1244</v>
      </c>
      <c r="B59" s="137" t="s">
        <v>1245</v>
      </c>
      <c r="C59" s="136" t="s">
        <v>1246</v>
      </c>
      <c r="D59" s="138">
        <v>4058.86</v>
      </c>
      <c r="E59" s="138">
        <v>2764.16</v>
      </c>
      <c r="F59" s="138">
        <v>4059</v>
      </c>
      <c r="G59" s="138">
        <v>2764</v>
      </c>
    </row>
    <row r="60" spans="1:7" x14ac:dyDescent="0.3">
      <c r="A60" s="137">
        <v>2</v>
      </c>
      <c r="B60" s="137" t="s">
        <v>1247</v>
      </c>
      <c r="C60" s="136" t="s">
        <v>1248</v>
      </c>
      <c r="D60" s="138">
        <v>-445.46</v>
      </c>
      <c r="E60" s="138">
        <v>-492.93</v>
      </c>
      <c r="F60" s="138">
        <v>-445</v>
      </c>
      <c r="G60" s="138">
        <v>-493</v>
      </c>
    </row>
    <row r="61" spans="1:7" x14ac:dyDescent="0.3">
      <c r="A61" s="137" t="s">
        <v>1249</v>
      </c>
      <c r="B61" s="137" t="s">
        <v>1250</v>
      </c>
      <c r="C61" s="136" t="s">
        <v>1251</v>
      </c>
      <c r="D61" s="138">
        <v>0</v>
      </c>
      <c r="E61" s="138">
        <v>0</v>
      </c>
      <c r="F61" s="138">
        <v>0</v>
      </c>
      <c r="G61" s="138">
        <v>0</v>
      </c>
    </row>
    <row r="62" spans="1:7" x14ac:dyDescent="0.3">
      <c r="A62" s="137" t="s">
        <v>1238</v>
      </c>
      <c r="B62" s="137" t="s">
        <v>1252</v>
      </c>
      <c r="C62" s="136" t="s">
        <v>1253</v>
      </c>
      <c r="D62" s="138">
        <v>12213.16</v>
      </c>
      <c r="E62" s="138">
        <v>6103.32</v>
      </c>
      <c r="F62" s="138">
        <v>12213</v>
      </c>
      <c r="G62" s="138">
        <v>6103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6"/>
  <sheetViews>
    <sheetView showGridLines="0" tabSelected="1" topLeftCell="A13" zoomScaleNormal="100" workbookViewId="0">
      <selection activeCell="B1" sqref="B1:B2"/>
    </sheetView>
  </sheetViews>
  <sheetFormatPr defaultColWidth="9.109375" defaultRowHeight="14.4" x14ac:dyDescent="0.3"/>
  <cols>
    <col min="1" max="1" width="29.33203125" style="135" customWidth="1"/>
    <col min="2" max="4" width="11.33203125" style="135" customWidth="1"/>
    <col min="5" max="5" width="12.5546875" style="135" customWidth="1"/>
    <col min="6" max="10" width="11.33203125" style="135" customWidth="1"/>
    <col min="11" max="16384" width="9.109375" style="135"/>
  </cols>
  <sheetData>
    <row r="1" spans="1:33" x14ac:dyDescent="0.3">
      <c r="A1" t="str">
        <f>VYSVETLIVKY!$B$39</f>
        <v>Poznámky Úč POD 3-01</v>
      </c>
      <c r="J1" s="248" t="str">
        <f>VYSVETLIVKY!$B$40</f>
        <v>IČO : 46043381</v>
      </c>
    </row>
    <row r="2" spans="1:33" x14ac:dyDescent="0.3">
      <c r="J2" s="248" t="str">
        <f>VYSVETLIVKY!$B$41</f>
        <v>DIČ : 2023202038</v>
      </c>
    </row>
    <row r="3" spans="1:33" x14ac:dyDescent="0.3">
      <c r="A3" s="170" t="s">
        <v>394</v>
      </c>
    </row>
    <row r="4" spans="1:33" ht="15" thickBot="1" x14ac:dyDescent="0.35">
      <c r="A4" s="171" t="s">
        <v>7</v>
      </c>
    </row>
    <row r="5" spans="1:33" ht="16.5" customHeight="1" thickTop="1" thickBot="1" x14ac:dyDescent="0.35">
      <c r="A5" s="257" t="s">
        <v>28</v>
      </c>
      <c r="B5" s="251" t="s">
        <v>2</v>
      </c>
      <c r="C5" s="252"/>
      <c r="D5" s="252"/>
      <c r="E5" s="252"/>
      <c r="F5" s="252"/>
      <c r="G5" s="252"/>
      <c r="H5" s="252"/>
      <c r="I5" s="252"/>
      <c r="J5" s="253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</row>
    <row r="6" spans="1:33" ht="62.25" customHeight="1" thickTop="1" thickBot="1" x14ac:dyDescent="0.35">
      <c r="A6" s="258"/>
      <c r="B6" s="162" t="s">
        <v>29</v>
      </c>
      <c r="C6" s="162" t="s">
        <v>30</v>
      </c>
      <c r="D6" s="162" t="s">
        <v>31</v>
      </c>
      <c r="E6" s="162" t="s">
        <v>312</v>
      </c>
      <c r="F6" s="162" t="s">
        <v>32</v>
      </c>
      <c r="G6" s="162" t="s">
        <v>33</v>
      </c>
      <c r="H6" s="162" t="s">
        <v>313</v>
      </c>
      <c r="I6" s="162" t="s">
        <v>34</v>
      </c>
      <c r="J6" s="162" t="s">
        <v>8</v>
      </c>
    </row>
    <row r="7" spans="1:33" ht="15" customHeight="1" thickTop="1" thickBot="1" x14ac:dyDescent="0.35">
      <c r="A7" s="173" t="s">
        <v>16</v>
      </c>
      <c r="B7" s="152"/>
      <c r="C7" s="152"/>
      <c r="D7" s="152"/>
      <c r="E7" s="152"/>
      <c r="F7" s="152"/>
      <c r="G7" s="152"/>
      <c r="H7" s="152"/>
      <c r="I7" s="152"/>
      <c r="J7" s="153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</row>
    <row r="8" spans="1:33" ht="15.6" thickTop="1" thickBot="1" x14ac:dyDescent="0.35">
      <c r="A8" s="174" t="s">
        <v>17</v>
      </c>
      <c r="B8" s="164">
        <f>SUMIF(HK!A:A,"031*",HK!C:C)-SUMIF(HK!A:A,"031*",HK!D:D)</f>
        <v>0</v>
      </c>
      <c r="C8" s="164">
        <f>SUMIF(HK!A:A,"021*",HK!C:C)-SUMIF(HK!A:A,"021*",HK!D:D)</f>
        <v>30856.080000000002</v>
      </c>
      <c r="D8" s="164">
        <f>SUMIF(HK!A:A,"022*",HK!C:C)-SUMIF(HK!A:A,"022*",HK!D:D)</f>
        <v>13293</v>
      </c>
      <c r="E8" s="164">
        <f>SUMIF(HK!A:A,"025*",HK!C:C)-SUMIF(HK!A:A,"025*",HK!D:D)</f>
        <v>0</v>
      </c>
      <c r="F8" s="164">
        <f>SUMIF(HK!A:A,"026*",HK!C:C)-SUMIF(HK!A:A,"026*",HK!D:D)</f>
        <v>0</v>
      </c>
      <c r="G8" s="164">
        <f>SUMIF(HK!A:A,"029*",HK!C:C)-SUMIF(HK!A:A,"029*",HK!D:D)</f>
        <v>10422.380000000001</v>
      </c>
      <c r="H8" s="164">
        <f>SUMIF(HK!A:A,"042*",HK!C:C)-SUMIF(HK!A:A,"042*",HK!D:D)</f>
        <v>565.47</v>
      </c>
      <c r="I8" s="164">
        <f>SUMIF(HK!A:A,"052*",HK!C:C)-SUMIF(HK!A:A,"052*",HK!D:D)</f>
        <v>0</v>
      </c>
      <c r="J8" s="149">
        <f>SUM(B8:I8)</f>
        <v>55136.930000000008</v>
      </c>
      <c r="L8" s="150"/>
    </row>
    <row r="9" spans="1:33" ht="15" customHeight="1" thickBot="1" x14ac:dyDescent="0.35">
      <c r="A9" s="175" t="s">
        <v>18</v>
      </c>
      <c r="B9" s="131">
        <f>SUMIF(HK!A:A,"031*",HK!I:I)</f>
        <v>0</v>
      </c>
      <c r="C9" s="131">
        <f>SUMIF(HK!A:A,"021*",HK!I:I)</f>
        <v>0</v>
      </c>
      <c r="D9" s="131">
        <f>SUMIF(HK!A:A,"022*",HK!I:I)</f>
        <v>2171.1999999999998</v>
      </c>
      <c r="E9" s="131">
        <f>SUMIF(HK!A:A,"025*",HK!I:I)</f>
        <v>0</v>
      </c>
      <c r="F9" s="132">
        <f>SUMIF(HK!A:A,"026*",HK!I:I)</f>
        <v>0</v>
      </c>
      <c r="G9" s="131">
        <f>SUMIF(HK!A:A,"029*",HK!I:I)</f>
        <v>3049.62</v>
      </c>
      <c r="H9" s="131">
        <f>SUMIF(HK!A:A,"042*",HK!I:I)</f>
        <v>6825.35</v>
      </c>
      <c r="I9" s="131">
        <f>SUMIF(HK!A:A,"052*",HK!I:I)</f>
        <v>0</v>
      </c>
      <c r="J9" s="149">
        <f t="shared" ref="J9:J11" si="0">SUM(B9:I9)</f>
        <v>12046.17</v>
      </c>
    </row>
    <row r="10" spans="1:33" ht="15" customHeight="1" thickBot="1" x14ac:dyDescent="0.35">
      <c r="A10" s="175" t="s">
        <v>19</v>
      </c>
      <c r="B10" s="131">
        <f>SUMIF(HK!A:A,"031*",HK!J:J)</f>
        <v>0</v>
      </c>
      <c r="C10" s="131">
        <f>SUMIF(HK!A:A,"021*",HK!J:J)</f>
        <v>0</v>
      </c>
      <c r="D10" s="131">
        <f>SUMIF(HK!A:A,"022*",HK!J:J)</f>
        <v>0</v>
      </c>
      <c r="E10" s="131">
        <f>SUMIF(HK!A:A,"025*",HK!J:J)</f>
        <v>0</v>
      </c>
      <c r="F10" s="132">
        <f>SUMIF(HK!A:A,"026*",HK!J:J)</f>
        <v>0</v>
      </c>
      <c r="G10" s="131">
        <f>SUMIF(HK!A:A,"029*",HK!J:J)</f>
        <v>403.24</v>
      </c>
      <c r="H10" s="131">
        <f>SUMIF(HK!A:A,"042*",HK!J:J)</f>
        <v>5220.82</v>
      </c>
      <c r="I10" s="131">
        <f>SUMIF(HK!A:A,"052*",HK!J:J)</f>
        <v>0</v>
      </c>
      <c r="J10" s="149">
        <f t="shared" si="0"/>
        <v>5624.0599999999995</v>
      </c>
    </row>
    <row r="11" spans="1:33" ht="15" customHeight="1" thickBot="1" x14ac:dyDescent="0.35">
      <c r="A11" s="175" t="s">
        <v>20</v>
      </c>
      <c r="B11" s="131"/>
      <c r="C11" s="131"/>
      <c r="D11" s="131"/>
      <c r="E11" s="131"/>
      <c r="F11" s="132"/>
      <c r="G11" s="131"/>
      <c r="H11" s="131"/>
      <c r="I11" s="131"/>
      <c r="J11" s="149">
        <f t="shared" si="0"/>
        <v>0</v>
      </c>
    </row>
    <row r="12" spans="1:33" ht="15" thickBot="1" x14ac:dyDescent="0.35">
      <c r="A12" s="176" t="s">
        <v>21</v>
      </c>
      <c r="B12" s="164">
        <f>SUMIF(HK!A:A,"031*",HK!K:K)-SUMIF(HK!A:A,"031*",HK!L:L)</f>
        <v>0</v>
      </c>
      <c r="C12" s="164">
        <f>SUMIF(HK!A:A,"021*",HK!K:K)-SUMIF(HK!A:A,"021*",HK!L:L)</f>
        <v>30856.080000000002</v>
      </c>
      <c r="D12" s="164">
        <f>SUMIF(HK!A:A,"022*",HK!K:K)-SUMIF(HK!A:A,"022*",HK!L:L)</f>
        <v>15464.2</v>
      </c>
      <c r="E12" s="164">
        <f>SUMIF(HK!A:A,"025*",HK!K:K)-SUMIF(HK!A:A,"025*",HK!L:L)</f>
        <v>0</v>
      </c>
      <c r="F12" s="164">
        <f>SUMIF(HK!A:A,"026*",HK!K:K)-SUMIF(HK!A:A,"026*",HK!L:L)</f>
        <v>0</v>
      </c>
      <c r="G12" s="164">
        <f>SUMIF(HK!A:A,"029*",HK!K:K)-SUMIF(HK!A:A,"029*",HK!L:L)</f>
        <v>13068.76</v>
      </c>
      <c r="H12" s="164">
        <f>SUMIF(HK!A:A,"042*",HK!K:K)-SUMIF(HK!A:A,"042*",HK!L:L)</f>
        <v>2170</v>
      </c>
      <c r="I12" s="164">
        <f>SUMIF(HK!A:A,"052*",HK!K:K)-SUMIF(HK!A:A,"052*",HK!L:L)</f>
        <v>0</v>
      </c>
      <c r="J12" s="151">
        <f>J8+J9-J10+J11</f>
        <v>61559.040000000008</v>
      </c>
      <c r="L12" s="150"/>
    </row>
    <row r="13" spans="1:33" ht="15" customHeight="1" thickTop="1" thickBot="1" x14ac:dyDescent="0.35">
      <c r="A13" s="173" t="s">
        <v>22</v>
      </c>
      <c r="B13" s="169"/>
      <c r="C13" s="169"/>
      <c r="D13" s="169"/>
      <c r="E13" s="169"/>
      <c r="F13" s="169"/>
      <c r="G13" s="169"/>
      <c r="H13" s="169"/>
      <c r="I13" s="169"/>
      <c r="J13" s="153"/>
    </row>
    <row r="14" spans="1:33" ht="15.6" thickTop="1" thickBot="1" x14ac:dyDescent="0.35">
      <c r="A14" s="174" t="s">
        <v>23</v>
      </c>
      <c r="B14" s="131"/>
      <c r="C14" s="164">
        <f>SUMIF(HK!A:A,"081*",HK!D:D)-SUMIF(HK!A:A,"081*",HK!C:C)</f>
        <v>12599.86</v>
      </c>
      <c r="D14" s="164">
        <f>SUMIF(HK!A:A,"082*",HK!D:D)-SUMIF(HK!A:A,"082*",HK!C:C)</f>
        <v>184.63</v>
      </c>
      <c r="E14" s="164">
        <f>SUMIF(HK!A:A,"085*",HK!D:D)-SUMIF(HK!A:A,"085*",HK!C:C)</f>
        <v>0</v>
      </c>
      <c r="F14" s="164">
        <f>SUMIF(HK!A:A,"086*",HK!D:D)-SUMIF(HK!A:A,"086*",HK!C:C)</f>
        <v>0</v>
      </c>
      <c r="G14" s="164">
        <f>SUMIF(HK!A:A,"089*",HK!D:D)-SUMIF(HK!A:A,"089*",HK!C:C)</f>
        <v>8476.4700000000012</v>
      </c>
      <c r="H14" s="131"/>
      <c r="I14" s="131"/>
      <c r="J14" s="149">
        <f>SUM(B14:I14)</f>
        <v>21260.959999999999</v>
      </c>
      <c r="L14" s="150"/>
    </row>
    <row r="15" spans="1:33" ht="15" customHeight="1" thickBot="1" x14ac:dyDescent="0.35">
      <c r="A15" s="175" t="s">
        <v>18</v>
      </c>
      <c r="B15" s="131"/>
      <c r="C15" s="131">
        <f>SUMIF(HK!A:A,"081*",HK!J:J)</f>
        <v>1542.8400000000001</v>
      </c>
      <c r="D15" s="131">
        <f>SUMIF(HK!A:A,"082*",HK!J:J)</f>
        <v>2577.48</v>
      </c>
      <c r="E15" s="131">
        <f>SUMIF(HK!A:A,"085*",HK!J:J)</f>
        <v>0</v>
      </c>
      <c r="F15" s="131">
        <f>SUMIF(HK!A:A,"086*",HK!J:J)</f>
        <v>0</v>
      </c>
      <c r="G15" s="131">
        <f>SUMIF(HK!A:A,"089*",HK!J:J)</f>
        <v>2335.62</v>
      </c>
      <c r="H15" s="131"/>
      <c r="I15" s="131"/>
      <c r="J15" s="149">
        <f t="shared" ref="J15:J17" si="1">SUM(B15:I15)</f>
        <v>6455.94</v>
      </c>
    </row>
    <row r="16" spans="1:33" ht="15" customHeight="1" thickBot="1" x14ac:dyDescent="0.35">
      <c r="A16" s="175" t="s">
        <v>19</v>
      </c>
      <c r="B16" s="131"/>
      <c r="C16" s="131">
        <f>SUMIF(HK!A:A,"081*",HK!I:I)</f>
        <v>0</v>
      </c>
      <c r="D16" s="131">
        <f>SUMIF(HK!A:A,"082*",HK!I:I)</f>
        <v>0</v>
      </c>
      <c r="E16" s="131">
        <f>SUMIF(HK!A:A,"085*",HK!I:I)</f>
        <v>0</v>
      </c>
      <c r="F16" s="131">
        <f>SUMIF(HK!A:A,"086*",HK!I:I)</f>
        <v>0</v>
      </c>
      <c r="G16" s="131">
        <f>SUMIF(HK!A:A,"089*",HK!I:I)</f>
        <v>403.24</v>
      </c>
      <c r="H16" s="131"/>
      <c r="I16" s="131"/>
      <c r="J16" s="149">
        <f t="shared" si="1"/>
        <v>403.24</v>
      </c>
    </row>
    <row r="17" spans="1:33" ht="15" customHeight="1" thickBot="1" x14ac:dyDescent="0.35">
      <c r="A17" s="175" t="s">
        <v>20</v>
      </c>
      <c r="B17" s="131"/>
      <c r="C17" s="131"/>
      <c r="D17" s="131"/>
      <c r="E17" s="131"/>
      <c r="F17" s="132"/>
      <c r="G17" s="131"/>
      <c r="H17" s="131"/>
      <c r="I17" s="131"/>
      <c r="J17" s="149">
        <f t="shared" si="1"/>
        <v>0</v>
      </c>
    </row>
    <row r="18" spans="1:33" ht="15" thickBot="1" x14ac:dyDescent="0.35">
      <c r="A18" s="176" t="s">
        <v>21</v>
      </c>
      <c r="B18" s="134"/>
      <c r="C18" s="164">
        <f>SUMIF(HK!A:A,"081*",HK!L:L)-SUMIF(HK!A:A,"081*",HK!K:K)</f>
        <v>14142.7</v>
      </c>
      <c r="D18" s="164">
        <f>SUMIF(HK!A:A,"082*",HK!L:L)-SUMIF(HK!A:A,"082*",HK!K:K)</f>
        <v>2762.11</v>
      </c>
      <c r="E18" s="164">
        <f>SUMIF(HK!A:A,"085*",HK!L:L)-SUMIF(HK!A:A,"085*",HK!K:K)</f>
        <v>0</v>
      </c>
      <c r="F18" s="164">
        <f>SUMIF(HK!A:A,"086*",HK!L:L)-SUMIF(HK!A:A,"086*",HK!K:K)</f>
        <v>0</v>
      </c>
      <c r="G18" s="164">
        <f>SUMIF(HK!A:A,"089*",HK!L:L)-SUMIF(HK!A:A,"089*",HK!K:K)</f>
        <v>10408.85</v>
      </c>
      <c r="H18" s="134"/>
      <c r="I18" s="134"/>
      <c r="J18" s="151">
        <f>J14+J15-J16</f>
        <v>27313.659999999996</v>
      </c>
      <c r="L18" s="150"/>
    </row>
    <row r="19" spans="1:33" ht="15" customHeight="1" thickTop="1" thickBot="1" x14ac:dyDescent="0.35">
      <c r="A19" s="173" t="s">
        <v>24</v>
      </c>
      <c r="B19" s="169"/>
      <c r="C19" s="169"/>
      <c r="D19" s="169"/>
      <c r="E19" s="169"/>
      <c r="F19" s="169"/>
      <c r="G19" s="169"/>
      <c r="H19" s="169"/>
      <c r="I19" s="169"/>
      <c r="J19" s="153"/>
    </row>
    <row r="20" spans="1:33" ht="15.6" thickTop="1" thickBot="1" x14ac:dyDescent="0.35">
      <c r="A20" s="174" t="s">
        <v>23</v>
      </c>
      <c r="B20" s="131"/>
      <c r="C20" s="164"/>
      <c r="D20" s="164"/>
      <c r="E20" s="164"/>
      <c r="F20" s="164"/>
      <c r="G20" s="164"/>
      <c r="H20" s="164">
        <f>SUMIF(HK!A:A,"094*",HK!D:D)-SUMIF(HK!A:A,"094*",HK!C:C)</f>
        <v>0</v>
      </c>
      <c r="I20" s="164">
        <f>SUMIF(SUAM!C:C,"019",SUAM!E:E)</f>
        <v>0</v>
      </c>
      <c r="J20" s="149">
        <f>SUM(B20:I20)</f>
        <v>0</v>
      </c>
      <c r="L20" s="150"/>
      <c r="M20" s="150"/>
      <c r="N20" s="157"/>
    </row>
    <row r="21" spans="1:33" ht="15" customHeight="1" thickBot="1" x14ac:dyDescent="0.35">
      <c r="A21" s="175" t="s">
        <v>18</v>
      </c>
      <c r="B21" s="131"/>
      <c r="C21" s="131"/>
      <c r="D21" s="131"/>
      <c r="E21" s="131"/>
      <c r="F21" s="131"/>
      <c r="G21" s="131"/>
      <c r="H21" s="131">
        <f>SUMIF(HK!A:A,"094*",HK!J:J)</f>
        <v>0</v>
      </c>
      <c r="I21" s="131"/>
      <c r="J21" s="149">
        <f t="shared" ref="J21:J23" si="2">SUM(B21:I21)</f>
        <v>0</v>
      </c>
      <c r="N21" s="157"/>
    </row>
    <row r="22" spans="1:33" ht="15" customHeight="1" thickBot="1" x14ac:dyDescent="0.35">
      <c r="A22" s="175" t="s">
        <v>19</v>
      </c>
      <c r="B22" s="131"/>
      <c r="C22" s="131"/>
      <c r="D22" s="131"/>
      <c r="E22" s="131"/>
      <c r="F22" s="131"/>
      <c r="G22" s="131"/>
      <c r="H22" s="131">
        <f>SUMIF(HK!A:A,"094*",HK!I:I)</f>
        <v>0</v>
      </c>
      <c r="I22" s="131"/>
      <c r="J22" s="149">
        <f t="shared" si="2"/>
        <v>0</v>
      </c>
      <c r="N22" s="157"/>
    </row>
    <row r="23" spans="1:33" ht="15" customHeight="1" thickBot="1" x14ac:dyDescent="0.35">
      <c r="A23" s="175" t="s">
        <v>20</v>
      </c>
      <c r="B23" s="131"/>
      <c r="C23" s="131"/>
      <c r="D23" s="131"/>
      <c r="E23" s="131"/>
      <c r="F23" s="132"/>
      <c r="G23" s="131"/>
      <c r="H23" s="131"/>
      <c r="I23" s="131"/>
      <c r="J23" s="149">
        <f t="shared" si="2"/>
        <v>0</v>
      </c>
    </row>
    <row r="24" spans="1:33" ht="15" thickBot="1" x14ac:dyDescent="0.35">
      <c r="A24" s="176" t="s">
        <v>21</v>
      </c>
      <c r="B24" s="134"/>
      <c r="C24" s="164"/>
      <c r="D24" s="164"/>
      <c r="E24" s="164"/>
      <c r="F24" s="164"/>
      <c r="G24" s="164"/>
      <c r="H24" s="164">
        <f>SUMIF(HK!A:A,"094*",HK!L:L)-SUMIF(HK!A:A,"094*",HK!K:K)</f>
        <v>0</v>
      </c>
      <c r="I24" s="164">
        <f>SUMIF(SUA!C:C,"019",SUA!E:E)</f>
        <v>0</v>
      </c>
      <c r="J24" s="151">
        <f>J20+J21-J22</f>
        <v>0</v>
      </c>
      <c r="L24" s="150"/>
      <c r="M24" s="150"/>
      <c r="N24" s="157"/>
    </row>
    <row r="25" spans="1:33" ht="15" customHeight="1" thickTop="1" thickBot="1" x14ac:dyDescent="0.35">
      <c r="A25" s="173" t="s">
        <v>25</v>
      </c>
      <c r="B25" s="169"/>
      <c r="C25" s="169"/>
      <c r="D25" s="169"/>
      <c r="E25" s="169"/>
      <c r="F25" s="169"/>
      <c r="G25" s="169"/>
      <c r="H25" s="169"/>
      <c r="I25" s="169"/>
      <c r="J25" s="153"/>
    </row>
    <row r="26" spans="1:33" ht="15" customHeight="1" thickTop="1" thickBot="1" x14ac:dyDescent="0.35">
      <c r="A26" s="174" t="s">
        <v>23</v>
      </c>
      <c r="B26" s="131"/>
      <c r="C26" s="131"/>
      <c r="D26" s="131"/>
      <c r="E26" s="131"/>
      <c r="F26" s="131"/>
      <c r="G26" s="131"/>
      <c r="H26" s="131"/>
      <c r="I26" s="131"/>
      <c r="J26" s="149">
        <f t="shared" ref="J26" si="3">J8-J14-J20</f>
        <v>33875.970000000008</v>
      </c>
    </row>
    <row r="27" spans="1:33" ht="15" customHeight="1" thickBot="1" x14ac:dyDescent="0.35">
      <c r="A27" s="176" t="s">
        <v>21</v>
      </c>
      <c r="B27" s="134"/>
      <c r="C27" s="134"/>
      <c r="D27" s="134"/>
      <c r="E27" s="134"/>
      <c r="F27" s="134"/>
      <c r="G27" s="134"/>
      <c r="H27" s="134"/>
      <c r="I27" s="134"/>
      <c r="J27" s="151">
        <f t="shared" ref="J27" si="4">J12-J18-J24</f>
        <v>34245.380000000012</v>
      </c>
    </row>
    <row r="28" spans="1:33" ht="15" thickTop="1" x14ac:dyDescent="0.3">
      <c r="A28" s="159"/>
      <c r="B28" s="159"/>
      <c r="C28" s="159"/>
      <c r="D28" s="159"/>
      <c r="E28" s="159"/>
      <c r="F28" s="159"/>
      <c r="G28" s="159"/>
      <c r="H28" s="159"/>
      <c r="I28" s="159"/>
      <c r="J28" s="159"/>
    </row>
    <row r="29" spans="1:33" x14ac:dyDescent="0.3">
      <c r="A29" t="str">
        <f>VYSVETLIVKY!$B$39</f>
        <v>Poznámky Úč POD 3-01</v>
      </c>
      <c r="J29" s="248" t="str">
        <f>VYSVETLIVKY!$B$40</f>
        <v>IČO : 46043381</v>
      </c>
    </row>
    <row r="30" spans="1:33" x14ac:dyDescent="0.3">
      <c r="J30" s="248" t="str">
        <f>VYSVETLIVKY!$B$41</f>
        <v>DIČ : 2023202038</v>
      </c>
    </row>
    <row r="31" spans="1:33" ht="15" thickBot="1" x14ac:dyDescent="0.35">
      <c r="A31" s="177" t="s">
        <v>9</v>
      </c>
      <c r="B31" s="177"/>
      <c r="C31" s="177"/>
      <c r="D31" s="177"/>
      <c r="E31" s="177"/>
      <c r="F31" s="177"/>
      <c r="G31" s="177"/>
      <c r="H31" s="177"/>
      <c r="I31" s="177"/>
      <c r="J31" s="177"/>
    </row>
    <row r="32" spans="1:33" ht="16.5" customHeight="1" thickTop="1" thickBot="1" x14ac:dyDescent="0.35">
      <c r="A32" s="259" t="s">
        <v>28</v>
      </c>
      <c r="B32" s="261" t="s">
        <v>3</v>
      </c>
      <c r="C32" s="262"/>
      <c r="D32" s="262"/>
      <c r="E32" s="262"/>
      <c r="F32" s="262"/>
      <c r="G32" s="262"/>
      <c r="H32" s="262"/>
      <c r="I32" s="262"/>
      <c r="J32" s="263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</row>
    <row r="33" spans="1:25" ht="62.25" customHeight="1" thickTop="1" thickBot="1" x14ac:dyDescent="0.35">
      <c r="A33" s="260"/>
      <c r="B33" s="178" t="s">
        <v>29</v>
      </c>
      <c r="C33" s="178" t="s">
        <v>30</v>
      </c>
      <c r="D33" s="178" t="s">
        <v>31</v>
      </c>
      <c r="E33" s="178" t="s">
        <v>312</v>
      </c>
      <c r="F33" s="178" t="s">
        <v>32</v>
      </c>
      <c r="G33" s="178" t="s">
        <v>33</v>
      </c>
      <c r="H33" s="178" t="s">
        <v>313</v>
      </c>
      <c r="I33" s="178" t="s">
        <v>34</v>
      </c>
      <c r="J33" s="178" t="s">
        <v>8</v>
      </c>
    </row>
    <row r="34" spans="1:25" ht="15" customHeight="1" thickTop="1" thickBot="1" x14ac:dyDescent="0.35">
      <c r="A34" s="179" t="s">
        <v>16</v>
      </c>
      <c r="B34" s="133"/>
      <c r="C34" s="133"/>
      <c r="D34" s="133"/>
      <c r="E34" s="133"/>
      <c r="F34" s="133"/>
      <c r="G34" s="133"/>
      <c r="H34" s="133"/>
      <c r="I34" s="133"/>
      <c r="J34" s="180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</row>
    <row r="35" spans="1:25" ht="15.6" thickTop="1" thickBot="1" x14ac:dyDescent="0.35">
      <c r="A35" s="181" t="s">
        <v>17</v>
      </c>
      <c r="B35" s="164">
        <f>SUMIF(HKM!A:A,"031*",HKM!C:C)-SUMIF(HKM!A:A,"031*",HKM!D:D)</f>
        <v>0</v>
      </c>
      <c r="C35" s="164">
        <f>SUMIF(HKM!A:A,"021*",HKM!C:C)-SUMIF(HKM!A:A,"021*",HKM!D:D)</f>
        <v>30856.080000000002</v>
      </c>
      <c r="D35" s="164">
        <f>SUMIF(HKM!A:A,"022*",HKM!C:C)-SUMIF(HKM!A:A,"022*",HKM!D:D)</f>
        <v>0</v>
      </c>
      <c r="E35" s="164">
        <f>SUMIF(HKM!A:A,"025*",HKM!C:C)-SUMIF(HKM!A:A,"025*",HKM!D:D)</f>
        <v>0</v>
      </c>
      <c r="F35" s="164">
        <f>SUMIF(HKM!A:A,"026*",HKM!C:C)-SUMIF(HKM!A:A,"026*",HKM!D:D)</f>
        <v>0</v>
      </c>
      <c r="G35" s="164">
        <f>SUMIF(HKM!A:A,"029*",HKM!C:C)-SUMIF(HKM!A:A,"029*",HKM!D:D)</f>
        <v>10750.58</v>
      </c>
      <c r="H35" s="164">
        <f>SUMIF(HKM!A:A,"042*",HKM!C:C)-SUMIF(HKM!A:A,"042*",HKM!D:D)</f>
        <v>0</v>
      </c>
      <c r="I35" s="164">
        <f>SUMIF(HKM!A:A,"052*",HKM!C:C)-SUMIF(HKM!A:A,"052*",HKM!D:D)</f>
        <v>0</v>
      </c>
      <c r="J35" s="182">
        <f>SUM(B35:I35)</f>
        <v>41606.660000000003</v>
      </c>
      <c r="L35" s="150"/>
    </row>
    <row r="36" spans="1:25" ht="15" customHeight="1" thickBot="1" x14ac:dyDescent="0.35">
      <c r="A36" s="183" t="s">
        <v>18</v>
      </c>
      <c r="B36" s="131">
        <f>SUMIF(HKM!A:A,"031*",HKM!I:I)</f>
        <v>0</v>
      </c>
      <c r="C36" s="131">
        <f>SUMIF(HKM!A:A,"021*",HKM!I:I)</f>
        <v>0</v>
      </c>
      <c r="D36" s="131">
        <f>SUMIF(HKM!A:A,"022*",HKM!I:I)</f>
        <v>13293</v>
      </c>
      <c r="E36" s="131">
        <f>SUMIF(HKM!A:A,"025*",HKM!I:I)</f>
        <v>0</v>
      </c>
      <c r="F36" s="132">
        <f>SUMIF(HKM!A:A,"026*",HKM!I:I)</f>
        <v>0</v>
      </c>
      <c r="G36" s="131">
        <f>SUMIF(HKM!A:A,"029*",HKM!I:I)</f>
        <v>1944</v>
      </c>
      <c r="H36" s="131">
        <f>SUMIF(HKM!A:A,"042*",HKM!I:I)</f>
        <v>15802.470000000001</v>
      </c>
      <c r="I36" s="131">
        <f>SUMIF(HKM!A:A,"052*",HKM!I:I)</f>
        <v>0</v>
      </c>
      <c r="J36" s="182">
        <f t="shared" ref="J36:J38" si="5">SUM(B36:I36)</f>
        <v>31039.47</v>
      </c>
    </row>
    <row r="37" spans="1:25" ht="15" customHeight="1" thickBot="1" x14ac:dyDescent="0.35">
      <c r="A37" s="183" t="s">
        <v>19</v>
      </c>
      <c r="B37" s="131">
        <f>SUMIF(HKM!A:A,"031*",HKM!J:J)</f>
        <v>0</v>
      </c>
      <c r="C37" s="131">
        <f>SUMIF(HKM!A:A,"021*",HKM!J:J)</f>
        <v>0</v>
      </c>
      <c r="D37" s="131">
        <f>SUMIF(HKM!A:A,"022*",HKM!J:J)</f>
        <v>0</v>
      </c>
      <c r="E37" s="131">
        <f>SUMIF(HKM!A:A,"025*",HKM!J:J)</f>
        <v>0</v>
      </c>
      <c r="F37" s="132">
        <f>SUMIF(HKM!A:A,"026*",HKM!J:J)</f>
        <v>0</v>
      </c>
      <c r="G37" s="131">
        <f>SUMIF(HKM!A:A,"029*",HKM!J:J)</f>
        <v>2272.2000000000003</v>
      </c>
      <c r="H37" s="131">
        <f>SUMIF(HKM!A:A,"042*",HKM!J:J)</f>
        <v>15237</v>
      </c>
      <c r="I37" s="131">
        <f>SUMIF(HKM!A:A,"052*",HKM!J:J)</f>
        <v>0</v>
      </c>
      <c r="J37" s="182">
        <f t="shared" si="5"/>
        <v>17509.2</v>
      </c>
    </row>
    <row r="38" spans="1:25" ht="15" customHeight="1" thickBot="1" x14ac:dyDescent="0.35">
      <c r="A38" s="183" t="s">
        <v>20</v>
      </c>
      <c r="B38" s="131"/>
      <c r="C38" s="131"/>
      <c r="D38" s="131"/>
      <c r="E38" s="131"/>
      <c r="F38" s="132"/>
      <c r="G38" s="131"/>
      <c r="H38" s="131"/>
      <c r="I38" s="131"/>
      <c r="J38" s="182">
        <f t="shared" si="5"/>
        <v>0</v>
      </c>
    </row>
    <row r="39" spans="1:25" ht="15" thickBot="1" x14ac:dyDescent="0.35">
      <c r="A39" s="184" t="s">
        <v>21</v>
      </c>
      <c r="B39" s="164">
        <f>SUMIF(HKM!A:A,"031*",HKM!K:K)-SUMIF(HKM!A:A,"031*",HKM!L:L)</f>
        <v>0</v>
      </c>
      <c r="C39" s="164">
        <f>SUMIF(HKM!A:A,"021*",HKM!K:K)-SUMIF(HKM!A:A,"021*",HKM!L:L)</f>
        <v>30856.080000000002</v>
      </c>
      <c r="D39" s="164">
        <f>SUMIF(HKM!A:A,"022*",HKM!K:K)-SUMIF(HKM!A:A,"022*",HKM!L:L)</f>
        <v>13293</v>
      </c>
      <c r="E39" s="164">
        <f>SUMIF(HKM!A:A,"025*",HKM!K:K)-SUMIF(HKM!A:A,"025*",HKM!L:L)</f>
        <v>0</v>
      </c>
      <c r="F39" s="164">
        <f>SUMIF(HKM!A:A,"026*",HKM!K:K)-SUMIF(HKM!A:A,"026*",HKM!L:L)</f>
        <v>0</v>
      </c>
      <c r="G39" s="164">
        <f>SUMIF(HKM!A:A,"029*",HKM!K:K)-SUMIF(HKM!A:A,"029*",HKM!L:L)</f>
        <v>10422.380000000001</v>
      </c>
      <c r="H39" s="164">
        <f>SUMIF(HKM!A:A,"042*",HKM!K:K)-SUMIF(HKM!A:A,"042*",HKM!L:L)</f>
        <v>565.47</v>
      </c>
      <c r="I39" s="164">
        <f>SUMIF(HKM!A:A,"052*",HKM!K:K)-SUMIF(HKM!A:A,"052*",HKM!L:L)</f>
        <v>0</v>
      </c>
      <c r="J39" s="185">
        <f>J35+J36-J37+J38</f>
        <v>55136.930000000008</v>
      </c>
      <c r="L39" s="150"/>
    </row>
    <row r="40" spans="1:25" ht="15" customHeight="1" thickTop="1" thickBot="1" x14ac:dyDescent="0.35">
      <c r="A40" s="179" t="s">
        <v>22</v>
      </c>
      <c r="B40" s="169"/>
      <c r="C40" s="169"/>
      <c r="D40" s="169"/>
      <c r="E40" s="169"/>
      <c r="F40" s="169"/>
      <c r="G40" s="169"/>
      <c r="H40" s="169"/>
      <c r="I40" s="169"/>
      <c r="J40" s="180"/>
    </row>
    <row r="41" spans="1:25" ht="15.6" thickTop="1" thickBot="1" x14ac:dyDescent="0.35">
      <c r="A41" s="181" t="s">
        <v>23</v>
      </c>
      <c r="B41" s="131"/>
      <c r="C41" s="164">
        <f>SUMIF(HKM!A:A,"081*",HKM!D:D)-SUMIF(HKM!A:A,"081*",HKM!C:C)</f>
        <v>11057.02</v>
      </c>
      <c r="D41" s="164">
        <f>SUMIF(HKM!A:A,"082*",HKM!D:D)-SUMIF(HKM!A:A,"082*",HKM!C:C)</f>
        <v>0</v>
      </c>
      <c r="E41" s="164">
        <f>SUMIF(HKM!A:A,"085*",HKM!D:D)-SUMIF(HKM!A:A,"085*",HKM!C:C)</f>
        <v>0</v>
      </c>
      <c r="F41" s="164">
        <f>SUMIF(HKM!A:A,"086*",HKM!D:D)-SUMIF(HKM!A:A,"086*",HKM!C:C)</f>
        <v>0</v>
      </c>
      <c r="G41" s="164">
        <f>SUMIF(HKM!A:A,"089*",HKM!D:D)-SUMIF(HKM!A:A,"089*",HKM!C:C)</f>
        <v>8926.0400000000009</v>
      </c>
      <c r="H41" s="131"/>
      <c r="I41" s="131"/>
      <c r="J41" s="182">
        <f>SUM(B41:I41)</f>
        <v>19983.060000000001</v>
      </c>
      <c r="L41" s="150"/>
    </row>
    <row r="42" spans="1:25" ht="15" customHeight="1" thickBot="1" x14ac:dyDescent="0.35">
      <c r="A42" s="183" t="s">
        <v>18</v>
      </c>
      <c r="B42" s="131"/>
      <c r="C42" s="131">
        <f>SUMIF(HKM!A:A,"081*",HKM!J:J)</f>
        <v>1542.8400000000001</v>
      </c>
      <c r="D42" s="131">
        <f>SUMIF(HKM!A:A,"082*",HKM!J:J)</f>
        <v>184.63</v>
      </c>
      <c r="E42" s="131">
        <f>SUMIF(HKM!A:A,"085*",HKM!J:J)</f>
        <v>0</v>
      </c>
      <c r="F42" s="131">
        <f>SUMIF(HKM!A:A,"086*",HKM!J:J)</f>
        <v>0</v>
      </c>
      <c r="G42" s="131">
        <f>SUMIF(HKM!A:A,"089*",HKM!J:J)</f>
        <v>1822.63</v>
      </c>
      <c r="H42" s="131"/>
      <c r="I42" s="131"/>
      <c r="J42" s="182">
        <f t="shared" ref="J42:J44" si="6">SUM(B42:I42)</f>
        <v>3550.1000000000004</v>
      </c>
    </row>
    <row r="43" spans="1:25" ht="15" customHeight="1" thickBot="1" x14ac:dyDescent="0.35">
      <c r="A43" s="183" t="s">
        <v>19</v>
      </c>
      <c r="B43" s="131"/>
      <c r="C43" s="131">
        <f>SUMIF(HKM!A:A,"081*",HKM!I:I)</f>
        <v>0</v>
      </c>
      <c r="D43" s="131">
        <f>SUMIF(HKM!A:A,"082*",HKM!I:I)</f>
        <v>0</v>
      </c>
      <c r="E43" s="131">
        <f>SUMIF(HKM!A:A,"085*",HKM!I:I)</f>
        <v>0</v>
      </c>
      <c r="F43" s="131">
        <f>SUMIF(HKM!A:A,"086*",HKM!I:I)</f>
        <v>0</v>
      </c>
      <c r="G43" s="131">
        <f>SUMIF(HKM!A:A,"089*",HKM!I:I)</f>
        <v>2272.2000000000003</v>
      </c>
      <c r="H43" s="131"/>
      <c r="I43" s="131"/>
      <c r="J43" s="182">
        <f t="shared" si="6"/>
        <v>2272.2000000000003</v>
      </c>
    </row>
    <row r="44" spans="1:25" ht="15" customHeight="1" thickBot="1" x14ac:dyDescent="0.35">
      <c r="A44" s="183" t="s">
        <v>20</v>
      </c>
      <c r="B44" s="131"/>
      <c r="C44" s="131"/>
      <c r="D44" s="131"/>
      <c r="E44" s="131"/>
      <c r="F44" s="132"/>
      <c r="G44" s="131"/>
      <c r="H44" s="131"/>
      <c r="I44" s="131"/>
      <c r="J44" s="182">
        <f t="shared" si="6"/>
        <v>0</v>
      </c>
    </row>
    <row r="45" spans="1:25" ht="15" thickBot="1" x14ac:dyDescent="0.35">
      <c r="A45" s="184" t="s">
        <v>21</v>
      </c>
      <c r="B45" s="134"/>
      <c r="C45" s="164">
        <f>SUMIF(HKM!A:A,"081*",HKM!L:L)-SUMIF(HKM!A:A,"081*",HKM!K:K)</f>
        <v>12599.86</v>
      </c>
      <c r="D45" s="164">
        <f>SUMIF(HKM!A:A,"082*",HKM!L:L)-SUMIF(HKM!A:A,"082*",HKM!K:K)</f>
        <v>184.63</v>
      </c>
      <c r="E45" s="164">
        <f>SUMIF(HKM!A:A,"085*",HKM!L:L)-SUMIF(HKM!A:A,"085*",HKM!K:K)</f>
        <v>0</v>
      </c>
      <c r="F45" s="164">
        <f>SUMIF(HKM!A:A,"086*",HKM!L:L)-SUMIF(HKM!A:A,"086*",HKM!K:K)</f>
        <v>0</v>
      </c>
      <c r="G45" s="164">
        <f>SUMIF(HKM!A:A,"089*",HKM!L:L)-SUMIF(HKM!A:A,"089*",HKM!K:K)</f>
        <v>8476.4700000000012</v>
      </c>
      <c r="H45" s="134"/>
      <c r="I45" s="134"/>
      <c r="J45" s="185">
        <f>J41+J42-J43</f>
        <v>21260.960000000003</v>
      </c>
      <c r="L45" s="150"/>
    </row>
    <row r="46" spans="1:25" ht="15" customHeight="1" thickTop="1" thickBot="1" x14ac:dyDescent="0.35">
      <c r="A46" s="179" t="s">
        <v>24</v>
      </c>
      <c r="B46" s="169"/>
      <c r="C46" s="169"/>
      <c r="D46" s="169"/>
      <c r="E46" s="169"/>
      <c r="F46" s="169"/>
      <c r="G46" s="169"/>
      <c r="H46" s="169"/>
      <c r="I46" s="169"/>
      <c r="J46" s="180"/>
    </row>
    <row r="47" spans="1:25" ht="15.6" thickTop="1" thickBot="1" x14ac:dyDescent="0.35">
      <c r="A47" s="181" t="s">
        <v>23</v>
      </c>
      <c r="B47" s="131"/>
      <c r="C47" s="164"/>
      <c r="D47" s="164"/>
      <c r="E47" s="164"/>
      <c r="F47" s="164"/>
      <c r="G47" s="164"/>
      <c r="H47" s="164">
        <f>SUMIF(HKM!A:A,"094*",HKM!D:D)-SUMIF(HKM!A:A,"094*",HKM!C:C)</f>
        <v>0</v>
      </c>
      <c r="I47" s="164"/>
      <c r="J47" s="182">
        <f>SUM(B47:I47)</f>
        <v>0</v>
      </c>
      <c r="L47" s="150"/>
      <c r="M47" s="163"/>
      <c r="N47" s="157"/>
    </row>
    <row r="48" spans="1:25" ht="15" customHeight="1" thickBot="1" x14ac:dyDescent="0.35">
      <c r="A48" s="183" t="s">
        <v>18</v>
      </c>
      <c r="B48" s="131"/>
      <c r="C48" s="131"/>
      <c r="D48" s="131"/>
      <c r="E48" s="131"/>
      <c r="F48" s="131"/>
      <c r="G48" s="131"/>
      <c r="H48" s="131">
        <f>SUMIF(HKM!A:A,"094*",HKM!J:J)</f>
        <v>0</v>
      </c>
      <c r="I48" s="131"/>
      <c r="J48" s="182">
        <f t="shared" ref="J48:J50" si="7">SUM(B48:I48)</f>
        <v>0</v>
      </c>
      <c r="N48" s="157"/>
    </row>
    <row r="49" spans="1:14" ht="15" customHeight="1" thickBot="1" x14ac:dyDescent="0.35">
      <c r="A49" s="183" t="s">
        <v>19</v>
      </c>
      <c r="B49" s="131"/>
      <c r="C49" s="131"/>
      <c r="D49" s="131"/>
      <c r="E49" s="131"/>
      <c r="F49" s="131"/>
      <c r="G49" s="131"/>
      <c r="H49" s="131">
        <f>SUMIF(HKM!A:A,"094*",HKM!I:I)</f>
        <v>0</v>
      </c>
      <c r="I49" s="131"/>
      <c r="J49" s="182">
        <f t="shared" si="7"/>
        <v>0</v>
      </c>
      <c r="N49" s="157"/>
    </row>
    <row r="50" spans="1:14" ht="15" customHeight="1" thickBot="1" x14ac:dyDescent="0.35">
      <c r="A50" s="183" t="s">
        <v>20</v>
      </c>
      <c r="B50" s="131"/>
      <c r="C50" s="131"/>
      <c r="D50" s="131"/>
      <c r="E50" s="131"/>
      <c r="F50" s="132"/>
      <c r="G50" s="131"/>
      <c r="H50" s="131"/>
      <c r="I50" s="131"/>
      <c r="J50" s="182">
        <f t="shared" si="7"/>
        <v>0</v>
      </c>
    </row>
    <row r="51" spans="1:14" ht="15" thickBot="1" x14ac:dyDescent="0.35">
      <c r="A51" s="184" t="s">
        <v>21</v>
      </c>
      <c r="B51" s="134"/>
      <c r="C51" s="164"/>
      <c r="D51" s="164"/>
      <c r="E51" s="164"/>
      <c r="F51" s="164"/>
      <c r="G51" s="164"/>
      <c r="H51" s="164">
        <f>SUMIF(HKM!A:A,"094*",HKM!L:L)-SUMIF(HKM!A:A,"094*",HKM!K:K)</f>
        <v>0</v>
      </c>
      <c r="I51" s="164">
        <f>SUMIF(SUAM!C:C,"019",SUAM!E:E)</f>
        <v>0</v>
      </c>
      <c r="J51" s="185">
        <f>J47+J48-J49</f>
        <v>0</v>
      </c>
      <c r="L51" s="150"/>
      <c r="N51" s="157"/>
    </row>
    <row r="52" spans="1:14" ht="15" customHeight="1" thickTop="1" thickBot="1" x14ac:dyDescent="0.35">
      <c r="A52" s="179" t="s">
        <v>25</v>
      </c>
      <c r="B52" s="169"/>
      <c r="C52" s="169"/>
      <c r="D52" s="169"/>
      <c r="E52" s="169"/>
      <c r="F52" s="169"/>
      <c r="G52" s="169"/>
      <c r="H52" s="169"/>
      <c r="I52" s="169"/>
      <c r="J52" s="180"/>
    </row>
    <row r="53" spans="1:14" ht="15" customHeight="1" thickTop="1" thickBot="1" x14ac:dyDescent="0.35">
      <c r="A53" s="181" t="s">
        <v>23</v>
      </c>
      <c r="B53" s="131">
        <f>B35-B41-B47</f>
        <v>0</v>
      </c>
      <c r="C53" s="131">
        <f t="shared" ref="C53:J53" si="8">C35-C41-C47</f>
        <v>19799.060000000001</v>
      </c>
      <c r="D53" s="131">
        <f t="shared" si="8"/>
        <v>0</v>
      </c>
      <c r="E53" s="131">
        <f t="shared" si="8"/>
        <v>0</v>
      </c>
      <c r="F53" s="131">
        <f t="shared" si="8"/>
        <v>0</v>
      </c>
      <c r="G53" s="131">
        <f t="shared" si="8"/>
        <v>1824.5399999999991</v>
      </c>
      <c r="H53" s="131">
        <f t="shared" si="8"/>
        <v>0</v>
      </c>
      <c r="I53" s="131">
        <f t="shared" si="8"/>
        <v>0</v>
      </c>
      <c r="J53" s="182">
        <f t="shared" si="8"/>
        <v>21623.600000000002</v>
      </c>
    </row>
    <row r="54" spans="1:14" ht="15" customHeight="1" thickBot="1" x14ac:dyDescent="0.35">
      <c r="A54" s="184" t="s">
        <v>21</v>
      </c>
      <c r="B54" s="134">
        <f>B39-B45-B51</f>
        <v>0</v>
      </c>
      <c r="C54" s="134">
        <f t="shared" ref="C54:J54" si="9">C39-C45-C51</f>
        <v>18256.22</v>
      </c>
      <c r="D54" s="134">
        <f t="shared" si="9"/>
        <v>13108.37</v>
      </c>
      <c r="E54" s="134">
        <f t="shared" si="9"/>
        <v>0</v>
      </c>
      <c r="F54" s="134">
        <f t="shared" si="9"/>
        <v>0</v>
      </c>
      <c r="G54" s="134">
        <f t="shared" si="9"/>
        <v>1945.9099999999999</v>
      </c>
      <c r="H54" s="134">
        <f t="shared" si="9"/>
        <v>565.47</v>
      </c>
      <c r="I54" s="134">
        <f t="shared" si="9"/>
        <v>0</v>
      </c>
      <c r="J54" s="185">
        <f t="shared" si="9"/>
        <v>33875.97</v>
      </c>
    </row>
    <row r="55" spans="1:14" ht="15" thickTop="1" x14ac:dyDescent="0.3">
      <c r="A55" s="159"/>
      <c r="B55" s="159"/>
      <c r="C55" s="159"/>
      <c r="D55" s="159"/>
      <c r="E55" s="159"/>
      <c r="F55" s="159"/>
      <c r="G55" s="159"/>
      <c r="H55" s="159"/>
      <c r="I55" s="159"/>
      <c r="J55" s="159"/>
    </row>
    <row r="56" spans="1:14" x14ac:dyDescent="0.3">
      <c r="A56" s="159"/>
      <c r="B56" s="159"/>
      <c r="C56" s="159"/>
      <c r="D56" s="159"/>
      <c r="E56" s="159"/>
      <c r="F56" s="159"/>
      <c r="G56" s="159"/>
      <c r="H56" s="159"/>
      <c r="I56" s="159"/>
      <c r="J56" s="159"/>
    </row>
  </sheetData>
  <mergeCells count="4">
    <mergeCell ref="A5:A6"/>
    <mergeCell ref="A32:A33"/>
    <mergeCell ref="B32:J32"/>
    <mergeCell ref="B5:J5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  <rowBreaks count="1" manualBreakCount="1">
    <brk id="28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G62"/>
  <sheetViews>
    <sheetView workbookViewId="0">
      <selection activeCell="B2" sqref="B2"/>
    </sheetView>
  </sheetViews>
  <sheetFormatPr defaultColWidth="9.109375" defaultRowHeight="14.4" x14ac:dyDescent="0.3"/>
  <cols>
    <col min="1" max="1" width="8.33203125" style="17" bestFit="1" customWidth="1"/>
    <col min="2" max="2" width="86.109375" style="17" bestFit="1" customWidth="1"/>
    <col min="3" max="3" width="4.44140625" style="139" bestFit="1" customWidth="1"/>
    <col min="4" max="7" width="15.33203125" style="140" bestFit="1" customWidth="1"/>
  </cols>
  <sheetData>
    <row r="1" spans="1:7" ht="30.6" x14ac:dyDescent="0.3">
      <c r="A1" s="145" t="s">
        <v>358</v>
      </c>
      <c r="B1" s="145" t="s">
        <v>366</v>
      </c>
      <c r="C1" s="144" t="s">
        <v>380</v>
      </c>
      <c r="D1" s="146" t="s">
        <v>381</v>
      </c>
      <c r="E1" s="146" t="s">
        <v>382</v>
      </c>
      <c r="F1" s="146" t="s">
        <v>365</v>
      </c>
      <c r="G1" s="146" t="s">
        <v>363</v>
      </c>
    </row>
    <row r="2" spans="1:7" x14ac:dyDescent="0.3">
      <c r="A2" s="17" t="s">
        <v>1089</v>
      </c>
      <c r="B2" s="17" t="s">
        <v>1090</v>
      </c>
      <c r="C2" s="139" t="s">
        <v>1091</v>
      </c>
      <c r="D2" s="140">
        <v>467039.68</v>
      </c>
      <c r="E2" s="140">
        <v>434877.81</v>
      </c>
      <c r="F2" s="140">
        <v>467040</v>
      </c>
      <c r="G2" s="140">
        <v>434878</v>
      </c>
    </row>
    <row r="3" spans="1:7" x14ac:dyDescent="0.3">
      <c r="A3" s="17" t="s">
        <v>1092</v>
      </c>
      <c r="B3" s="17" t="s">
        <v>1093</v>
      </c>
      <c r="C3" s="139" t="s">
        <v>1094</v>
      </c>
      <c r="D3" s="138">
        <v>468173.76</v>
      </c>
      <c r="E3" s="138">
        <v>436226.66</v>
      </c>
      <c r="F3" s="138">
        <v>468174</v>
      </c>
      <c r="G3" s="138">
        <v>436227</v>
      </c>
    </row>
    <row r="4" spans="1:7" x14ac:dyDescent="0.3">
      <c r="A4" s="17" t="s">
        <v>1095</v>
      </c>
      <c r="B4" s="17" t="s">
        <v>1096</v>
      </c>
      <c r="C4" s="139" t="s">
        <v>1097</v>
      </c>
      <c r="D4" s="140">
        <v>466726.66</v>
      </c>
      <c r="E4" s="140">
        <v>434772.58</v>
      </c>
      <c r="F4" s="140">
        <v>466727</v>
      </c>
      <c r="G4" s="140">
        <v>434773</v>
      </c>
    </row>
    <row r="5" spans="1:7" x14ac:dyDescent="0.3">
      <c r="A5" s="17" t="s">
        <v>1098</v>
      </c>
      <c r="B5" s="17" t="s">
        <v>1099</v>
      </c>
      <c r="C5" s="139" t="s">
        <v>1100</v>
      </c>
      <c r="D5" s="140">
        <v>0</v>
      </c>
      <c r="E5" s="140">
        <v>0</v>
      </c>
      <c r="F5" s="140">
        <v>0</v>
      </c>
      <c r="G5" s="140">
        <v>0</v>
      </c>
    </row>
    <row r="6" spans="1:7" x14ac:dyDescent="0.3">
      <c r="A6" s="17" t="s">
        <v>1101</v>
      </c>
      <c r="B6" s="17" t="s">
        <v>1102</v>
      </c>
      <c r="C6" s="139" t="s">
        <v>1103</v>
      </c>
      <c r="D6" s="140">
        <v>313.02</v>
      </c>
      <c r="E6" s="140">
        <v>105.23</v>
      </c>
      <c r="F6" s="140">
        <v>313</v>
      </c>
      <c r="G6" s="140">
        <v>105</v>
      </c>
    </row>
    <row r="7" spans="1:7" x14ac:dyDescent="0.3">
      <c r="A7" s="17" t="s">
        <v>1104</v>
      </c>
      <c r="B7" s="17" t="s">
        <v>1105</v>
      </c>
      <c r="C7" s="139" t="s">
        <v>1106</v>
      </c>
      <c r="D7" s="140">
        <v>0</v>
      </c>
      <c r="E7" s="140">
        <v>0</v>
      </c>
      <c r="F7" s="140">
        <v>0</v>
      </c>
      <c r="G7" s="140">
        <v>0</v>
      </c>
    </row>
    <row r="8" spans="1:7" x14ac:dyDescent="0.3">
      <c r="A8" s="17" t="s">
        <v>1107</v>
      </c>
      <c r="B8" s="17" t="s">
        <v>1108</v>
      </c>
      <c r="C8" s="139" t="s">
        <v>1109</v>
      </c>
      <c r="D8" s="140">
        <v>0</v>
      </c>
      <c r="E8" s="140">
        <v>0</v>
      </c>
      <c r="F8" s="140">
        <v>0</v>
      </c>
      <c r="G8" s="140">
        <v>0</v>
      </c>
    </row>
    <row r="9" spans="1:7" x14ac:dyDescent="0.3">
      <c r="A9" s="17" t="s">
        <v>1110</v>
      </c>
      <c r="B9" s="17" t="s">
        <v>1111</v>
      </c>
      <c r="C9" s="139" t="s">
        <v>1112</v>
      </c>
      <c r="D9" s="140">
        <v>0</v>
      </c>
      <c r="E9" s="140">
        <v>0</v>
      </c>
      <c r="F9" s="140">
        <v>0</v>
      </c>
      <c r="G9" s="140">
        <v>0</v>
      </c>
    </row>
    <row r="10" spans="1:7" x14ac:dyDescent="0.3">
      <c r="A10" s="17" t="s">
        <v>1113</v>
      </c>
      <c r="B10" s="17" t="s">
        <v>1114</v>
      </c>
      <c r="C10" s="139" t="s">
        <v>1115</v>
      </c>
      <c r="D10" s="140">
        <v>1134.08</v>
      </c>
      <c r="E10" s="140">
        <v>1348.85</v>
      </c>
      <c r="F10" s="140">
        <v>1134</v>
      </c>
      <c r="G10" s="140">
        <v>1349</v>
      </c>
    </row>
    <row r="11" spans="1:7" x14ac:dyDescent="0.3">
      <c r="A11" s="17" t="s">
        <v>1092</v>
      </c>
      <c r="B11" s="17" t="s">
        <v>1116</v>
      </c>
      <c r="C11" s="139" t="s">
        <v>1117</v>
      </c>
      <c r="D11" s="140">
        <v>459380.97</v>
      </c>
      <c r="E11" s="140">
        <v>430982.46</v>
      </c>
      <c r="F11" s="140">
        <v>459382</v>
      </c>
      <c r="G11" s="140">
        <v>430983</v>
      </c>
    </row>
    <row r="12" spans="1:7" x14ac:dyDescent="0.3">
      <c r="A12" s="17" t="s">
        <v>1118</v>
      </c>
      <c r="B12" s="17" t="s">
        <v>1119</v>
      </c>
      <c r="C12" s="139" t="s">
        <v>1120</v>
      </c>
      <c r="D12" s="140">
        <v>368805.64</v>
      </c>
      <c r="E12" s="140">
        <v>338889.99</v>
      </c>
      <c r="F12" s="140">
        <v>368806</v>
      </c>
      <c r="G12" s="140">
        <v>338890</v>
      </c>
    </row>
    <row r="13" spans="1:7" x14ac:dyDescent="0.3">
      <c r="A13" s="17" t="s">
        <v>1121</v>
      </c>
      <c r="B13" s="17" t="s">
        <v>1122</v>
      </c>
      <c r="C13" s="139" t="s">
        <v>1123</v>
      </c>
      <c r="D13" s="140">
        <v>4884.4399999999996</v>
      </c>
      <c r="E13" s="140">
        <v>5379.88</v>
      </c>
      <c r="F13" s="140">
        <v>4884</v>
      </c>
      <c r="G13" s="140">
        <v>5380</v>
      </c>
    </row>
    <row r="14" spans="1:7" x14ac:dyDescent="0.3">
      <c r="A14" s="17" t="s">
        <v>1124</v>
      </c>
      <c r="B14" s="17" t="s">
        <v>1125</v>
      </c>
      <c r="C14" s="139" t="s">
        <v>1126</v>
      </c>
      <c r="D14" s="140">
        <v>40.54</v>
      </c>
      <c r="E14" s="140">
        <v>1364.09</v>
      </c>
      <c r="F14" s="140">
        <v>41</v>
      </c>
      <c r="G14" s="140">
        <v>1364</v>
      </c>
    </row>
    <row r="15" spans="1:7" x14ac:dyDescent="0.3">
      <c r="A15" s="17" t="s">
        <v>1127</v>
      </c>
      <c r="B15" s="17" t="s">
        <v>1128</v>
      </c>
      <c r="C15" s="139" t="s">
        <v>1129</v>
      </c>
      <c r="D15" s="140">
        <v>23304.799999999999</v>
      </c>
      <c r="E15" s="140">
        <v>29409.119999999999</v>
      </c>
      <c r="F15" s="140">
        <v>23306</v>
      </c>
      <c r="G15" s="140">
        <v>29410</v>
      </c>
    </row>
    <row r="16" spans="1:7" x14ac:dyDescent="0.3">
      <c r="A16" s="17" t="s">
        <v>1130</v>
      </c>
      <c r="B16" s="17" t="s">
        <v>1131</v>
      </c>
      <c r="C16" s="139" t="s">
        <v>1132</v>
      </c>
      <c r="D16" s="140">
        <v>58087.35</v>
      </c>
      <c r="E16" s="140">
        <v>52765.33</v>
      </c>
      <c r="F16" s="140">
        <v>58087</v>
      </c>
      <c r="G16" s="140">
        <v>52765</v>
      </c>
    </row>
    <row r="17" spans="1:7" x14ac:dyDescent="0.3">
      <c r="A17" s="17" t="s">
        <v>1133</v>
      </c>
      <c r="B17" s="17" t="s">
        <v>1134</v>
      </c>
      <c r="C17" s="139" t="s">
        <v>1135</v>
      </c>
      <c r="D17" s="140">
        <v>41497.18</v>
      </c>
      <c r="E17" s="140">
        <v>37236.959999999999</v>
      </c>
      <c r="F17" s="140">
        <v>41497</v>
      </c>
      <c r="G17" s="140">
        <v>37237</v>
      </c>
    </row>
    <row r="18" spans="1:7" x14ac:dyDescent="0.3">
      <c r="A18" s="17">
        <v>2</v>
      </c>
      <c r="B18" s="17" t="s">
        <v>1136</v>
      </c>
      <c r="C18" s="139" t="s">
        <v>1137</v>
      </c>
      <c r="D18" s="140">
        <v>0</v>
      </c>
      <c r="E18" s="140">
        <v>0</v>
      </c>
      <c r="F18" s="140">
        <v>0</v>
      </c>
      <c r="G18" s="140">
        <v>0</v>
      </c>
    </row>
    <row r="19" spans="1:7" x14ac:dyDescent="0.3">
      <c r="A19" s="17">
        <v>3</v>
      </c>
      <c r="B19" s="17" t="s">
        <v>1138</v>
      </c>
      <c r="C19" s="139" t="s">
        <v>1139</v>
      </c>
      <c r="D19" s="140">
        <v>14629.04</v>
      </c>
      <c r="E19" s="140">
        <v>13405.06</v>
      </c>
      <c r="F19" s="140">
        <v>14629</v>
      </c>
      <c r="G19" s="140">
        <v>13405</v>
      </c>
    </row>
    <row r="20" spans="1:7" x14ac:dyDescent="0.3">
      <c r="A20" s="17">
        <v>4</v>
      </c>
      <c r="B20" s="17" t="s">
        <v>1140</v>
      </c>
      <c r="C20" s="139" t="s">
        <v>1141</v>
      </c>
      <c r="D20" s="140">
        <v>1961.13</v>
      </c>
      <c r="E20" s="140">
        <v>2123.31</v>
      </c>
      <c r="F20" s="140">
        <v>1961</v>
      </c>
      <c r="G20" s="140">
        <v>2123</v>
      </c>
    </row>
    <row r="21" spans="1:7" x14ac:dyDescent="0.3">
      <c r="A21" s="17" t="s">
        <v>1142</v>
      </c>
      <c r="B21" s="17" t="s">
        <v>1143</v>
      </c>
      <c r="C21" s="139" t="s">
        <v>1144</v>
      </c>
      <c r="D21" s="140">
        <v>55.68</v>
      </c>
      <c r="E21" s="140">
        <v>55.68</v>
      </c>
      <c r="F21" s="140">
        <v>56</v>
      </c>
      <c r="G21" s="140">
        <v>56</v>
      </c>
    </row>
    <row r="22" spans="1:7" x14ac:dyDescent="0.3">
      <c r="A22" s="17" t="s">
        <v>1145</v>
      </c>
      <c r="B22" s="17" t="s">
        <v>1146</v>
      </c>
      <c r="C22" s="139" t="s">
        <v>1147</v>
      </c>
      <c r="D22" s="140">
        <v>3550.1</v>
      </c>
      <c r="E22" s="140">
        <v>2483.46</v>
      </c>
      <c r="F22" s="140">
        <v>3550</v>
      </c>
      <c r="G22" s="140">
        <v>2483</v>
      </c>
    </row>
    <row r="23" spans="1:7" x14ac:dyDescent="0.3">
      <c r="A23" s="17" t="s">
        <v>1148</v>
      </c>
      <c r="B23" s="17" t="s">
        <v>1149</v>
      </c>
      <c r="C23" s="139" t="s">
        <v>1150</v>
      </c>
      <c r="D23" s="140">
        <v>3550.1</v>
      </c>
      <c r="E23" s="140">
        <v>2483.46</v>
      </c>
      <c r="F23" s="140">
        <v>3550</v>
      </c>
      <c r="G23" s="140">
        <v>2483</v>
      </c>
    </row>
    <row r="24" spans="1:7" x14ac:dyDescent="0.3">
      <c r="A24" s="17">
        <v>2</v>
      </c>
      <c r="B24" s="17" t="s">
        <v>1151</v>
      </c>
      <c r="C24" s="139" t="s">
        <v>1152</v>
      </c>
      <c r="D24" s="140">
        <v>0</v>
      </c>
      <c r="E24" s="140">
        <v>0</v>
      </c>
      <c r="F24" s="140">
        <v>0</v>
      </c>
      <c r="G24" s="140">
        <v>0</v>
      </c>
    </row>
    <row r="25" spans="1:7" x14ac:dyDescent="0.3">
      <c r="A25" s="17" t="s">
        <v>1153</v>
      </c>
      <c r="B25" s="17" t="s">
        <v>1154</v>
      </c>
      <c r="C25" s="139" t="s">
        <v>1155</v>
      </c>
      <c r="D25" s="140">
        <v>0</v>
      </c>
      <c r="E25" s="140">
        <v>0</v>
      </c>
      <c r="F25" s="140">
        <v>0</v>
      </c>
      <c r="G25" s="140">
        <v>0</v>
      </c>
    </row>
    <row r="26" spans="1:7" x14ac:dyDescent="0.3">
      <c r="A26" s="17" t="s">
        <v>1095</v>
      </c>
      <c r="B26" s="17" t="s">
        <v>1156</v>
      </c>
      <c r="C26" s="139" t="s">
        <v>1157</v>
      </c>
      <c r="D26" s="140">
        <v>169.47</v>
      </c>
      <c r="E26" s="140">
        <v>0</v>
      </c>
      <c r="F26" s="140">
        <v>169</v>
      </c>
      <c r="G26" s="140">
        <v>0</v>
      </c>
    </row>
    <row r="27" spans="1:7" x14ac:dyDescent="0.3">
      <c r="A27" s="17" t="s">
        <v>1158</v>
      </c>
      <c r="B27" s="17" t="s">
        <v>1159</v>
      </c>
      <c r="C27" s="139" t="s">
        <v>1160</v>
      </c>
      <c r="D27" s="140">
        <v>482.95</v>
      </c>
      <c r="E27" s="140">
        <v>634.91</v>
      </c>
      <c r="F27" s="140">
        <v>483</v>
      </c>
      <c r="G27" s="140">
        <v>635</v>
      </c>
    </row>
    <row r="28" spans="1:7" x14ac:dyDescent="0.3">
      <c r="A28" s="17" t="s">
        <v>1161</v>
      </c>
      <c r="B28" s="17" t="s">
        <v>1162</v>
      </c>
      <c r="C28" s="139" t="s">
        <v>1163</v>
      </c>
      <c r="D28" s="140">
        <v>8792.7900000000009</v>
      </c>
      <c r="E28" s="140">
        <v>5244.2</v>
      </c>
      <c r="F28" s="140">
        <v>8792</v>
      </c>
      <c r="G28" s="140">
        <v>5244</v>
      </c>
    </row>
    <row r="29" spans="1:7" x14ac:dyDescent="0.3">
      <c r="A29" s="17" t="s">
        <v>1089</v>
      </c>
      <c r="B29" s="17" t="s">
        <v>1164</v>
      </c>
      <c r="C29" s="139" t="s">
        <v>1165</v>
      </c>
      <c r="D29" s="140">
        <v>70004.259999999995</v>
      </c>
      <c r="E29" s="140">
        <v>59834.73</v>
      </c>
      <c r="F29" s="140">
        <v>70003</v>
      </c>
      <c r="G29" s="140">
        <v>59834</v>
      </c>
    </row>
    <row r="30" spans="1:7" x14ac:dyDescent="0.3">
      <c r="A30" s="17" t="s">
        <v>1092</v>
      </c>
      <c r="B30" s="17" t="s">
        <v>1166</v>
      </c>
      <c r="C30" s="139" t="s">
        <v>1167</v>
      </c>
      <c r="D30" s="140">
        <v>792.42</v>
      </c>
      <c r="E30" s="140">
        <v>1248.95</v>
      </c>
      <c r="F30" s="140">
        <v>792</v>
      </c>
      <c r="G30" s="140">
        <v>1249</v>
      </c>
    </row>
    <row r="31" spans="1:7" x14ac:dyDescent="0.3">
      <c r="A31" s="17" t="s">
        <v>1168</v>
      </c>
      <c r="B31" s="17" t="s">
        <v>1169</v>
      </c>
      <c r="C31" s="139" t="s">
        <v>1170</v>
      </c>
      <c r="D31" s="140">
        <v>0</v>
      </c>
      <c r="E31" s="140">
        <v>0</v>
      </c>
      <c r="F31" s="140">
        <v>0</v>
      </c>
      <c r="G31" s="140">
        <v>0</v>
      </c>
    </row>
    <row r="32" spans="1:7" x14ac:dyDescent="0.3">
      <c r="A32" s="17" t="s">
        <v>1171</v>
      </c>
      <c r="B32" s="17" t="s">
        <v>1172</v>
      </c>
      <c r="C32" s="139" t="s">
        <v>1173</v>
      </c>
      <c r="D32" s="140">
        <v>0</v>
      </c>
      <c r="E32" s="140">
        <v>0</v>
      </c>
      <c r="F32" s="140">
        <v>0</v>
      </c>
      <c r="G32" s="140">
        <v>0</v>
      </c>
    </row>
    <row r="33" spans="1:7" x14ac:dyDescent="0.3">
      <c r="A33" s="17" t="s">
        <v>1174</v>
      </c>
      <c r="B33" s="17" t="s">
        <v>1175</v>
      </c>
      <c r="C33" s="139" t="s">
        <v>1176</v>
      </c>
      <c r="D33" s="140">
        <v>0</v>
      </c>
      <c r="E33" s="140">
        <v>0</v>
      </c>
      <c r="F33" s="140">
        <v>0</v>
      </c>
      <c r="G33" s="140">
        <v>0</v>
      </c>
    </row>
    <row r="34" spans="1:7" x14ac:dyDescent="0.3">
      <c r="A34" s="17">
        <v>2</v>
      </c>
      <c r="B34" s="17" t="s">
        <v>1177</v>
      </c>
      <c r="C34" s="139" t="s">
        <v>1178</v>
      </c>
      <c r="D34" s="140">
        <v>0</v>
      </c>
      <c r="E34" s="140">
        <v>0</v>
      </c>
      <c r="F34" s="140">
        <v>0</v>
      </c>
      <c r="G34" s="140">
        <v>0</v>
      </c>
    </row>
    <row r="35" spans="1:7" x14ac:dyDescent="0.3">
      <c r="A35" s="17">
        <v>3</v>
      </c>
      <c r="B35" s="17" t="s">
        <v>1179</v>
      </c>
      <c r="C35" s="139" t="s">
        <v>1180</v>
      </c>
      <c r="D35" s="140">
        <v>0</v>
      </c>
      <c r="E35" s="140">
        <v>0</v>
      </c>
      <c r="F35" s="140">
        <v>0</v>
      </c>
      <c r="G35" s="140">
        <v>0</v>
      </c>
    </row>
    <row r="36" spans="1:7" x14ac:dyDescent="0.3">
      <c r="A36" s="17" t="s">
        <v>1181</v>
      </c>
      <c r="B36" s="17" t="s">
        <v>1182</v>
      </c>
      <c r="C36" s="139" t="s">
        <v>1183</v>
      </c>
      <c r="D36" s="140">
        <v>0</v>
      </c>
      <c r="E36" s="140">
        <v>0</v>
      </c>
      <c r="F36" s="140">
        <v>0</v>
      </c>
      <c r="G36" s="140">
        <v>0</v>
      </c>
    </row>
    <row r="37" spans="1:7" x14ac:dyDescent="0.3">
      <c r="A37" s="17" t="s">
        <v>1184</v>
      </c>
      <c r="B37" s="17" t="s">
        <v>1185</v>
      </c>
      <c r="C37" s="139" t="s">
        <v>1186</v>
      </c>
      <c r="D37" s="140">
        <v>0</v>
      </c>
      <c r="E37" s="140">
        <v>0</v>
      </c>
      <c r="F37" s="140">
        <v>0</v>
      </c>
      <c r="G37" s="140">
        <v>0</v>
      </c>
    </row>
    <row r="38" spans="1:7" x14ac:dyDescent="0.3">
      <c r="A38" s="17">
        <v>2</v>
      </c>
      <c r="B38" s="17" t="s">
        <v>1187</v>
      </c>
      <c r="C38" s="139" t="s">
        <v>1188</v>
      </c>
      <c r="D38" s="140">
        <v>0</v>
      </c>
      <c r="E38" s="140">
        <v>0</v>
      </c>
      <c r="F38" s="140">
        <v>0</v>
      </c>
      <c r="G38" s="140">
        <v>0</v>
      </c>
    </row>
    <row r="39" spans="1:7" x14ac:dyDescent="0.3">
      <c r="A39" s="17">
        <v>3</v>
      </c>
      <c r="B39" s="17" t="s">
        <v>1189</v>
      </c>
      <c r="C39" s="139" t="s">
        <v>1190</v>
      </c>
      <c r="D39" s="140">
        <v>0</v>
      </c>
      <c r="E39" s="140">
        <v>0</v>
      </c>
      <c r="F39" s="140">
        <v>0</v>
      </c>
      <c r="G39" s="140">
        <v>0</v>
      </c>
    </row>
    <row r="40" spans="1:7" x14ac:dyDescent="0.3">
      <c r="A40" s="17" t="s">
        <v>1191</v>
      </c>
      <c r="B40" s="17" t="s">
        <v>1192</v>
      </c>
      <c r="C40" s="139" t="s">
        <v>1193</v>
      </c>
      <c r="D40" s="140">
        <v>792.42</v>
      </c>
      <c r="E40" s="140">
        <v>1248.95</v>
      </c>
      <c r="F40" s="140">
        <v>792</v>
      </c>
      <c r="G40" s="140">
        <v>1249</v>
      </c>
    </row>
    <row r="41" spans="1:7" x14ac:dyDescent="0.3">
      <c r="A41" s="17" t="s">
        <v>1194</v>
      </c>
      <c r="B41" s="17" t="s">
        <v>1195</v>
      </c>
      <c r="C41" s="139" t="s">
        <v>1196</v>
      </c>
      <c r="D41" s="140">
        <v>792.42</v>
      </c>
      <c r="E41" s="140">
        <v>1248.95</v>
      </c>
      <c r="F41" s="140">
        <v>792</v>
      </c>
      <c r="G41" s="140">
        <v>1249</v>
      </c>
    </row>
    <row r="42" spans="1:7" x14ac:dyDescent="0.3">
      <c r="A42" s="17">
        <v>2</v>
      </c>
      <c r="B42" s="17" t="s">
        <v>1197</v>
      </c>
      <c r="C42" s="139" t="s">
        <v>1198</v>
      </c>
      <c r="D42" s="140">
        <v>0</v>
      </c>
      <c r="E42" s="140">
        <v>0</v>
      </c>
      <c r="F42" s="140">
        <v>0</v>
      </c>
      <c r="G42" s="140">
        <v>0</v>
      </c>
    </row>
    <row r="43" spans="1:7" x14ac:dyDescent="0.3">
      <c r="A43" s="17" t="s">
        <v>1199</v>
      </c>
      <c r="B43" s="17" t="s">
        <v>1200</v>
      </c>
      <c r="C43" s="139" t="s">
        <v>1201</v>
      </c>
      <c r="D43" s="140">
        <v>0</v>
      </c>
      <c r="E43" s="140">
        <v>0</v>
      </c>
      <c r="F43" s="140">
        <v>0</v>
      </c>
      <c r="G43" s="140">
        <v>0</v>
      </c>
    </row>
    <row r="44" spans="1:7" x14ac:dyDescent="0.3">
      <c r="A44" s="17" t="s">
        <v>1202</v>
      </c>
      <c r="B44" s="17" t="s">
        <v>1203</v>
      </c>
      <c r="C44" s="139" t="s">
        <v>1204</v>
      </c>
      <c r="D44" s="140">
        <v>0</v>
      </c>
      <c r="E44" s="140">
        <v>0</v>
      </c>
      <c r="F44" s="140">
        <v>0</v>
      </c>
      <c r="G44" s="140">
        <v>0</v>
      </c>
    </row>
    <row r="45" spans="1:7" x14ac:dyDescent="0.3">
      <c r="A45" s="17" t="s">
        <v>1205</v>
      </c>
      <c r="B45" s="17" t="s">
        <v>1206</v>
      </c>
      <c r="C45" s="139" t="s">
        <v>1207</v>
      </c>
      <c r="D45" s="140">
        <v>0</v>
      </c>
      <c r="E45" s="140">
        <v>0</v>
      </c>
      <c r="F45" s="140">
        <v>0</v>
      </c>
      <c r="G45" s="140">
        <v>0</v>
      </c>
    </row>
    <row r="46" spans="1:7" x14ac:dyDescent="0.3">
      <c r="A46" s="17" t="s">
        <v>1092</v>
      </c>
      <c r="B46" s="17" t="s">
        <v>1208</v>
      </c>
      <c r="C46" s="139" t="s">
        <v>1209</v>
      </c>
      <c r="D46" s="140">
        <v>1210.6600000000001</v>
      </c>
      <c r="E46" s="140">
        <v>1076.07</v>
      </c>
      <c r="F46" s="140">
        <v>1210</v>
      </c>
      <c r="G46" s="140">
        <v>1076</v>
      </c>
    </row>
    <row r="47" spans="1:7" x14ac:dyDescent="0.3">
      <c r="A47" s="17" t="s">
        <v>1210</v>
      </c>
      <c r="B47" s="17" t="s">
        <v>1211</v>
      </c>
      <c r="C47" s="139" t="s">
        <v>1212</v>
      </c>
      <c r="D47" s="140">
        <v>0</v>
      </c>
      <c r="E47" s="140">
        <v>0</v>
      </c>
      <c r="F47" s="140">
        <v>0</v>
      </c>
      <c r="G47" s="140">
        <v>0</v>
      </c>
    </row>
    <row r="48" spans="1:7" x14ac:dyDescent="0.3">
      <c r="A48" s="17" t="s">
        <v>1213</v>
      </c>
      <c r="B48" s="17" t="s">
        <v>1214</v>
      </c>
      <c r="C48" s="139" t="s">
        <v>1215</v>
      </c>
      <c r="D48" s="140">
        <v>0</v>
      </c>
      <c r="E48" s="140">
        <v>0</v>
      </c>
      <c r="F48" s="140">
        <v>0</v>
      </c>
      <c r="G48" s="140">
        <v>0</v>
      </c>
    </row>
    <row r="49" spans="1:7" x14ac:dyDescent="0.3">
      <c r="A49" s="17" t="s">
        <v>1216</v>
      </c>
      <c r="B49" s="17" t="s">
        <v>1217</v>
      </c>
      <c r="C49" s="139" t="s">
        <v>1218</v>
      </c>
      <c r="D49" s="140">
        <v>0</v>
      </c>
      <c r="E49" s="140">
        <v>0</v>
      </c>
      <c r="F49" s="140">
        <v>0</v>
      </c>
      <c r="G49" s="140">
        <v>0</v>
      </c>
    </row>
    <row r="50" spans="1:7" x14ac:dyDescent="0.3">
      <c r="A50" s="17" t="s">
        <v>1219</v>
      </c>
      <c r="B50" s="17" t="s">
        <v>1220</v>
      </c>
      <c r="C50" s="139" t="s">
        <v>1221</v>
      </c>
      <c r="D50" s="140">
        <v>6.44</v>
      </c>
      <c r="E50" s="140">
        <v>15.06</v>
      </c>
      <c r="F50" s="140">
        <v>6</v>
      </c>
      <c r="G50" s="140">
        <v>15</v>
      </c>
    </row>
    <row r="51" spans="1:7" x14ac:dyDescent="0.3">
      <c r="A51" s="17" t="s">
        <v>1222</v>
      </c>
      <c r="B51" s="17" t="s">
        <v>1223</v>
      </c>
      <c r="C51" s="139" t="s">
        <v>1224</v>
      </c>
      <c r="D51" s="140">
        <v>6.44</v>
      </c>
      <c r="E51" s="140">
        <v>15.06</v>
      </c>
      <c r="F51" s="140">
        <v>6</v>
      </c>
      <c r="G51" s="140">
        <v>15</v>
      </c>
    </row>
    <row r="52" spans="1:7" x14ac:dyDescent="0.3">
      <c r="A52" s="17">
        <v>2</v>
      </c>
      <c r="B52" s="17" t="s">
        <v>1225</v>
      </c>
      <c r="C52" s="139" t="s">
        <v>1226</v>
      </c>
      <c r="D52" s="140">
        <v>0</v>
      </c>
      <c r="E52" s="140">
        <v>0</v>
      </c>
      <c r="F52" s="140">
        <v>0</v>
      </c>
      <c r="G52" s="140">
        <v>0</v>
      </c>
    </row>
    <row r="53" spans="1:7" x14ac:dyDescent="0.3">
      <c r="A53" s="17" t="s">
        <v>1227</v>
      </c>
      <c r="B53" s="17" t="s">
        <v>1228</v>
      </c>
      <c r="C53" s="139" t="s">
        <v>1229</v>
      </c>
      <c r="D53" s="140">
        <v>0</v>
      </c>
      <c r="E53" s="140">
        <v>0</v>
      </c>
      <c r="F53" s="140">
        <v>0</v>
      </c>
      <c r="G53" s="140">
        <v>0</v>
      </c>
    </row>
    <row r="54" spans="1:7" x14ac:dyDescent="0.3">
      <c r="A54" s="17" t="s">
        <v>1230</v>
      </c>
      <c r="B54" s="17" t="s">
        <v>1231</v>
      </c>
      <c r="C54" s="139" t="s">
        <v>1232</v>
      </c>
      <c r="D54" s="140">
        <v>0</v>
      </c>
      <c r="E54" s="140">
        <v>0</v>
      </c>
      <c r="F54" s="140">
        <v>0</v>
      </c>
      <c r="G54" s="140">
        <v>0</v>
      </c>
    </row>
    <row r="55" spans="1:7" x14ac:dyDescent="0.3">
      <c r="A55" s="17" t="s">
        <v>1233</v>
      </c>
      <c r="B55" s="17" t="s">
        <v>1234</v>
      </c>
      <c r="C55" s="139" t="s">
        <v>1235</v>
      </c>
      <c r="D55" s="140">
        <v>1204.22</v>
      </c>
      <c r="E55" s="140">
        <v>1061.01</v>
      </c>
      <c r="F55" s="140">
        <v>1204</v>
      </c>
      <c r="G55" s="140">
        <v>1061</v>
      </c>
    </row>
    <row r="56" spans="1:7" x14ac:dyDescent="0.3">
      <c r="A56" s="17" t="s">
        <v>1161</v>
      </c>
      <c r="B56" s="17" t="s">
        <v>1236</v>
      </c>
      <c r="C56" s="139" t="s">
        <v>1237</v>
      </c>
      <c r="D56" s="140">
        <v>-418.24</v>
      </c>
      <c r="E56" s="140">
        <v>172.88</v>
      </c>
      <c r="F56" s="140">
        <v>-418</v>
      </c>
      <c r="G56" s="140">
        <v>173</v>
      </c>
    </row>
    <row r="57" spans="1:7" x14ac:dyDescent="0.3">
      <c r="A57" s="17" t="s">
        <v>1238</v>
      </c>
      <c r="B57" s="17" t="s">
        <v>1239</v>
      </c>
      <c r="C57" s="139" t="s">
        <v>1240</v>
      </c>
      <c r="D57" s="140">
        <v>8374.5499999999993</v>
      </c>
      <c r="E57" s="140">
        <v>5417.08</v>
      </c>
      <c r="F57" s="140">
        <v>8374</v>
      </c>
      <c r="G57" s="140">
        <v>5417</v>
      </c>
    </row>
    <row r="58" spans="1:7" x14ac:dyDescent="0.3">
      <c r="A58" s="17" t="s">
        <v>1241</v>
      </c>
      <c r="B58" s="17" t="s">
        <v>1242</v>
      </c>
      <c r="C58" s="139" t="s">
        <v>1243</v>
      </c>
      <c r="D58" s="140">
        <v>2271.23</v>
      </c>
      <c r="E58" s="140">
        <v>851.75</v>
      </c>
      <c r="F58" s="140">
        <v>2271</v>
      </c>
      <c r="G58" s="140">
        <v>852</v>
      </c>
    </row>
    <row r="59" spans="1:7" x14ac:dyDescent="0.3">
      <c r="A59" s="17" t="s">
        <v>1244</v>
      </c>
      <c r="B59" s="17" t="s">
        <v>1245</v>
      </c>
      <c r="C59" s="139" t="s">
        <v>1246</v>
      </c>
      <c r="D59" s="140">
        <v>2764.16</v>
      </c>
      <c r="E59" s="140">
        <v>1315.01</v>
      </c>
      <c r="F59" s="140">
        <v>2764</v>
      </c>
      <c r="G59" s="140">
        <v>1315</v>
      </c>
    </row>
    <row r="60" spans="1:7" x14ac:dyDescent="0.3">
      <c r="A60" s="17">
        <v>2</v>
      </c>
      <c r="B60" s="17" t="s">
        <v>1247</v>
      </c>
      <c r="C60" s="139" t="s">
        <v>1248</v>
      </c>
      <c r="D60" s="140">
        <v>-492.93</v>
      </c>
      <c r="E60" s="140">
        <v>-463.26</v>
      </c>
      <c r="F60" s="140">
        <v>-493</v>
      </c>
      <c r="G60" s="140">
        <v>-463</v>
      </c>
    </row>
    <row r="61" spans="1:7" x14ac:dyDescent="0.3">
      <c r="A61" s="17" t="s">
        <v>1249</v>
      </c>
      <c r="B61" s="17" t="s">
        <v>1250</v>
      </c>
      <c r="C61" s="139" t="s">
        <v>1251</v>
      </c>
      <c r="D61" s="140">
        <v>0</v>
      </c>
      <c r="E61" s="140">
        <v>0</v>
      </c>
      <c r="F61" s="140">
        <v>0</v>
      </c>
      <c r="G61" s="140">
        <v>0</v>
      </c>
    </row>
    <row r="62" spans="1:7" x14ac:dyDescent="0.3">
      <c r="A62" s="17" t="s">
        <v>1238</v>
      </c>
      <c r="B62" s="17" t="s">
        <v>1252</v>
      </c>
      <c r="C62" s="139" t="s">
        <v>1253</v>
      </c>
      <c r="D62" s="140">
        <v>6103.32</v>
      </c>
      <c r="E62" s="140">
        <v>4565.33</v>
      </c>
      <c r="F62" s="140">
        <v>6103</v>
      </c>
      <c r="G62" s="140">
        <v>4565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K79"/>
  <sheetViews>
    <sheetView workbookViewId="0">
      <selection activeCell="D2" sqref="D2"/>
    </sheetView>
  </sheetViews>
  <sheetFormatPr defaultColWidth="9.109375" defaultRowHeight="14.4" x14ac:dyDescent="0.3"/>
  <cols>
    <col min="1" max="1" width="8.33203125" style="141" bestFit="1" customWidth="1"/>
    <col min="2" max="2" width="63.5546875" style="141" bestFit="1" customWidth="1"/>
    <col min="3" max="3" width="4.44140625" style="142" bestFit="1" customWidth="1"/>
    <col min="4" max="11" width="15.33203125" style="143" bestFit="1" customWidth="1"/>
  </cols>
  <sheetData>
    <row r="1" spans="1:11" ht="20.399999999999999" x14ac:dyDescent="0.3">
      <c r="A1" s="145" t="s">
        <v>358</v>
      </c>
      <c r="B1" s="145" t="s">
        <v>359</v>
      </c>
      <c r="C1" s="144" t="s">
        <v>380</v>
      </c>
      <c r="D1" s="146" t="s">
        <v>383</v>
      </c>
      <c r="E1" s="146" t="s">
        <v>384</v>
      </c>
      <c r="F1" s="146" t="s">
        <v>385</v>
      </c>
      <c r="G1" s="146" t="s">
        <v>386</v>
      </c>
      <c r="H1" s="146" t="s">
        <v>360</v>
      </c>
      <c r="I1" s="146" t="s">
        <v>361</v>
      </c>
      <c r="J1" s="146" t="s">
        <v>362</v>
      </c>
      <c r="K1" s="146" t="s">
        <v>363</v>
      </c>
    </row>
    <row r="2" spans="1:11" x14ac:dyDescent="0.3">
      <c r="A2" s="137"/>
      <c r="B2" s="137" t="s">
        <v>1254</v>
      </c>
      <c r="C2" s="136" t="s">
        <v>1255</v>
      </c>
      <c r="D2" s="138">
        <v>225000.72</v>
      </c>
      <c r="E2" s="138">
        <v>31283.56</v>
      </c>
      <c r="F2" s="138">
        <v>193717.16</v>
      </c>
      <c r="G2" s="138">
        <v>171254.72</v>
      </c>
      <c r="H2" s="138">
        <v>225001</v>
      </c>
      <c r="I2" s="138">
        <v>31284</v>
      </c>
      <c r="J2" s="138">
        <v>193717</v>
      </c>
      <c r="K2" s="138">
        <v>171255</v>
      </c>
    </row>
    <row r="3" spans="1:11" x14ac:dyDescent="0.3">
      <c r="A3" s="137" t="s">
        <v>1118</v>
      </c>
      <c r="B3" s="137" t="s">
        <v>1256</v>
      </c>
      <c r="C3" s="136" t="s">
        <v>1257</v>
      </c>
      <c r="D3" s="138">
        <v>63067.040000000001</v>
      </c>
      <c r="E3" s="138">
        <v>28401.7</v>
      </c>
      <c r="F3" s="138">
        <v>34665.339999999997</v>
      </c>
      <c r="G3" s="138">
        <v>33875.97</v>
      </c>
      <c r="H3" s="138">
        <v>63067</v>
      </c>
      <c r="I3" s="138">
        <v>28402</v>
      </c>
      <c r="J3" s="138">
        <v>34665</v>
      </c>
      <c r="K3" s="138">
        <v>33875</v>
      </c>
    </row>
    <row r="4" spans="1:11" x14ac:dyDescent="0.3">
      <c r="A4" s="137" t="s">
        <v>1258</v>
      </c>
      <c r="B4" s="137" t="s">
        <v>1259</v>
      </c>
      <c r="C4" s="136" t="s">
        <v>1260</v>
      </c>
      <c r="D4" s="138">
        <v>1508</v>
      </c>
      <c r="E4" s="138">
        <v>1088.04</v>
      </c>
      <c r="F4" s="138">
        <v>419.96</v>
      </c>
      <c r="G4" s="138">
        <v>0</v>
      </c>
      <c r="H4" s="138">
        <v>1508</v>
      </c>
      <c r="I4" s="138">
        <v>1088</v>
      </c>
      <c r="J4" s="138">
        <v>420</v>
      </c>
      <c r="K4" s="138">
        <v>0</v>
      </c>
    </row>
    <row r="5" spans="1:11" x14ac:dyDescent="0.3">
      <c r="A5" s="137" t="s">
        <v>1261</v>
      </c>
      <c r="B5" s="137" t="s">
        <v>1262</v>
      </c>
      <c r="C5" s="136" t="s">
        <v>1263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</row>
    <row r="6" spans="1:11" x14ac:dyDescent="0.3">
      <c r="A6" s="137">
        <v>2</v>
      </c>
      <c r="B6" s="137" t="s">
        <v>1264</v>
      </c>
      <c r="C6" s="136" t="s">
        <v>1265</v>
      </c>
      <c r="D6" s="138">
        <v>0</v>
      </c>
      <c r="E6" s="138">
        <v>0</v>
      </c>
      <c r="F6" s="138">
        <v>0</v>
      </c>
      <c r="G6" s="138">
        <v>0</v>
      </c>
      <c r="H6" s="138">
        <v>0</v>
      </c>
      <c r="I6" s="138">
        <v>0</v>
      </c>
      <c r="J6" s="138">
        <v>0</v>
      </c>
      <c r="K6" s="138">
        <v>0</v>
      </c>
    </row>
    <row r="7" spans="1:11" x14ac:dyDescent="0.3">
      <c r="A7" s="137">
        <v>3</v>
      </c>
      <c r="B7" s="137" t="s">
        <v>1266</v>
      </c>
      <c r="C7" s="136" t="s">
        <v>1267</v>
      </c>
      <c r="D7" s="138">
        <v>0</v>
      </c>
      <c r="E7" s="138">
        <v>0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0</v>
      </c>
    </row>
    <row r="8" spans="1:11" x14ac:dyDescent="0.3">
      <c r="A8" s="137">
        <v>4</v>
      </c>
      <c r="B8" s="137" t="s">
        <v>1268</v>
      </c>
      <c r="C8" s="136" t="s">
        <v>1269</v>
      </c>
      <c r="D8" s="138">
        <v>0</v>
      </c>
      <c r="E8" s="138">
        <v>0</v>
      </c>
      <c r="F8" s="138">
        <v>0</v>
      </c>
      <c r="G8" s="138">
        <v>0</v>
      </c>
      <c r="H8" s="138">
        <v>0</v>
      </c>
      <c r="I8" s="138">
        <v>0</v>
      </c>
      <c r="J8" s="138">
        <v>0</v>
      </c>
      <c r="K8" s="138">
        <v>0</v>
      </c>
    </row>
    <row r="9" spans="1:11" x14ac:dyDescent="0.3">
      <c r="A9" s="137">
        <v>5</v>
      </c>
      <c r="B9" s="137" t="s">
        <v>1270</v>
      </c>
      <c r="C9" s="136" t="s">
        <v>1271</v>
      </c>
      <c r="D9" s="138">
        <v>1508</v>
      </c>
      <c r="E9" s="138">
        <v>1088.04</v>
      </c>
      <c r="F9" s="138">
        <v>419.96</v>
      </c>
      <c r="G9" s="138">
        <v>0</v>
      </c>
      <c r="H9" s="138">
        <v>1508</v>
      </c>
      <c r="I9" s="138">
        <v>1088</v>
      </c>
      <c r="J9" s="138">
        <v>420</v>
      </c>
      <c r="K9" s="138">
        <v>0</v>
      </c>
    </row>
    <row r="10" spans="1:11" x14ac:dyDescent="0.3">
      <c r="A10" s="137">
        <v>6</v>
      </c>
      <c r="B10" s="137" t="s">
        <v>1272</v>
      </c>
      <c r="C10" s="136" t="s">
        <v>1273</v>
      </c>
      <c r="D10" s="138">
        <v>0</v>
      </c>
      <c r="E10" s="138">
        <v>0</v>
      </c>
      <c r="F10" s="138">
        <v>0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</row>
    <row r="11" spans="1:11" x14ac:dyDescent="0.3">
      <c r="A11" s="137">
        <v>7</v>
      </c>
      <c r="B11" s="137" t="s">
        <v>1274</v>
      </c>
      <c r="C11" s="136" t="s">
        <v>1275</v>
      </c>
      <c r="D11" s="138">
        <v>0</v>
      </c>
      <c r="E11" s="138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</row>
    <row r="12" spans="1:11" x14ac:dyDescent="0.3">
      <c r="A12" s="137" t="s">
        <v>1276</v>
      </c>
      <c r="B12" s="137" t="s">
        <v>1277</v>
      </c>
      <c r="C12" s="136" t="s">
        <v>1278</v>
      </c>
      <c r="D12" s="138">
        <v>61559.040000000001</v>
      </c>
      <c r="E12" s="138">
        <v>27313.66</v>
      </c>
      <c r="F12" s="138">
        <v>34245.379999999997</v>
      </c>
      <c r="G12" s="138">
        <v>33875.97</v>
      </c>
      <c r="H12" s="138">
        <v>61559</v>
      </c>
      <c r="I12" s="138">
        <v>27314</v>
      </c>
      <c r="J12" s="138">
        <v>34245</v>
      </c>
      <c r="K12" s="138">
        <v>33875</v>
      </c>
    </row>
    <row r="13" spans="1:11" x14ac:dyDescent="0.3">
      <c r="A13" s="137" t="s">
        <v>1279</v>
      </c>
      <c r="B13" s="137" t="s">
        <v>1280</v>
      </c>
      <c r="C13" s="136" t="s">
        <v>1281</v>
      </c>
      <c r="D13" s="138">
        <v>0</v>
      </c>
      <c r="E13" s="138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</row>
    <row r="14" spans="1:11" x14ac:dyDescent="0.3">
      <c r="A14" s="137">
        <v>2</v>
      </c>
      <c r="B14" s="137" t="s">
        <v>1282</v>
      </c>
      <c r="C14" s="136" t="s">
        <v>1283</v>
      </c>
      <c r="D14" s="138">
        <v>30856.080000000002</v>
      </c>
      <c r="E14" s="138">
        <v>14142.7</v>
      </c>
      <c r="F14" s="138">
        <v>16713.38</v>
      </c>
      <c r="G14" s="138">
        <v>18256.22</v>
      </c>
      <c r="H14" s="138">
        <v>30856</v>
      </c>
      <c r="I14" s="138">
        <v>14143</v>
      </c>
      <c r="J14" s="138">
        <v>16713</v>
      </c>
      <c r="K14" s="138">
        <v>18256</v>
      </c>
    </row>
    <row r="15" spans="1:11" x14ac:dyDescent="0.3">
      <c r="A15" s="137">
        <v>3</v>
      </c>
      <c r="B15" s="137" t="s">
        <v>1284</v>
      </c>
      <c r="C15" s="136" t="s">
        <v>1285</v>
      </c>
      <c r="D15" s="138">
        <v>15464.2</v>
      </c>
      <c r="E15" s="138">
        <v>2762.11</v>
      </c>
      <c r="F15" s="138">
        <v>12702.09</v>
      </c>
      <c r="G15" s="138">
        <v>13108.37</v>
      </c>
      <c r="H15" s="138">
        <v>15464</v>
      </c>
      <c r="I15" s="138">
        <v>2762</v>
      </c>
      <c r="J15" s="138">
        <v>12702</v>
      </c>
      <c r="K15" s="138">
        <v>13108</v>
      </c>
    </row>
    <row r="16" spans="1:11" x14ac:dyDescent="0.3">
      <c r="A16" s="137">
        <v>4</v>
      </c>
      <c r="B16" s="137" t="s">
        <v>1286</v>
      </c>
      <c r="C16" s="136" t="s">
        <v>1287</v>
      </c>
      <c r="D16" s="138">
        <v>0</v>
      </c>
      <c r="E16" s="138">
        <v>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</row>
    <row r="17" spans="1:11" x14ac:dyDescent="0.3">
      <c r="A17" s="137">
        <v>5</v>
      </c>
      <c r="B17" s="137" t="s">
        <v>1288</v>
      </c>
      <c r="C17" s="136" t="s">
        <v>1289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38">
        <v>0</v>
      </c>
    </row>
    <row r="18" spans="1:11" x14ac:dyDescent="0.3">
      <c r="A18" s="137">
        <v>6</v>
      </c>
      <c r="B18" s="137" t="s">
        <v>1290</v>
      </c>
      <c r="C18" s="136" t="s">
        <v>1291</v>
      </c>
      <c r="D18" s="138">
        <v>13068.76</v>
      </c>
      <c r="E18" s="138">
        <v>10408.85</v>
      </c>
      <c r="F18" s="138">
        <v>2659.91</v>
      </c>
      <c r="G18" s="138">
        <v>1945.91</v>
      </c>
      <c r="H18" s="138">
        <v>13069</v>
      </c>
      <c r="I18" s="138">
        <v>10409</v>
      </c>
      <c r="J18" s="138">
        <v>2660</v>
      </c>
      <c r="K18" s="138">
        <v>1946</v>
      </c>
    </row>
    <row r="19" spans="1:11" x14ac:dyDescent="0.3">
      <c r="A19" s="137">
        <v>7</v>
      </c>
      <c r="B19" s="137" t="s">
        <v>1292</v>
      </c>
      <c r="C19" s="136" t="s">
        <v>1293</v>
      </c>
      <c r="D19" s="138">
        <v>2170</v>
      </c>
      <c r="E19" s="138">
        <v>0</v>
      </c>
      <c r="F19" s="138">
        <v>2170</v>
      </c>
      <c r="G19" s="138">
        <v>565.47</v>
      </c>
      <c r="H19" s="138">
        <v>2170</v>
      </c>
      <c r="I19" s="138">
        <v>0</v>
      </c>
      <c r="J19" s="138">
        <v>2170</v>
      </c>
      <c r="K19" s="138">
        <v>565</v>
      </c>
    </row>
    <row r="20" spans="1:11" x14ac:dyDescent="0.3">
      <c r="A20" s="137">
        <v>8</v>
      </c>
      <c r="B20" s="137" t="s">
        <v>1294</v>
      </c>
      <c r="C20" s="136" t="s">
        <v>975</v>
      </c>
      <c r="D20" s="138">
        <v>0</v>
      </c>
      <c r="E20" s="138">
        <v>0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</row>
    <row r="21" spans="1:11" x14ac:dyDescent="0.3">
      <c r="A21" s="137">
        <v>9</v>
      </c>
      <c r="B21" s="137" t="s">
        <v>1295</v>
      </c>
      <c r="C21" s="136" t="s">
        <v>1296</v>
      </c>
      <c r="D21" s="138">
        <v>0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</row>
    <row r="22" spans="1:11" x14ac:dyDescent="0.3">
      <c r="A22" s="137" t="s">
        <v>1297</v>
      </c>
      <c r="B22" s="137" t="s">
        <v>1298</v>
      </c>
      <c r="C22" s="136" t="s">
        <v>976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</row>
    <row r="23" spans="1:11" x14ac:dyDescent="0.3">
      <c r="A23" s="137" t="s">
        <v>1299</v>
      </c>
      <c r="B23" s="137" t="s">
        <v>1300</v>
      </c>
      <c r="C23" s="136" t="s">
        <v>977</v>
      </c>
      <c r="D23" s="138">
        <v>0</v>
      </c>
      <c r="E23" s="138">
        <v>0</v>
      </c>
      <c r="F23" s="138">
        <v>0</v>
      </c>
      <c r="G23" s="138">
        <v>0</v>
      </c>
      <c r="H23" s="138">
        <v>0</v>
      </c>
      <c r="I23" s="138">
        <v>0</v>
      </c>
      <c r="J23" s="138">
        <v>0</v>
      </c>
      <c r="K23" s="138">
        <v>0</v>
      </c>
    </row>
    <row r="24" spans="1:11" x14ac:dyDescent="0.3">
      <c r="A24" s="137">
        <v>2</v>
      </c>
      <c r="B24" s="137" t="s">
        <v>1301</v>
      </c>
      <c r="C24" s="136" t="s">
        <v>1302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</row>
    <row r="25" spans="1:11" x14ac:dyDescent="0.3">
      <c r="A25" s="137">
        <v>3</v>
      </c>
      <c r="B25" s="137" t="s">
        <v>1303</v>
      </c>
      <c r="C25" s="136" t="s">
        <v>1304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0</v>
      </c>
      <c r="J25" s="138">
        <v>0</v>
      </c>
      <c r="K25" s="138">
        <v>0</v>
      </c>
    </row>
    <row r="26" spans="1:11" x14ac:dyDescent="0.3">
      <c r="A26" s="137">
        <v>4</v>
      </c>
      <c r="B26" s="137" t="s">
        <v>1305</v>
      </c>
      <c r="C26" s="136" t="s">
        <v>1306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</row>
    <row r="27" spans="1:11" x14ac:dyDescent="0.3">
      <c r="A27" s="137">
        <v>5</v>
      </c>
      <c r="B27" s="137" t="s">
        <v>1307</v>
      </c>
      <c r="C27" s="136" t="s">
        <v>1308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</row>
    <row r="28" spans="1:11" x14ac:dyDescent="0.3">
      <c r="A28" s="137">
        <v>6</v>
      </c>
      <c r="B28" s="137" t="s">
        <v>1309</v>
      </c>
      <c r="C28" s="136" t="s">
        <v>1310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38">
        <v>0</v>
      </c>
    </row>
    <row r="29" spans="1:11" x14ac:dyDescent="0.3">
      <c r="A29" s="137">
        <v>7</v>
      </c>
      <c r="B29" s="137" t="s">
        <v>1311</v>
      </c>
      <c r="C29" s="136" t="s">
        <v>1312</v>
      </c>
      <c r="D29" s="138">
        <v>0</v>
      </c>
      <c r="E29" s="138">
        <v>0</v>
      </c>
      <c r="F29" s="138">
        <v>0</v>
      </c>
      <c r="G29" s="138">
        <v>0</v>
      </c>
      <c r="H29" s="138">
        <v>0</v>
      </c>
      <c r="I29" s="138">
        <v>0</v>
      </c>
      <c r="J29" s="138">
        <v>0</v>
      </c>
      <c r="K29" s="138">
        <v>0</v>
      </c>
    </row>
    <row r="30" spans="1:11" x14ac:dyDescent="0.3">
      <c r="A30" s="137">
        <v>8</v>
      </c>
      <c r="B30" s="137" t="s">
        <v>1313</v>
      </c>
      <c r="C30" s="136" t="s">
        <v>979</v>
      </c>
      <c r="D30" s="138">
        <v>0</v>
      </c>
      <c r="E30" s="138">
        <v>0</v>
      </c>
      <c r="F30" s="138">
        <v>0</v>
      </c>
      <c r="G30" s="138">
        <v>0</v>
      </c>
      <c r="H30" s="138">
        <v>0</v>
      </c>
      <c r="I30" s="138">
        <v>0</v>
      </c>
      <c r="J30" s="138">
        <v>0</v>
      </c>
      <c r="K30" s="138">
        <v>0</v>
      </c>
    </row>
    <row r="31" spans="1:11" x14ac:dyDescent="0.3">
      <c r="A31" s="137">
        <v>9</v>
      </c>
      <c r="B31" s="137" t="s">
        <v>1314</v>
      </c>
      <c r="C31" s="136" t="s">
        <v>1315</v>
      </c>
      <c r="D31" s="138">
        <v>0</v>
      </c>
      <c r="E31" s="138">
        <v>0</v>
      </c>
      <c r="F31" s="138">
        <v>0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</row>
    <row r="32" spans="1:11" x14ac:dyDescent="0.3">
      <c r="A32" s="137">
        <v>10</v>
      </c>
      <c r="B32" s="137" t="s">
        <v>1316</v>
      </c>
      <c r="C32" s="136" t="s">
        <v>1317</v>
      </c>
      <c r="D32" s="138">
        <v>0</v>
      </c>
      <c r="E32" s="138">
        <v>0</v>
      </c>
      <c r="F32" s="138">
        <v>0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</row>
    <row r="33" spans="1:11" x14ac:dyDescent="0.3">
      <c r="A33" s="137">
        <v>11</v>
      </c>
      <c r="B33" s="137" t="s">
        <v>1318</v>
      </c>
      <c r="C33" s="136" t="s">
        <v>1319</v>
      </c>
      <c r="D33" s="138">
        <v>0</v>
      </c>
      <c r="E33" s="138">
        <v>0</v>
      </c>
      <c r="F33" s="138">
        <v>0</v>
      </c>
      <c r="G33" s="138">
        <v>0</v>
      </c>
      <c r="H33" s="138">
        <v>0</v>
      </c>
      <c r="I33" s="138">
        <v>0</v>
      </c>
      <c r="J33" s="138">
        <v>0</v>
      </c>
      <c r="K33" s="138">
        <v>0</v>
      </c>
    </row>
    <row r="34" spans="1:11" x14ac:dyDescent="0.3">
      <c r="A34" s="137" t="s">
        <v>1121</v>
      </c>
      <c r="B34" s="137" t="s">
        <v>1320</v>
      </c>
      <c r="C34" s="136" t="s">
        <v>1321</v>
      </c>
      <c r="D34" s="138">
        <v>161592.68</v>
      </c>
      <c r="E34" s="138">
        <v>2881.86</v>
      </c>
      <c r="F34" s="138">
        <v>158710.82</v>
      </c>
      <c r="G34" s="138">
        <v>137006.57</v>
      </c>
      <c r="H34" s="138">
        <v>161593</v>
      </c>
      <c r="I34" s="138">
        <v>2882</v>
      </c>
      <c r="J34" s="138">
        <v>158711</v>
      </c>
      <c r="K34" s="138">
        <v>137008</v>
      </c>
    </row>
    <row r="35" spans="1:11" x14ac:dyDescent="0.3">
      <c r="A35" s="137" t="s">
        <v>1322</v>
      </c>
      <c r="B35" s="137" t="s">
        <v>1323</v>
      </c>
      <c r="C35" s="136" t="s">
        <v>1324</v>
      </c>
      <c r="D35" s="138">
        <v>57315.22</v>
      </c>
      <c r="E35" s="138">
        <v>2719.32</v>
      </c>
      <c r="F35" s="138">
        <v>54595.9</v>
      </c>
      <c r="G35" s="138">
        <v>49962.15</v>
      </c>
      <c r="H35" s="138">
        <v>57315</v>
      </c>
      <c r="I35" s="138">
        <v>2719</v>
      </c>
      <c r="J35" s="138">
        <v>54596</v>
      </c>
      <c r="K35" s="138">
        <v>49962</v>
      </c>
    </row>
    <row r="36" spans="1:11" x14ac:dyDescent="0.3">
      <c r="A36" s="137" t="s">
        <v>1325</v>
      </c>
      <c r="B36" s="137" t="s">
        <v>1326</v>
      </c>
      <c r="C36" s="136" t="s">
        <v>1327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</row>
    <row r="37" spans="1:11" x14ac:dyDescent="0.3">
      <c r="A37" s="137">
        <v>2</v>
      </c>
      <c r="B37" s="137" t="s">
        <v>1328</v>
      </c>
      <c r="C37" s="136" t="s">
        <v>1329</v>
      </c>
      <c r="D37" s="138">
        <v>0</v>
      </c>
      <c r="E37" s="138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</row>
    <row r="38" spans="1:11" x14ac:dyDescent="0.3">
      <c r="A38" s="137">
        <v>3</v>
      </c>
      <c r="B38" s="137" t="s">
        <v>1330</v>
      </c>
      <c r="C38" s="136" t="s">
        <v>1331</v>
      </c>
      <c r="D38" s="138">
        <v>0</v>
      </c>
      <c r="E38" s="138">
        <v>0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</row>
    <row r="39" spans="1:11" x14ac:dyDescent="0.3">
      <c r="A39" s="137">
        <v>4</v>
      </c>
      <c r="B39" s="137" t="s">
        <v>1332</v>
      </c>
      <c r="C39" s="136" t="s">
        <v>1333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</row>
    <row r="40" spans="1:11" x14ac:dyDescent="0.3">
      <c r="A40" s="137">
        <v>5</v>
      </c>
      <c r="B40" s="137" t="s">
        <v>1334</v>
      </c>
      <c r="C40" s="136" t="s">
        <v>1335</v>
      </c>
      <c r="D40" s="138">
        <v>57315.22</v>
      </c>
      <c r="E40" s="138">
        <v>2719.32</v>
      </c>
      <c r="F40" s="138">
        <v>54595.9</v>
      </c>
      <c r="G40" s="138">
        <v>49962.15</v>
      </c>
      <c r="H40" s="138">
        <v>57315</v>
      </c>
      <c r="I40" s="138">
        <v>2719</v>
      </c>
      <c r="J40" s="138">
        <v>54596</v>
      </c>
      <c r="K40" s="138">
        <v>49962</v>
      </c>
    </row>
    <row r="41" spans="1:11" x14ac:dyDescent="0.3">
      <c r="A41" s="137">
        <v>6</v>
      </c>
      <c r="B41" s="137" t="s">
        <v>1336</v>
      </c>
      <c r="C41" s="136" t="s">
        <v>1337</v>
      </c>
      <c r="D41" s="138">
        <v>0</v>
      </c>
      <c r="E41" s="138">
        <v>0</v>
      </c>
      <c r="F41" s="138">
        <v>0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</row>
    <row r="42" spans="1:11" x14ac:dyDescent="0.3">
      <c r="A42" s="137" t="s">
        <v>1338</v>
      </c>
      <c r="B42" s="137" t="s">
        <v>1339</v>
      </c>
      <c r="C42" s="136" t="s">
        <v>981</v>
      </c>
      <c r="D42" s="138">
        <v>1803.26</v>
      </c>
      <c r="E42" s="138">
        <v>0</v>
      </c>
      <c r="F42" s="138">
        <v>1803.26</v>
      </c>
      <c r="G42" s="138">
        <v>1357.8</v>
      </c>
      <c r="H42" s="138">
        <v>1803</v>
      </c>
      <c r="I42" s="138">
        <v>0</v>
      </c>
      <c r="J42" s="138">
        <v>1803</v>
      </c>
      <c r="K42" s="138">
        <v>1358</v>
      </c>
    </row>
    <row r="43" spans="1:11" x14ac:dyDescent="0.3">
      <c r="A43" s="137" t="s">
        <v>1340</v>
      </c>
      <c r="B43" s="137" t="s">
        <v>1341</v>
      </c>
      <c r="C43" s="136" t="s">
        <v>982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</row>
    <row r="44" spans="1:11" x14ac:dyDescent="0.3">
      <c r="A44" s="137" t="s">
        <v>1342</v>
      </c>
      <c r="B44" s="137" t="s">
        <v>1343</v>
      </c>
      <c r="C44" s="136" t="s">
        <v>1344</v>
      </c>
      <c r="D44" s="138">
        <v>0</v>
      </c>
      <c r="E44" s="138">
        <v>0</v>
      </c>
      <c r="F44" s="138">
        <v>0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</row>
    <row r="45" spans="1:11" x14ac:dyDescent="0.3">
      <c r="A45" s="137" t="s">
        <v>1345</v>
      </c>
      <c r="B45" s="137" t="s">
        <v>1346</v>
      </c>
      <c r="C45" s="136" t="s">
        <v>1347</v>
      </c>
      <c r="D45" s="138">
        <v>0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</row>
    <row r="46" spans="1:11" x14ac:dyDescent="0.3">
      <c r="A46" s="137" t="s">
        <v>1348</v>
      </c>
      <c r="B46" s="137" t="s">
        <v>1349</v>
      </c>
      <c r="C46" s="136" t="s">
        <v>1350</v>
      </c>
      <c r="D46" s="138">
        <v>0</v>
      </c>
      <c r="E46" s="138">
        <v>0</v>
      </c>
      <c r="F46" s="138">
        <v>0</v>
      </c>
      <c r="G46" s="138">
        <v>0</v>
      </c>
      <c r="H46" s="138">
        <v>0</v>
      </c>
      <c r="I46" s="138">
        <v>0</v>
      </c>
      <c r="J46" s="138">
        <v>0</v>
      </c>
      <c r="K46" s="138">
        <v>0</v>
      </c>
    </row>
    <row r="47" spans="1:11" x14ac:dyDescent="0.3">
      <c r="A47" s="137">
        <v>2</v>
      </c>
      <c r="B47" s="137" t="s">
        <v>1351</v>
      </c>
      <c r="C47" s="136" t="s">
        <v>1352</v>
      </c>
      <c r="D47" s="138">
        <v>0</v>
      </c>
      <c r="E47" s="138">
        <v>0</v>
      </c>
      <c r="F47" s="138">
        <v>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</row>
    <row r="48" spans="1:11" x14ac:dyDescent="0.3">
      <c r="A48" s="137">
        <v>3</v>
      </c>
      <c r="B48" s="137" t="s">
        <v>1353</v>
      </c>
      <c r="C48" s="136" t="s">
        <v>1354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</row>
    <row r="49" spans="1:11" x14ac:dyDescent="0.3">
      <c r="A49" s="137">
        <v>4</v>
      </c>
      <c r="B49" s="137" t="s">
        <v>1355</v>
      </c>
      <c r="C49" s="136" t="s">
        <v>1356</v>
      </c>
      <c r="D49" s="138">
        <v>0</v>
      </c>
      <c r="E49" s="138">
        <v>0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</row>
    <row r="50" spans="1:11" x14ac:dyDescent="0.3">
      <c r="A50" s="137">
        <v>5</v>
      </c>
      <c r="B50" s="137" t="s">
        <v>1357</v>
      </c>
      <c r="C50" s="136" t="s">
        <v>1358</v>
      </c>
      <c r="D50" s="138">
        <v>0</v>
      </c>
      <c r="E50" s="138">
        <v>0</v>
      </c>
      <c r="F50" s="138">
        <v>0</v>
      </c>
      <c r="G50" s="138">
        <v>0</v>
      </c>
      <c r="H50" s="138">
        <v>0</v>
      </c>
      <c r="I50" s="138">
        <v>0</v>
      </c>
      <c r="J50" s="138">
        <v>0</v>
      </c>
      <c r="K50" s="138">
        <v>0</v>
      </c>
    </row>
    <row r="51" spans="1:11" x14ac:dyDescent="0.3">
      <c r="A51" s="137">
        <v>6</v>
      </c>
      <c r="B51" s="137" t="s">
        <v>1359</v>
      </c>
      <c r="C51" s="136" t="s">
        <v>1360</v>
      </c>
      <c r="D51" s="138">
        <v>0</v>
      </c>
      <c r="E51" s="138">
        <v>0</v>
      </c>
      <c r="F51" s="138">
        <v>0</v>
      </c>
      <c r="G51" s="138">
        <v>0</v>
      </c>
      <c r="H51" s="138">
        <v>0</v>
      </c>
      <c r="I51" s="138">
        <v>0</v>
      </c>
      <c r="J51" s="138">
        <v>0</v>
      </c>
      <c r="K51" s="138">
        <v>0</v>
      </c>
    </row>
    <row r="52" spans="1:11" x14ac:dyDescent="0.3">
      <c r="A52" s="137">
        <v>7</v>
      </c>
      <c r="B52" s="137" t="s">
        <v>1361</v>
      </c>
      <c r="C52" s="136" t="s">
        <v>1362</v>
      </c>
      <c r="D52" s="138">
        <v>0</v>
      </c>
      <c r="E52" s="138">
        <v>0</v>
      </c>
      <c r="F52" s="138">
        <v>0</v>
      </c>
      <c r="G52" s="138">
        <v>0</v>
      </c>
      <c r="H52" s="138">
        <v>0</v>
      </c>
      <c r="I52" s="138">
        <v>0</v>
      </c>
      <c r="J52" s="138">
        <v>0</v>
      </c>
      <c r="K52" s="138">
        <v>0</v>
      </c>
    </row>
    <row r="53" spans="1:11" x14ac:dyDescent="0.3">
      <c r="A53" s="137">
        <v>8</v>
      </c>
      <c r="B53" s="137" t="s">
        <v>1363</v>
      </c>
      <c r="C53" s="136" t="s">
        <v>1364</v>
      </c>
      <c r="D53" s="138">
        <v>1803.26</v>
      </c>
      <c r="E53" s="138">
        <v>0</v>
      </c>
      <c r="F53" s="138">
        <v>1803.26</v>
      </c>
      <c r="G53" s="138">
        <v>1357.8</v>
      </c>
      <c r="H53" s="138">
        <v>1803</v>
      </c>
      <c r="I53" s="138">
        <v>0</v>
      </c>
      <c r="J53" s="138">
        <v>1803</v>
      </c>
      <c r="K53" s="138">
        <v>1358</v>
      </c>
    </row>
    <row r="54" spans="1:11" x14ac:dyDescent="0.3">
      <c r="A54" s="137" t="s">
        <v>1365</v>
      </c>
      <c r="B54" s="137" t="s">
        <v>1366</v>
      </c>
      <c r="C54" s="136" t="s">
        <v>1367</v>
      </c>
      <c r="D54" s="138">
        <v>99299.9</v>
      </c>
      <c r="E54" s="138">
        <v>162.54</v>
      </c>
      <c r="F54" s="138">
        <v>99137.36</v>
      </c>
      <c r="G54" s="138">
        <v>84328.89</v>
      </c>
      <c r="H54" s="138">
        <v>99301</v>
      </c>
      <c r="I54" s="138">
        <v>163</v>
      </c>
      <c r="J54" s="138">
        <v>99138</v>
      </c>
      <c r="K54" s="138">
        <v>84330</v>
      </c>
    </row>
    <row r="55" spans="1:11" x14ac:dyDescent="0.3">
      <c r="A55" s="137" t="s">
        <v>1368</v>
      </c>
      <c r="B55" s="137" t="s">
        <v>1369</v>
      </c>
      <c r="C55" s="136" t="s">
        <v>1370</v>
      </c>
      <c r="D55" s="138">
        <v>37893.07</v>
      </c>
      <c r="E55" s="138">
        <v>0</v>
      </c>
      <c r="F55" s="138">
        <v>37893.07</v>
      </c>
      <c r="G55" s="138">
        <v>40924.94</v>
      </c>
      <c r="H55" s="138">
        <v>37894</v>
      </c>
      <c r="I55" s="138">
        <v>0</v>
      </c>
      <c r="J55" s="138">
        <v>37894</v>
      </c>
      <c r="K55" s="138">
        <v>40925</v>
      </c>
    </row>
    <row r="56" spans="1:11" x14ac:dyDescent="0.3">
      <c r="A56" s="137" t="s">
        <v>1342</v>
      </c>
      <c r="B56" s="137" t="s">
        <v>1343</v>
      </c>
      <c r="C56" s="136" t="s">
        <v>1371</v>
      </c>
      <c r="D56" s="138">
        <v>7331.51</v>
      </c>
      <c r="E56" s="138">
        <v>0</v>
      </c>
      <c r="F56" s="138">
        <v>7331.51</v>
      </c>
      <c r="G56" s="138">
        <v>154.22</v>
      </c>
      <c r="H56" s="138">
        <v>7332</v>
      </c>
      <c r="I56" s="138">
        <v>0</v>
      </c>
      <c r="J56" s="138">
        <v>7332</v>
      </c>
      <c r="K56" s="138">
        <v>154</v>
      </c>
    </row>
    <row r="57" spans="1:11" x14ac:dyDescent="0.3">
      <c r="A57" s="137" t="s">
        <v>1345</v>
      </c>
      <c r="B57" s="137" t="s">
        <v>1346</v>
      </c>
      <c r="C57" s="136" t="s">
        <v>1372</v>
      </c>
      <c r="D57" s="138">
        <v>0</v>
      </c>
      <c r="E57" s="138">
        <v>0</v>
      </c>
      <c r="F57" s="138">
        <v>0</v>
      </c>
      <c r="G57" s="138">
        <v>0</v>
      </c>
      <c r="H57" s="138">
        <v>0</v>
      </c>
      <c r="I57" s="138">
        <v>0</v>
      </c>
      <c r="J57" s="138">
        <v>0</v>
      </c>
      <c r="K57" s="138">
        <v>0</v>
      </c>
    </row>
    <row r="58" spans="1:11" x14ac:dyDescent="0.3">
      <c r="A58" s="137" t="s">
        <v>1348</v>
      </c>
      <c r="B58" s="137" t="s">
        <v>1349</v>
      </c>
      <c r="C58" s="136" t="s">
        <v>1373</v>
      </c>
      <c r="D58" s="138">
        <v>30561.56</v>
      </c>
      <c r="E58" s="138">
        <v>0</v>
      </c>
      <c r="F58" s="138">
        <v>30561.56</v>
      </c>
      <c r="G58" s="138">
        <v>40770.720000000001</v>
      </c>
      <c r="H58" s="138">
        <v>30562</v>
      </c>
      <c r="I58" s="138">
        <v>0</v>
      </c>
      <c r="J58" s="138">
        <v>30562</v>
      </c>
      <c r="K58" s="138">
        <v>40771</v>
      </c>
    </row>
    <row r="59" spans="1:11" x14ac:dyDescent="0.3">
      <c r="A59" s="137">
        <v>2</v>
      </c>
      <c r="B59" s="137" t="s">
        <v>1351</v>
      </c>
      <c r="C59" s="136" t="s">
        <v>1374</v>
      </c>
      <c r="D59" s="138">
        <v>0</v>
      </c>
      <c r="E59" s="138">
        <v>0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38">
        <v>0</v>
      </c>
    </row>
    <row r="60" spans="1:11" x14ac:dyDescent="0.3">
      <c r="A60" s="137">
        <v>3</v>
      </c>
      <c r="B60" s="137" t="s">
        <v>1353</v>
      </c>
      <c r="C60" s="136" t="s">
        <v>1375</v>
      </c>
      <c r="D60" s="138">
        <v>61244.29</v>
      </c>
      <c r="E60" s="138">
        <v>0</v>
      </c>
      <c r="F60" s="138">
        <v>61244.29</v>
      </c>
      <c r="G60" s="138">
        <v>42460.59</v>
      </c>
      <c r="H60" s="138">
        <v>61244</v>
      </c>
      <c r="I60" s="138">
        <v>0</v>
      </c>
      <c r="J60" s="138">
        <v>61244</v>
      </c>
      <c r="K60" s="138">
        <v>42461</v>
      </c>
    </row>
    <row r="61" spans="1:11" x14ac:dyDescent="0.3">
      <c r="A61" s="137">
        <v>4</v>
      </c>
      <c r="B61" s="137" t="s">
        <v>1355</v>
      </c>
      <c r="C61" s="136" t="s">
        <v>1376</v>
      </c>
      <c r="D61" s="138">
        <v>0</v>
      </c>
      <c r="E61" s="138">
        <v>0</v>
      </c>
      <c r="F61" s="138">
        <v>0</v>
      </c>
      <c r="G61" s="138">
        <v>0</v>
      </c>
      <c r="H61" s="138">
        <v>0</v>
      </c>
      <c r="I61" s="138">
        <v>0</v>
      </c>
      <c r="J61" s="138">
        <v>0</v>
      </c>
      <c r="K61" s="138">
        <v>0</v>
      </c>
    </row>
    <row r="62" spans="1:11" x14ac:dyDescent="0.3">
      <c r="A62" s="137">
        <v>5</v>
      </c>
      <c r="B62" s="137" t="s">
        <v>1377</v>
      </c>
      <c r="C62" s="136" t="s">
        <v>1378</v>
      </c>
      <c r="D62" s="138">
        <v>0</v>
      </c>
      <c r="E62" s="138">
        <v>0</v>
      </c>
      <c r="F62" s="138">
        <v>0</v>
      </c>
      <c r="G62" s="138">
        <v>0</v>
      </c>
      <c r="H62" s="138">
        <v>0</v>
      </c>
      <c r="I62" s="138">
        <v>0</v>
      </c>
      <c r="J62" s="138">
        <v>0</v>
      </c>
      <c r="K62" s="138">
        <v>0</v>
      </c>
    </row>
    <row r="63" spans="1:11" x14ac:dyDescent="0.3">
      <c r="A63" s="137" t="s">
        <v>1379</v>
      </c>
      <c r="B63" s="137" t="s">
        <v>1380</v>
      </c>
      <c r="C63" s="136" t="s">
        <v>1381</v>
      </c>
      <c r="D63" s="138">
        <v>0</v>
      </c>
      <c r="E63" s="138">
        <v>0</v>
      </c>
      <c r="F63" s="138">
        <v>0</v>
      </c>
      <c r="G63" s="138">
        <v>0</v>
      </c>
      <c r="H63" s="138">
        <v>0</v>
      </c>
      <c r="I63" s="138">
        <v>0</v>
      </c>
      <c r="J63" s="138">
        <v>0</v>
      </c>
      <c r="K63" s="138">
        <v>0</v>
      </c>
    </row>
    <row r="64" spans="1:11" x14ac:dyDescent="0.3">
      <c r="A64" s="137">
        <v>7</v>
      </c>
      <c r="B64" s="137" t="s">
        <v>1382</v>
      </c>
      <c r="C64" s="136" t="s">
        <v>1383</v>
      </c>
      <c r="D64" s="138">
        <v>0</v>
      </c>
      <c r="E64" s="138">
        <v>0</v>
      </c>
      <c r="F64" s="138">
        <v>0</v>
      </c>
      <c r="G64" s="138">
        <v>0</v>
      </c>
      <c r="H64" s="138">
        <v>0</v>
      </c>
      <c r="I64" s="138">
        <v>0</v>
      </c>
      <c r="J64" s="138">
        <v>0</v>
      </c>
      <c r="K64" s="138">
        <v>0</v>
      </c>
    </row>
    <row r="65" spans="1:11" x14ac:dyDescent="0.3">
      <c r="A65" s="137">
        <v>8</v>
      </c>
      <c r="B65" s="137" t="s">
        <v>1359</v>
      </c>
      <c r="C65" s="136" t="s">
        <v>1384</v>
      </c>
      <c r="D65" s="138">
        <v>0</v>
      </c>
      <c r="E65" s="138">
        <v>0</v>
      </c>
      <c r="F65" s="138">
        <v>0</v>
      </c>
      <c r="G65" s="138">
        <v>0</v>
      </c>
      <c r="H65" s="138">
        <v>0</v>
      </c>
      <c r="I65" s="138">
        <v>0</v>
      </c>
      <c r="J65" s="138">
        <v>0</v>
      </c>
      <c r="K65" s="138">
        <v>0</v>
      </c>
    </row>
    <row r="66" spans="1:11" x14ac:dyDescent="0.3">
      <c r="A66" s="137">
        <v>9</v>
      </c>
      <c r="B66" s="137" t="s">
        <v>1385</v>
      </c>
      <c r="C66" s="136" t="s">
        <v>1386</v>
      </c>
      <c r="D66" s="138">
        <v>162.54</v>
      </c>
      <c r="E66" s="138">
        <v>162.54</v>
      </c>
      <c r="F66" s="138">
        <v>0</v>
      </c>
      <c r="G66" s="138">
        <v>943.36</v>
      </c>
      <c r="H66" s="138">
        <v>163</v>
      </c>
      <c r="I66" s="138">
        <v>163</v>
      </c>
      <c r="J66" s="138">
        <v>0</v>
      </c>
      <c r="K66" s="138">
        <v>944</v>
      </c>
    </row>
    <row r="67" spans="1:11" x14ac:dyDescent="0.3">
      <c r="A67" s="137" t="s">
        <v>1387</v>
      </c>
      <c r="B67" s="137" t="s">
        <v>1388</v>
      </c>
      <c r="C67" s="136" t="s">
        <v>1389</v>
      </c>
      <c r="D67" s="138">
        <v>0</v>
      </c>
      <c r="E67" s="138">
        <v>0</v>
      </c>
      <c r="F67" s="138">
        <v>0</v>
      </c>
      <c r="G67" s="138">
        <v>0</v>
      </c>
      <c r="H67" s="138">
        <v>0</v>
      </c>
      <c r="I67" s="138">
        <v>0</v>
      </c>
      <c r="J67" s="138">
        <v>0</v>
      </c>
      <c r="K67" s="138">
        <v>0</v>
      </c>
    </row>
    <row r="68" spans="1:11" x14ac:dyDescent="0.3">
      <c r="A68" s="137" t="s">
        <v>1390</v>
      </c>
      <c r="B68" s="137" t="s">
        <v>1391</v>
      </c>
      <c r="C68" s="136" t="s">
        <v>1392</v>
      </c>
      <c r="D68" s="138">
        <v>0</v>
      </c>
      <c r="E68" s="138">
        <v>0</v>
      </c>
      <c r="F68" s="138">
        <v>0</v>
      </c>
      <c r="G68" s="138">
        <v>0</v>
      </c>
      <c r="H68" s="138">
        <v>0</v>
      </c>
      <c r="I68" s="138">
        <v>0</v>
      </c>
      <c r="J68" s="138">
        <v>0</v>
      </c>
      <c r="K68" s="138">
        <v>0</v>
      </c>
    </row>
    <row r="69" spans="1:11" x14ac:dyDescent="0.3">
      <c r="A69" s="141">
        <v>2</v>
      </c>
      <c r="B69" s="141" t="s">
        <v>1393</v>
      </c>
      <c r="C69" s="142" t="s">
        <v>1394</v>
      </c>
      <c r="D69" s="143">
        <v>0</v>
      </c>
      <c r="E69" s="143">
        <v>0</v>
      </c>
      <c r="F69" s="143">
        <v>0</v>
      </c>
      <c r="G69" s="143">
        <v>0</v>
      </c>
      <c r="H69" s="143">
        <v>0</v>
      </c>
      <c r="I69" s="143">
        <v>0</v>
      </c>
      <c r="J69" s="143">
        <v>0</v>
      </c>
      <c r="K69" s="143">
        <v>0</v>
      </c>
    </row>
    <row r="70" spans="1:11" x14ac:dyDescent="0.3">
      <c r="A70" s="141">
        <v>3</v>
      </c>
      <c r="B70" s="141" t="s">
        <v>1395</v>
      </c>
      <c r="C70" s="142" t="s">
        <v>1396</v>
      </c>
      <c r="D70" s="143">
        <v>0</v>
      </c>
      <c r="E70" s="143">
        <v>0</v>
      </c>
      <c r="F70" s="143">
        <v>0</v>
      </c>
      <c r="G70" s="143">
        <v>0</v>
      </c>
      <c r="H70" s="143">
        <v>0</v>
      </c>
      <c r="I70" s="143">
        <v>0</v>
      </c>
      <c r="J70" s="143">
        <v>0</v>
      </c>
      <c r="K70" s="143">
        <v>0</v>
      </c>
    </row>
    <row r="71" spans="1:11" x14ac:dyDescent="0.3">
      <c r="A71" s="141">
        <v>4</v>
      </c>
      <c r="B71" s="141" t="s">
        <v>1397</v>
      </c>
      <c r="C71" s="142" t="s">
        <v>1398</v>
      </c>
      <c r="D71" s="143">
        <v>0</v>
      </c>
      <c r="E71" s="143">
        <v>0</v>
      </c>
      <c r="F71" s="143">
        <v>0</v>
      </c>
      <c r="G71" s="143">
        <v>0</v>
      </c>
      <c r="H71" s="143">
        <v>0</v>
      </c>
      <c r="I71" s="143">
        <v>0</v>
      </c>
      <c r="J71" s="143">
        <v>0</v>
      </c>
      <c r="K71" s="143">
        <v>0</v>
      </c>
    </row>
    <row r="72" spans="1:11" x14ac:dyDescent="0.3">
      <c r="A72" s="141" t="s">
        <v>1399</v>
      </c>
      <c r="B72" s="141" t="s">
        <v>1400</v>
      </c>
      <c r="C72" s="142" t="s">
        <v>1401</v>
      </c>
      <c r="D72" s="143">
        <v>3174.3</v>
      </c>
      <c r="E72" s="143">
        <v>0</v>
      </c>
      <c r="F72" s="143">
        <v>3174.3</v>
      </c>
      <c r="G72" s="143">
        <v>1357.73</v>
      </c>
      <c r="H72" s="143">
        <v>3174</v>
      </c>
      <c r="I72" s="143">
        <v>0</v>
      </c>
      <c r="J72" s="143">
        <v>3174</v>
      </c>
      <c r="K72" s="143">
        <v>1358</v>
      </c>
    </row>
    <row r="73" spans="1:11" x14ac:dyDescent="0.3">
      <c r="A73" s="141" t="s">
        <v>1402</v>
      </c>
      <c r="B73" s="141" t="s">
        <v>1403</v>
      </c>
      <c r="C73" s="142" t="s">
        <v>1404</v>
      </c>
      <c r="D73" s="143">
        <v>3174.3</v>
      </c>
      <c r="E73" s="143">
        <v>0</v>
      </c>
      <c r="F73" s="143">
        <v>3174.3</v>
      </c>
      <c r="G73" s="143">
        <v>1357.73</v>
      </c>
      <c r="H73" s="143">
        <v>3174</v>
      </c>
      <c r="I73" s="143">
        <v>0</v>
      </c>
      <c r="J73" s="143">
        <v>3174</v>
      </c>
      <c r="K73" s="143">
        <v>1358</v>
      </c>
    </row>
    <row r="74" spans="1:11" x14ac:dyDescent="0.3">
      <c r="A74" s="141">
        <v>2</v>
      </c>
      <c r="B74" s="141" t="s">
        <v>1405</v>
      </c>
      <c r="C74" s="142" t="s">
        <v>1406</v>
      </c>
      <c r="D74" s="143">
        <v>0</v>
      </c>
      <c r="E74" s="143">
        <v>0</v>
      </c>
      <c r="F74" s="143">
        <v>0</v>
      </c>
      <c r="G74" s="143">
        <v>0</v>
      </c>
      <c r="H74" s="143">
        <v>0</v>
      </c>
      <c r="I74" s="143">
        <v>0</v>
      </c>
      <c r="J74" s="143">
        <v>0</v>
      </c>
      <c r="K74" s="143">
        <v>0</v>
      </c>
    </row>
    <row r="75" spans="1:11" x14ac:dyDescent="0.3">
      <c r="A75" s="141" t="s">
        <v>1124</v>
      </c>
      <c r="B75" s="141" t="s">
        <v>1407</v>
      </c>
      <c r="C75" s="142" t="s">
        <v>1408</v>
      </c>
      <c r="D75" s="143">
        <v>341</v>
      </c>
      <c r="E75" s="143">
        <v>0</v>
      </c>
      <c r="F75" s="143">
        <v>341</v>
      </c>
      <c r="G75" s="143">
        <v>372.18</v>
      </c>
      <c r="H75" s="143">
        <v>341</v>
      </c>
      <c r="I75" s="143">
        <v>0</v>
      </c>
      <c r="J75" s="143">
        <v>341</v>
      </c>
      <c r="K75" s="143">
        <v>372</v>
      </c>
    </row>
    <row r="76" spans="1:11" x14ac:dyDescent="0.3">
      <c r="A76" s="141" t="s">
        <v>1409</v>
      </c>
      <c r="B76" s="141" t="s">
        <v>1410</v>
      </c>
      <c r="C76" s="142" t="s">
        <v>1411</v>
      </c>
      <c r="D76" s="143">
        <v>0</v>
      </c>
      <c r="E76" s="143">
        <v>0</v>
      </c>
      <c r="F76" s="143">
        <v>0</v>
      </c>
      <c r="G76" s="143">
        <v>0</v>
      </c>
      <c r="H76" s="143">
        <v>0</v>
      </c>
      <c r="I76" s="143">
        <v>0</v>
      </c>
      <c r="J76" s="143">
        <v>0</v>
      </c>
      <c r="K76" s="143">
        <v>0</v>
      </c>
    </row>
    <row r="77" spans="1:11" x14ac:dyDescent="0.3">
      <c r="A77" s="141">
        <v>2</v>
      </c>
      <c r="B77" s="141" t="s">
        <v>1412</v>
      </c>
      <c r="C77" s="142" t="s">
        <v>1413</v>
      </c>
      <c r="D77" s="143">
        <v>341</v>
      </c>
      <c r="E77" s="143">
        <v>0</v>
      </c>
      <c r="F77" s="143">
        <v>341</v>
      </c>
      <c r="G77" s="143">
        <v>372.18</v>
      </c>
      <c r="H77" s="143">
        <v>341</v>
      </c>
      <c r="I77" s="143">
        <v>0</v>
      </c>
      <c r="J77" s="143">
        <v>341</v>
      </c>
      <c r="K77" s="143">
        <v>372</v>
      </c>
    </row>
    <row r="78" spans="1:11" x14ac:dyDescent="0.3">
      <c r="A78" s="141">
        <v>3</v>
      </c>
      <c r="B78" s="141" t="s">
        <v>1414</v>
      </c>
      <c r="C78" s="142" t="s">
        <v>1415</v>
      </c>
      <c r="D78" s="143">
        <v>0</v>
      </c>
      <c r="E78" s="143">
        <v>0</v>
      </c>
      <c r="F78" s="143">
        <v>0</v>
      </c>
      <c r="G78" s="143">
        <v>0</v>
      </c>
      <c r="H78" s="143">
        <v>0</v>
      </c>
      <c r="I78" s="143">
        <v>0</v>
      </c>
      <c r="J78" s="143">
        <v>0</v>
      </c>
      <c r="K78" s="143">
        <v>0</v>
      </c>
    </row>
    <row r="79" spans="1:11" x14ac:dyDescent="0.3">
      <c r="A79" s="141">
        <v>4</v>
      </c>
      <c r="B79" s="141" t="s">
        <v>1416</v>
      </c>
      <c r="C79" s="142" t="s">
        <v>1417</v>
      </c>
      <c r="D79" s="143">
        <v>0</v>
      </c>
      <c r="E79" s="143">
        <v>0</v>
      </c>
      <c r="F79" s="143">
        <v>0</v>
      </c>
      <c r="G79" s="143">
        <v>0</v>
      </c>
      <c r="H79" s="143">
        <v>0</v>
      </c>
      <c r="I79" s="143">
        <v>0</v>
      </c>
      <c r="J79" s="143">
        <v>0</v>
      </c>
      <c r="K79" s="143">
        <v>0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G68"/>
  <sheetViews>
    <sheetView workbookViewId="0">
      <selection activeCell="B2" sqref="B2"/>
    </sheetView>
  </sheetViews>
  <sheetFormatPr defaultColWidth="9.109375" defaultRowHeight="14.4" x14ac:dyDescent="0.3"/>
  <cols>
    <col min="1" max="1" width="9.109375" style="17"/>
    <col min="2" max="2" width="79.44140625" style="17" bestFit="1" customWidth="1"/>
    <col min="3" max="3" width="4.44140625" style="139" bestFit="1" customWidth="1"/>
    <col min="4" max="7" width="15.33203125" style="140" bestFit="1" customWidth="1"/>
  </cols>
  <sheetData>
    <row r="1" spans="1:7" ht="20.399999999999999" x14ac:dyDescent="0.3">
      <c r="A1" s="145" t="s">
        <v>358</v>
      </c>
      <c r="B1" s="145" t="s">
        <v>364</v>
      </c>
      <c r="C1" s="144" t="s">
        <v>380</v>
      </c>
      <c r="D1" s="146" t="s">
        <v>387</v>
      </c>
      <c r="E1" s="146" t="s">
        <v>388</v>
      </c>
      <c r="F1" s="146" t="s">
        <v>365</v>
      </c>
      <c r="G1" s="146" t="s">
        <v>363</v>
      </c>
    </row>
    <row r="2" spans="1:7" x14ac:dyDescent="0.3">
      <c r="B2" s="17" t="s">
        <v>1418</v>
      </c>
      <c r="C2" s="139" t="s">
        <v>983</v>
      </c>
      <c r="D2" s="140">
        <v>193717.16</v>
      </c>
      <c r="E2" s="140">
        <v>171254.72</v>
      </c>
      <c r="F2" s="140">
        <v>193717</v>
      </c>
      <c r="G2" s="140">
        <v>171255</v>
      </c>
    </row>
    <row r="3" spans="1:7" x14ac:dyDescent="0.3">
      <c r="A3" s="17" t="s">
        <v>1118</v>
      </c>
      <c r="B3" s="17" t="s">
        <v>1419</v>
      </c>
      <c r="C3" s="139" t="s">
        <v>1420</v>
      </c>
      <c r="D3" s="138">
        <v>56026.23</v>
      </c>
      <c r="E3" s="138">
        <v>43813.07</v>
      </c>
      <c r="F3" s="138">
        <v>56026</v>
      </c>
      <c r="G3" s="138">
        <v>43813</v>
      </c>
    </row>
    <row r="4" spans="1:7" x14ac:dyDescent="0.3">
      <c r="A4" s="17" t="s">
        <v>1258</v>
      </c>
      <c r="B4" s="17" t="s">
        <v>1421</v>
      </c>
      <c r="C4" s="139" t="s">
        <v>984</v>
      </c>
      <c r="D4" s="140">
        <v>5000</v>
      </c>
      <c r="E4" s="140">
        <v>5000</v>
      </c>
      <c r="F4" s="140">
        <v>5000</v>
      </c>
      <c r="G4" s="140">
        <v>5000</v>
      </c>
    </row>
    <row r="5" spans="1:7" x14ac:dyDescent="0.3">
      <c r="A5" s="17" t="s">
        <v>1422</v>
      </c>
      <c r="B5" s="17" t="s">
        <v>1423</v>
      </c>
      <c r="C5" s="139" t="s">
        <v>986</v>
      </c>
      <c r="D5" s="140">
        <v>5000</v>
      </c>
      <c r="E5" s="140">
        <v>5000</v>
      </c>
      <c r="F5" s="140">
        <v>5000</v>
      </c>
      <c r="G5" s="140">
        <v>5000</v>
      </c>
    </row>
    <row r="6" spans="1:7" x14ac:dyDescent="0.3">
      <c r="A6" s="17">
        <v>2</v>
      </c>
      <c r="B6" s="17" t="s">
        <v>1424</v>
      </c>
      <c r="C6" s="139" t="s">
        <v>1425</v>
      </c>
      <c r="D6" s="140">
        <v>0</v>
      </c>
      <c r="E6" s="140">
        <v>0</v>
      </c>
      <c r="F6" s="140">
        <v>0</v>
      </c>
      <c r="G6" s="140">
        <v>0</v>
      </c>
    </row>
    <row r="7" spans="1:7" x14ac:dyDescent="0.3">
      <c r="A7" s="17">
        <v>3</v>
      </c>
      <c r="B7" s="17" t="s">
        <v>1426</v>
      </c>
      <c r="C7" s="139" t="s">
        <v>1427</v>
      </c>
      <c r="D7" s="140">
        <v>0</v>
      </c>
      <c r="E7" s="140">
        <v>0</v>
      </c>
      <c r="F7" s="140">
        <v>0</v>
      </c>
      <c r="G7" s="140">
        <v>0</v>
      </c>
    </row>
    <row r="8" spans="1:7" x14ac:dyDescent="0.3">
      <c r="A8" s="17" t="s">
        <v>1276</v>
      </c>
      <c r="B8" s="17" t="s">
        <v>1428</v>
      </c>
      <c r="C8" s="139" t="s">
        <v>1429</v>
      </c>
      <c r="D8" s="140">
        <v>0</v>
      </c>
      <c r="E8" s="140">
        <v>0</v>
      </c>
      <c r="F8" s="140">
        <v>0</v>
      </c>
      <c r="G8" s="140">
        <v>0</v>
      </c>
    </row>
    <row r="9" spans="1:7" x14ac:dyDescent="0.3">
      <c r="A9" s="17" t="s">
        <v>1430</v>
      </c>
      <c r="B9" s="17" t="s">
        <v>1431</v>
      </c>
      <c r="C9" s="139" t="s">
        <v>1432</v>
      </c>
      <c r="D9" s="140">
        <v>8000</v>
      </c>
      <c r="E9" s="140">
        <v>8000</v>
      </c>
      <c r="F9" s="140">
        <v>8000</v>
      </c>
      <c r="G9" s="140">
        <v>8000</v>
      </c>
    </row>
    <row r="10" spans="1:7" x14ac:dyDescent="0.3">
      <c r="A10" s="17" t="s">
        <v>1433</v>
      </c>
      <c r="B10" s="17" t="s">
        <v>1434</v>
      </c>
      <c r="C10" s="139" t="s">
        <v>1435</v>
      </c>
      <c r="D10" s="140">
        <v>500</v>
      </c>
      <c r="E10" s="140">
        <v>500</v>
      </c>
      <c r="F10" s="140">
        <v>500</v>
      </c>
      <c r="G10" s="140">
        <v>500</v>
      </c>
    </row>
    <row r="11" spans="1:7" x14ac:dyDescent="0.3">
      <c r="A11" s="17" t="s">
        <v>1436</v>
      </c>
      <c r="B11" s="17" t="s">
        <v>1437</v>
      </c>
      <c r="C11" s="139" t="s">
        <v>1438</v>
      </c>
      <c r="D11" s="140">
        <v>500</v>
      </c>
      <c r="E11" s="140">
        <v>500</v>
      </c>
      <c r="F11" s="140">
        <v>500</v>
      </c>
      <c r="G11" s="140">
        <v>500</v>
      </c>
    </row>
    <row r="12" spans="1:7" x14ac:dyDescent="0.3">
      <c r="A12" s="17">
        <v>2</v>
      </c>
      <c r="B12" s="17" t="s">
        <v>1439</v>
      </c>
      <c r="C12" s="139" t="s">
        <v>988</v>
      </c>
      <c r="D12" s="140">
        <v>0</v>
      </c>
      <c r="E12" s="140">
        <v>0</v>
      </c>
      <c r="F12" s="140">
        <v>0</v>
      </c>
      <c r="G12" s="140">
        <v>0</v>
      </c>
    </row>
    <row r="13" spans="1:7" x14ac:dyDescent="0.3">
      <c r="A13" s="17" t="s">
        <v>1440</v>
      </c>
      <c r="B13" s="17" t="s">
        <v>1441</v>
      </c>
      <c r="C13" s="139" t="s">
        <v>1442</v>
      </c>
      <c r="D13" s="140">
        <v>0</v>
      </c>
      <c r="E13" s="140">
        <v>0</v>
      </c>
      <c r="F13" s="140">
        <v>0</v>
      </c>
      <c r="G13" s="140">
        <v>0</v>
      </c>
    </row>
    <row r="14" spans="1:7" x14ac:dyDescent="0.3">
      <c r="A14" s="17" t="s">
        <v>1443</v>
      </c>
      <c r="B14" s="17" t="s">
        <v>1444</v>
      </c>
      <c r="C14" s="139" t="s">
        <v>1445</v>
      </c>
      <c r="D14" s="140">
        <v>0</v>
      </c>
      <c r="E14" s="140">
        <v>0</v>
      </c>
      <c r="F14" s="140">
        <v>0</v>
      </c>
      <c r="G14" s="140">
        <v>0</v>
      </c>
    </row>
    <row r="15" spans="1:7" x14ac:dyDescent="0.3">
      <c r="A15" s="17">
        <v>2</v>
      </c>
      <c r="B15" s="17" t="s">
        <v>1446</v>
      </c>
      <c r="C15" s="139" t="s">
        <v>1447</v>
      </c>
      <c r="D15" s="140">
        <v>0</v>
      </c>
      <c r="E15" s="140">
        <v>0</v>
      </c>
      <c r="F15" s="140">
        <v>0</v>
      </c>
      <c r="G15" s="140">
        <v>0</v>
      </c>
    </row>
    <row r="16" spans="1:7" x14ac:dyDescent="0.3">
      <c r="A16" s="17" t="s">
        <v>1448</v>
      </c>
      <c r="B16" s="17" t="s">
        <v>1449</v>
      </c>
      <c r="C16" s="139" t="s">
        <v>1450</v>
      </c>
      <c r="D16" s="140">
        <v>0</v>
      </c>
      <c r="E16" s="140">
        <v>0</v>
      </c>
      <c r="F16" s="140">
        <v>0</v>
      </c>
      <c r="G16" s="140">
        <v>0</v>
      </c>
    </row>
    <row r="17" spans="1:7" x14ac:dyDescent="0.3">
      <c r="A17" s="17" t="s">
        <v>1451</v>
      </c>
      <c r="B17" s="17" t="s">
        <v>1452</v>
      </c>
      <c r="C17" s="139" t="s">
        <v>1453</v>
      </c>
      <c r="D17" s="140">
        <v>0</v>
      </c>
      <c r="E17" s="140">
        <v>0</v>
      </c>
      <c r="F17" s="140">
        <v>0</v>
      </c>
      <c r="G17" s="140">
        <v>0</v>
      </c>
    </row>
    <row r="18" spans="1:7" x14ac:dyDescent="0.3">
      <c r="A18" s="17">
        <v>2</v>
      </c>
      <c r="B18" s="17" t="s">
        <v>1454</v>
      </c>
      <c r="C18" s="139" t="s">
        <v>1455</v>
      </c>
      <c r="D18" s="140">
        <v>0</v>
      </c>
      <c r="E18" s="140">
        <v>0</v>
      </c>
      <c r="F18" s="140">
        <v>0</v>
      </c>
      <c r="G18" s="140">
        <v>0</v>
      </c>
    </row>
    <row r="19" spans="1:7" x14ac:dyDescent="0.3">
      <c r="A19" s="17">
        <v>3</v>
      </c>
      <c r="B19" s="17" t="s">
        <v>1456</v>
      </c>
      <c r="C19" s="139" t="s">
        <v>1457</v>
      </c>
      <c r="D19" s="140">
        <v>0</v>
      </c>
      <c r="E19" s="140">
        <v>0</v>
      </c>
      <c r="F19" s="140">
        <v>0</v>
      </c>
      <c r="G19" s="140">
        <v>0</v>
      </c>
    </row>
    <row r="20" spans="1:7" x14ac:dyDescent="0.3">
      <c r="A20" s="17" t="s">
        <v>1458</v>
      </c>
      <c r="B20" s="17" t="s">
        <v>1459</v>
      </c>
      <c r="C20" s="139" t="s">
        <v>1460</v>
      </c>
      <c r="D20" s="140">
        <v>30313.07</v>
      </c>
      <c r="E20" s="140">
        <v>24209.75</v>
      </c>
      <c r="F20" s="140">
        <v>30313</v>
      </c>
      <c r="G20" s="140">
        <v>24210</v>
      </c>
    </row>
    <row r="21" spans="1:7" x14ac:dyDescent="0.3">
      <c r="A21" s="17" t="s">
        <v>1461</v>
      </c>
      <c r="B21" s="17" t="s">
        <v>1462</v>
      </c>
      <c r="C21" s="139" t="s">
        <v>1463</v>
      </c>
      <c r="D21" s="140">
        <v>30313.07</v>
      </c>
      <c r="E21" s="140">
        <v>24209.75</v>
      </c>
      <c r="F21" s="140">
        <v>30313</v>
      </c>
      <c r="G21" s="140">
        <v>24210</v>
      </c>
    </row>
    <row r="22" spans="1:7" x14ac:dyDescent="0.3">
      <c r="A22" s="17">
        <v>2</v>
      </c>
      <c r="B22" s="17" t="s">
        <v>1464</v>
      </c>
      <c r="C22" s="139" t="s">
        <v>1465</v>
      </c>
      <c r="D22" s="140">
        <v>0</v>
      </c>
      <c r="E22" s="140">
        <v>0</v>
      </c>
      <c r="F22" s="140">
        <v>0</v>
      </c>
      <c r="G22" s="140">
        <v>0</v>
      </c>
    </row>
    <row r="23" spans="1:7" x14ac:dyDescent="0.3">
      <c r="A23" s="17" t="s">
        <v>1466</v>
      </c>
      <c r="B23" s="17" t="s">
        <v>1467</v>
      </c>
      <c r="C23" s="139" t="s">
        <v>1468</v>
      </c>
      <c r="D23" s="140">
        <v>12213.16</v>
      </c>
      <c r="E23" s="140">
        <v>6103.32</v>
      </c>
      <c r="F23" s="140">
        <v>12213</v>
      </c>
      <c r="G23" s="140">
        <v>6103</v>
      </c>
    </row>
    <row r="24" spans="1:7" x14ac:dyDescent="0.3">
      <c r="A24" s="17" t="s">
        <v>1121</v>
      </c>
      <c r="B24" s="17" t="s">
        <v>1469</v>
      </c>
      <c r="C24" s="139" t="s">
        <v>1470</v>
      </c>
      <c r="D24" s="140">
        <v>137690.93</v>
      </c>
      <c r="E24" s="140">
        <v>127441.65</v>
      </c>
      <c r="F24" s="140">
        <v>137691</v>
      </c>
      <c r="G24" s="140">
        <v>127442</v>
      </c>
    </row>
    <row r="25" spans="1:7" x14ac:dyDescent="0.3">
      <c r="A25" s="17" t="s">
        <v>1322</v>
      </c>
      <c r="B25" s="17" t="s">
        <v>1471</v>
      </c>
      <c r="C25" s="139" t="s">
        <v>1472</v>
      </c>
      <c r="D25" s="140">
        <v>282.83</v>
      </c>
      <c r="E25" s="140">
        <v>192.67</v>
      </c>
      <c r="F25" s="140">
        <v>283</v>
      </c>
      <c r="G25" s="140">
        <v>193</v>
      </c>
    </row>
    <row r="26" spans="1:7" x14ac:dyDescent="0.3">
      <c r="A26" s="17" t="s">
        <v>1325</v>
      </c>
      <c r="B26" s="17" t="s">
        <v>1473</v>
      </c>
      <c r="C26" s="139" t="s">
        <v>1474</v>
      </c>
      <c r="D26" s="140">
        <v>0</v>
      </c>
      <c r="E26" s="140">
        <v>0</v>
      </c>
      <c r="F26" s="140">
        <v>0</v>
      </c>
      <c r="G26" s="140">
        <v>0</v>
      </c>
    </row>
    <row r="27" spans="1:7" x14ac:dyDescent="0.3">
      <c r="A27" s="17" t="s">
        <v>1342</v>
      </c>
      <c r="B27" s="17" t="s">
        <v>1475</v>
      </c>
      <c r="C27" s="139" t="s">
        <v>1476</v>
      </c>
      <c r="D27" s="140">
        <v>0</v>
      </c>
      <c r="E27" s="140">
        <v>0</v>
      </c>
      <c r="F27" s="140">
        <v>0</v>
      </c>
      <c r="G27" s="140">
        <v>0</v>
      </c>
    </row>
    <row r="28" spans="1:7" x14ac:dyDescent="0.3">
      <c r="A28" s="17" t="s">
        <v>1345</v>
      </c>
      <c r="B28" s="17" t="s">
        <v>1477</v>
      </c>
      <c r="C28" s="139" t="s">
        <v>1478</v>
      </c>
      <c r="D28" s="140">
        <v>0</v>
      </c>
      <c r="E28" s="140">
        <v>0</v>
      </c>
      <c r="F28" s="140">
        <v>0</v>
      </c>
      <c r="G28" s="140">
        <v>0</v>
      </c>
    </row>
    <row r="29" spans="1:7" x14ac:dyDescent="0.3">
      <c r="A29" s="17" t="s">
        <v>1348</v>
      </c>
      <c r="B29" s="17" t="s">
        <v>1479</v>
      </c>
      <c r="C29" s="139" t="s">
        <v>1480</v>
      </c>
      <c r="D29" s="140">
        <v>0</v>
      </c>
      <c r="E29" s="140">
        <v>0</v>
      </c>
      <c r="F29" s="140">
        <v>0</v>
      </c>
      <c r="G29" s="140">
        <v>0</v>
      </c>
    </row>
    <row r="30" spans="1:7" x14ac:dyDescent="0.3">
      <c r="A30" s="17">
        <v>2</v>
      </c>
      <c r="B30" s="17" t="s">
        <v>1351</v>
      </c>
      <c r="C30" s="139" t="s">
        <v>1481</v>
      </c>
      <c r="D30" s="140">
        <v>0</v>
      </c>
      <c r="E30" s="140">
        <v>0</v>
      </c>
      <c r="F30" s="140">
        <v>0</v>
      </c>
      <c r="G30" s="140">
        <v>0</v>
      </c>
    </row>
    <row r="31" spans="1:7" x14ac:dyDescent="0.3">
      <c r="A31" s="17">
        <v>3</v>
      </c>
      <c r="B31" s="17" t="s">
        <v>1482</v>
      </c>
      <c r="C31" s="139" t="s">
        <v>1483</v>
      </c>
      <c r="D31" s="140">
        <v>0</v>
      </c>
      <c r="E31" s="140">
        <v>0</v>
      </c>
      <c r="F31" s="140">
        <v>0</v>
      </c>
      <c r="G31" s="140">
        <v>0</v>
      </c>
    </row>
    <row r="32" spans="1:7" x14ac:dyDescent="0.3">
      <c r="A32" s="17">
        <v>4</v>
      </c>
      <c r="B32" s="17" t="s">
        <v>1484</v>
      </c>
      <c r="C32" s="139" t="s">
        <v>1485</v>
      </c>
      <c r="D32" s="140">
        <v>0</v>
      </c>
      <c r="E32" s="140">
        <v>0</v>
      </c>
      <c r="F32" s="140">
        <v>0</v>
      </c>
      <c r="G32" s="140">
        <v>0</v>
      </c>
    </row>
    <row r="33" spans="1:7" x14ac:dyDescent="0.3">
      <c r="A33" s="17">
        <v>5</v>
      </c>
      <c r="B33" s="17" t="s">
        <v>1486</v>
      </c>
      <c r="C33" s="139" t="s">
        <v>1487</v>
      </c>
      <c r="D33" s="140">
        <v>0</v>
      </c>
      <c r="E33" s="140">
        <v>0</v>
      </c>
      <c r="F33" s="140">
        <v>0</v>
      </c>
      <c r="G33" s="140">
        <v>0</v>
      </c>
    </row>
    <row r="34" spans="1:7" x14ac:dyDescent="0.3">
      <c r="A34" s="17">
        <v>6</v>
      </c>
      <c r="B34" s="17" t="s">
        <v>1488</v>
      </c>
      <c r="C34" s="139" t="s">
        <v>1489</v>
      </c>
      <c r="D34" s="140">
        <v>0</v>
      </c>
      <c r="E34" s="140">
        <v>0</v>
      </c>
      <c r="F34" s="140">
        <v>0</v>
      </c>
      <c r="G34" s="140">
        <v>0</v>
      </c>
    </row>
    <row r="35" spans="1:7" x14ac:dyDescent="0.3">
      <c r="A35" s="17">
        <v>7</v>
      </c>
      <c r="B35" s="17" t="s">
        <v>1490</v>
      </c>
      <c r="C35" s="139" t="s">
        <v>1491</v>
      </c>
      <c r="D35" s="140">
        <v>0</v>
      </c>
      <c r="E35" s="140">
        <v>0</v>
      </c>
      <c r="F35" s="140">
        <v>0</v>
      </c>
      <c r="G35" s="140">
        <v>0</v>
      </c>
    </row>
    <row r="36" spans="1:7" x14ac:dyDescent="0.3">
      <c r="A36" s="17">
        <v>8</v>
      </c>
      <c r="B36" s="17" t="s">
        <v>1492</v>
      </c>
      <c r="C36" s="139" t="s">
        <v>1493</v>
      </c>
      <c r="D36" s="140">
        <v>0</v>
      </c>
      <c r="E36" s="140">
        <v>0</v>
      </c>
      <c r="F36" s="140">
        <v>0</v>
      </c>
      <c r="G36" s="140">
        <v>0</v>
      </c>
    </row>
    <row r="37" spans="1:7" x14ac:dyDescent="0.3">
      <c r="A37" s="17">
        <v>9</v>
      </c>
      <c r="B37" s="17" t="s">
        <v>1494</v>
      </c>
      <c r="C37" s="139" t="s">
        <v>1495</v>
      </c>
      <c r="D37" s="140">
        <v>282.83</v>
      </c>
      <c r="E37" s="140">
        <v>192.67</v>
      </c>
      <c r="F37" s="140">
        <v>283</v>
      </c>
      <c r="G37" s="140">
        <v>193</v>
      </c>
    </row>
    <row r="38" spans="1:7" x14ac:dyDescent="0.3">
      <c r="A38" s="17">
        <v>10</v>
      </c>
      <c r="B38" s="17" t="s">
        <v>1496</v>
      </c>
      <c r="C38" s="139" t="s">
        <v>1497</v>
      </c>
      <c r="D38" s="140">
        <v>0</v>
      </c>
      <c r="E38" s="140">
        <v>0</v>
      </c>
      <c r="F38" s="140">
        <v>0</v>
      </c>
      <c r="G38" s="140">
        <v>0</v>
      </c>
    </row>
    <row r="39" spans="1:7" x14ac:dyDescent="0.3">
      <c r="A39" s="17">
        <v>11</v>
      </c>
      <c r="B39" s="17" t="s">
        <v>1498</v>
      </c>
      <c r="C39" s="139" t="s">
        <v>1499</v>
      </c>
      <c r="D39" s="140">
        <v>0</v>
      </c>
      <c r="E39" s="140">
        <v>0</v>
      </c>
      <c r="F39" s="140">
        <v>0</v>
      </c>
      <c r="G39" s="140">
        <v>0</v>
      </c>
    </row>
    <row r="40" spans="1:7" x14ac:dyDescent="0.3">
      <c r="A40" s="17">
        <v>12</v>
      </c>
      <c r="B40" s="17" t="s">
        <v>1500</v>
      </c>
      <c r="C40" s="139" t="s">
        <v>1501</v>
      </c>
      <c r="D40" s="140">
        <v>0</v>
      </c>
      <c r="E40" s="140">
        <v>0</v>
      </c>
      <c r="F40" s="140">
        <v>0</v>
      </c>
      <c r="G40" s="140">
        <v>0</v>
      </c>
    </row>
    <row r="41" spans="1:7" x14ac:dyDescent="0.3">
      <c r="A41" s="17" t="s">
        <v>1502</v>
      </c>
      <c r="B41" s="17" t="s">
        <v>1503</v>
      </c>
      <c r="C41" s="139" t="s">
        <v>1504</v>
      </c>
      <c r="D41" s="140">
        <v>0</v>
      </c>
      <c r="E41" s="140">
        <v>0</v>
      </c>
      <c r="F41" s="140">
        <v>0</v>
      </c>
      <c r="G41" s="140">
        <v>0</v>
      </c>
    </row>
    <row r="42" spans="1:7" x14ac:dyDescent="0.3">
      <c r="A42" s="17" t="s">
        <v>1505</v>
      </c>
      <c r="B42" s="17" t="s">
        <v>1506</v>
      </c>
      <c r="C42" s="139" t="s">
        <v>1507</v>
      </c>
      <c r="D42" s="140">
        <v>0</v>
      </c>
      <c r="E42" s="140">
        <v>0</v>
      </c>
      <c r="F42" s="140">
        <v>0</v>
      </c>
      <c r="G42" s="140">
        <v>0</v>
      </c>
    </row>
    <row r="43" spans="1:7" x14ac:dyDescent="0.3">
      <c r="A43" s="17">
        <v>2</v>
      </c>
      <c r="B43" s="17" t="s">
        <v>1508</v>
      </c>
      <c r="C43" s="139" t="s">
        <v>1509</v>
      </c>
      <c r="D43" s="140">
        <v>0</v>
      </c>
      <c r="E43" s="140">
        <v>0</v>
      </c>
      <c r="F43" s="140">
        <v>0</v>
      </c>
      <c r="G43" s="140">
        <v>0</v>
      </c>
    </row>
    <row r="44" spans="1:7" x14ac:dyDescent="0.3">
      <c r="A44" s="17" t="s">
        <v>1510</v>
      </c>
      <c r="B44" s="17" t="s">
        <v>1511</v>
      </c>
      <c r="C44" s="139" t="s">
        <v>1512</v>
      </c>
      <c r="D44" s="140">
        <v>0</v>
      </c>
      <c r="E44" s="140">
        <v>0</v>
      </c>
      <c r="F44" s="140">
        <v>0</v>
      </c>
      <c r="G44" s="140">
        <v>0</v>
      </c>
    </row>
    <row r="45" spans="1:7" x14ac:dyDescent="0.3">
      <c r="A45" s="17" t="s">
        <v>1513</v>
      </c>
      <c r="B45" s="17" t="s">
        <v>1514</v>
      </c>
      <c r="C45" s="139" t="s">
        <v>1515</v>
      </c>
      <c r="D45" s="140">
        <v>130298.04</v>
      </c>
      <c r="E45" s="140">
        <v>120980.2</v>
      </c>
      <c r="F45" s="140">
        <v>130298</v>
      </c>
      <c r="G45" s="140">
        <v>120980</v>
      </c>
    </row>
    <row r="46" spans="1:7" x14ac:dyDescent="0.3">
      <c r="A46" s="17" t="s">
        <v>1516</v>
      </c>
      <c r="B46" s="17" t="s">
        <v>1517</v>
      </c>
      <c r="C46" s="139" t="s">
        <v>1518</v>
      </c>
      <c r="D46" s="140">
        <v>121809.18</v>
      </c>
      <c r="E46" s="140">
        <v>113413.51</v>
      </c>
      <c r="F46" s="140">
        <v>121809</v>
      </c>
      <c r="G46" s="140">
        <v>113413</v>
      </c>
    </row>
    <row r="47" spans="1:7" x14ac:dyDescent="0.3">
      <c r="A47" s="17" t="s">
        <v>1342</v>
      </c>
      <c r="B47" s="17" t="s">
        <v>1519</v>
      </c>
      <c r="C47" s="139" t="s">
        <v>1520</v>
      </c>
      <c r="D47" s="140">
        <v>2022.01</v>
      </c>
      <c r="E47" s="140">
        <v>1370.77</v>
      </c>
      <c r="F47" s="140">
        <v>2022</v>
      </c>
      <c r="G47" s="140">
        <v>1371</v>
      </c>
    </row>
    <row r="48" spans="1:7" x14ac:dyDescent="0.3">
      <c r="A48" s="17" t="s">
        <v>1345</v>
      </c>
      <c r="B48" s="17" t="s">
        <v>1521</v>
      </c>
      <c r="C48" s="139" t="s">
        <v>1522</v>
      </c>
      <c r="D48" s="140">
        <v>0</v>
      </c>
      <c r="E48" s="140">
        <v>0</v>
      </c>
      <c r="F48" s="140">
        <v>0</v>
      </c>
      <c r="G48" s="140">
        <v>0</v>
      </c>
    </row>
    <row r="49" spans="1:7" x14ac:dyDescent="0.3">
      <c r="A49" s="17" t="s">
        <v>1348</v>
      </c>
      <c r="B49" s="17" t="s">
        <v>1523</v>
      </c>
      <c r="C49" s="139" t="s">
        <v>1524</v>
      </c>
      <c r="D49" s="140">
        <v>119787.17</v>
      </c>
      <c r="E49" s="140">
        <v>112042.74</v>
      </c>
      <c r="F49" s="140">
        <v>119787</v>
      </c>
      <c r="G49" s="140">
        <v>112042</v>
      </c>
    </row>
    <row r="50" spans="1:7" x14ac:dyDescent="0.3">
      <c r="A50" s="17">
        <v>2</v>
      </c>
      <c r="B50" s="17" t="s">
        <v>1351</v>
      </c>
      <c r="C50" s="139" t="s">
        <v>1525</v>
      </c>
      <c r="D50" s="140">
        <v>0</v>
      </c>
      <c r="E50" s="140">
        <v>0</v>
      </c>
      <c r="F50" s="140">
        <v>0</v>
      </c>
      <c r="G50" s="140">
        <v>0</v>
      </c>
    </row>
    <row r="51" spans="1:7" x14ac:dyDescent="0.3">
      <c r="A51" s="17">
        <v>3</v>
      </c>
      <c r="B51" s="17" t="s">
        <v>1526</v>
      </c>
      <c r="C51" s="139" t="s">
        <v>1527</v>
      </c>
      <c r="D51" s="140">
        <v>0</v>
      </c>
      <c r="E51" s="140">
        <v>0</v>
      </c>
      <c r="F51" s="140">
        <v>0</v>
      </c>
      <c r="G51" s="140">
        <v>0</v>
      </c>
    </row>
    <row r="52" spans="1:7" x14ac:dyDescent="0.3">
      <c r="A52" s="17">
        <v>4</v>
      </c>
      <c r="B52" s="17" t="s">
        <v>1528</v>
      </c>
      <c r="C52" s="139" t="s">
        <v>1529</v>
      </c>
      <c r="D52" s="140">
        <v>0</v>
      </c>
      <c r="E52" s="140">
        <v>0</v>
      </c>
      <c r="F52" s="140">
        <v>0</v>
      </c>
      <c r="G52" s="140">
        <v>0</v>
      </c>
    </row>
    <row r="53" spans="1:7" x14ac:dyDescent="0.3">
      <c r="A53" s="17">
        <v>5</v>
      </c>
      <c r="B53" s="17" t="s">
        <v>1530</v>
      </c>
      <c r="C53" s="139" t="s">
        <v>1531</v>
      </c>
      <c r="D53" s="140">
        <v>0</v>
      </c>
      <c r="E53" s="140">
        <v>0</v>
      </c>
      <c r="F53" s="140">
        <v>0</v>
      </c>
      <c r="G53" s="140">
        <v>0</v>
      </c>
    </row>
    <row r="54" spans="1:7" x14ac:dyDescent="0.3">
      <c r="A54" s="17">
        <v>6</v>
      </c>
      <c r="B54" s="17" t="s">
        <v>1532</v>
      </c>
      <c r="C54" s="139" t="s">
        <v>990</v>
      </c>
      <c r="D54" s="140">
        <v>2166.4899999999998</v>
      </c>
      <c r="E54" s="140">
        <v>2537.58</v>
      </c>
      <c r="F54" s="140">
        <v>2166</v>
      </c>
      <c r="G54" s="140">
        <v>2538</v>
      </c>
    </row>
    <row r="55" spans="1:7" x14ac:dyDescent="0.3">
      <c r="A55" s="17">
        <v>7</v>
      </c>
      <c r="B55" s="17" t="s">
        <v>1533</v>
      </c>
      <c r="C55" s="139" t="s">
        <v>991</v>
      </c>
      <c r="D55" s="140">
        <v>1462.74</v>
      </c>
      <c r="E55" s="140">
        <v>1745.4</v>
      </c>
      <c r="F55" s="140">
        <v>1463</v>
      </c>
      <c r="G55" s="140">
        <v>1745</v>
      </c>
    </row>
    <row r="56" spans="1:7" x14ac:dyDescent="0.3">
      <c r="A56" s="17">
        <v>8</v>
      </c>
      <c r="B56" s="17" t="s">
        <v>1534</v>
      </c>
      <c r="C56" s="139" t="s">
        <v>1535</v>
      </c>
      <c r="D56" s="140">
        <v>4481.6400000000003</v>
      </c>
      <c r="E56" s="140">
        <v>3283.71</v>
      </c>
      <c r="F56" s="140">
        <v>4482</v>
      </c>
      <c r="G56" s="140">
        <v>3284</v>
      </c>
    </row>
    <row r="57" spans="1:7" x14ac:dyDescent="0.3">
      <c r="A57" s="17">
        <v>9</v>
      </c>
      <c r="B57" s="17" t="s">
        <v>1536</v>
      </c>
      <c r="C57" s="139" t="s">
        <v>1537</v>
      </c>
      <c r="D57" s="140">
        <v>0</v>
      </c>
      <c r="E57" s="140">
        <v>0</v>
      </c>
      <c r="F57" s="140">
        <v>0</v>
      </c>
      <c r="G57" s="140">
        <v>0</v>
      </c>
    </row>
    <row r="58" spans="1:7" x14ac:dyDescent="0.3">
      <c r="A58" s="17">
        <v>10</v>
      </c>
      <c r="B58" s="17" t="s">
        <v>1538</v>
      </c>
      <c r="C58" s="139" t="s">
        <v>1539</v>
      </c>
      <c r="D58" s="140">
        <v>377.99</v>
      </c>
      <c r="E58" s="140">
        <v>0</v>
      </c>
      <c r="F58" s="140">
        <v>378</v>
      </c>
      <c r="G58" s="140">
        <v>0</v>
      </c>
    </row>
    <row r="59" spans="1:7" x14ac:dyDescent="0.3">
      <c r="A59" s="17" t="s">
        <v>1399</v>
      </c>
      <c r="B59" s="17" t="s">
        <v>1540</v>
      </c>
      <c r="C59" s="139" t="s">
        <v>1541</v>
      </c>
      <c r="D59" s="140">
        <v>7110.06</v>
      </c>
      <c r="E59" s="140">
        <v>6268.78</v>
      </c>
      <c r="F59" s="140">
        <v>7110</v>
      </c>
      <c r="G59" s="140">
        <v>6269</v>
      </c>
    </row>
    <row r="60" spans="1:7" x14ac:dyDescent="0.3">
      <c r="A60" s="17" t="s">
        <v>1402</v>
      </c>
      <c r="B60" s="17" t="s">
        <v>1542</v>
      </c>
      <c r="C60" s="139" t="s">
        <v>1543</v>
      </c>
      <c r="D60" s="140">
        <v>1422.64</v>
      </c>
      <c r="E60" s="140">
        <v>2003.88</v>
      </c>
      <c r="F60" s="140">
        <v>1423</v>
      </c>
      <c r="G60" s="140">
        <v>2004</v>
      </c>
    </row>
    <row r="61" spans="1:7" x14ac:dyDescent="0.3">
      <c r="A61" s="17">
        <v>2</v>
      </c>
      <c r="B61" s="17" t="s">
        <v>1544</v>
      </c>
      <c r="C61" s="139" t="s">
        <v>1545</v>
      </c>
      <c r="D61" s="140">
        <v>5687.42</v>
      </c>
      <c r="E61" s="140">
        <v>4264.8999999999996</v>
      </c>
      <c r="F61" s="140">
        <v>5687</v>
      </c>
      <c r="G61" s="140">
        <v>4265</v>
      </c>
    </row>
    <row r="62" spans="1:7" x14ac:dyDescent="0.3">
      <c r="A62" s="17" t="s">
        <v>1546</v>
      </c>
      <c r="B62" s="17" t="s">
        <v>1547</v>
      </c>
      <c r="C62" s="139" t="s">
        <v>993</v>
      </c>
      <c r="D62" s="140">
        <v>0</v>
      </c>
      <c r="E62" s="140">
        <v>0</v>
      </c>
      <c r="F62" s="140">
        <v>0</v>
      </c>
      <c r="G62" s="140">
        <v>0</v>
      </c>
    </row>
    <row r="63" spans="1:7" x14ac:dyDescent="0.3">
      <c r="A63" s="17" t="s">
        <v>1548</v>
      </c>
      <c r="B63" s="17" t="s">
        <v>1549</v>
      </c>
      <c r="C63" s="139" t="s">
        <v>1550</v>
      </c>
      <c r="D63" s="140">
        <v>0</v>
      </c>
      <c r="E63" s="140">
        <v>0</v>
      </c>
      <c r="F63" s="140">
        <v>0</v>
      </c>
      <c r="G63" s="140">
        <v>0</v>
      </c>
    </row>
    <row r="64" spans="1:7" x14ac:dyDescent="0.3">
      <c r="A64" s="17" t="s">
        <v>1124</v>
      </c>
      <c r="B64" s="17" t="s">
        <v>1551</v>
      </c>
      <c r="C64" s="139" t="s">
        <v>1552</v>
      </c>
      <c r="D64" s="140">
        <v>0</v>
      </c>
      <c r="E64" s="140">
        <v>0</v>
      </c>
      <c r="F64" s="140">
        <v>0</v>
      </c>
      <c r="G64" s="140">
        <v>0</v>
      </c>
    </row>
    <row r="65" spans="1:7" x14ac:dyDescent="0.3">
      <c r="A65" s="17" t="s">
        <v>1409</v>
      </c>
      <c r="B65" s="17" t="s">
        <v>1553</v>
      </c>
      <c r="C65" s="139" t="s">
        <v>1554</v>
      </c>
      <c r="D65" s="140">
        <v>0</v>
      </c>
      <c r="E65" s="140">
        <v>0</v>
      </c>
      <c r="F65" s="140">
        <v>0</v>
      </c>
      <c r="G65" s="140">
        <v>0</v>
      </c>
    </row>
    <row r="66" spans="1:7" x14ac:dyDescent="0.3">
      <c r="A66" s="17">
        <v>2</v>
      </c>
      <c r="B66" s="17" t="s">
        <v>1555</v>
      </c>
      <c r="C66" s="139" t="s">
        <v>1556</v>
      </c>
      <c r="D66" s="140">
        <v>0</v>
      </c>
      <c r="E66" s="140">
        <v>0</v>
      </c>
      <c r="F66" s="140">
        <v>0</v>
      </c>
      <c r="G66" s="140">
        <v>0</v>
      </c>
    </row>
    <row r="67" spans="1:7" x14ac:dyDescent="0.3">
      <c r="A67" s="17">
        <v>3</v>
      </c>
      <c r="B67" s="17" t="s">
        <v>1557</v>
      </c>
      <c r="C67" s="139" t="s">
        <v>1558</v>
      </c>
      <c r="D67" s="140">
        <v>0</v>
      </c>
      <c r="E67" s="140">
        <v>0</v>
      </c>
      <c r="F67" s="140">
        <v>0</v>
      </c>
      <c r="G67" s="140">
        <v>0</v>
      </c>
    </row>
    <row r="68" spans="1:7" x14ac:dyDescent="0.3">
      <c r="A68" s="17">
        <v>4</v>
      </c>
      <c r="B68" s="17" t="s">
        <v>1559</v>
      </c>
      <c r="C68" s="139" t="s">
        <v>1560</v>
      </c>
      <c r="D68" s="140">
        <v>0</v>
      </c>
      <c r="E68" s="140">
        <v>0</v>
      </c>
      <c r="F68" s="140">
        <v>0</v>
      </c>
      <c r="G68" s="140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K79"/>
  <sheetViews>
    <sheetView workbookViewId="0">
      <selection activeCell="B2" sqref="B2"/>
    </sheetView>
  </sheetViews>
  <sheetFormatPr defaultColWidth="9.109375" defaultRowHeight="14.4" x14ac:dyDescent="0.3"/>
  <cols>
    <col min="1" max="1" width="8.33203125" style="17" bestFit="1" customWidth="1"/>
    <col min="2" max="2" width="63.5546875" style="17" bestFit="1" customWidth="1"/>
    <col min="3" max="3" width="4.44140625" style="139" bestFit="1" customWidth="1"/>
    <col min="4" max="11" width="15.33203125" style="140" bestFit="1" customWidth="1"/>
  </cols>
  <sheetData>
    <row r="1" spans="1:11" ht="20.399999999999999" x14ac:dyDescent="0.3">
      <c r="A1" s="145" t="s">
        <v>358</v>
      </c>
      <c r="B1" s="145" t="s">
        <v>359</v>
      </c>
      <c r="C1" s="144" t="s">
        <v>380</v>
      </c>
      <c r="D1" s="146" t="s">
        <v>383</v>
      </c>
      <c r="E1" s="146" t="s">
        <v>384</v>
      </c>
      <c r="F1" s="146" t="s">
        <v>385</v>
      </c>
      <c r="G1" s="146" t="s">
        <v>386</v>
      </c>
      <c r="H1" s="146" t="s">
        <v>360</v>
      </c>
      <c r="I1" s="146" t="s">
        <v>361</v>
      </c>
      <c r="J1" s="146" t="s">
        <v>362</v>
      </c>
      <c r="K1" s="146" t="s">
        <v>363</v>
      </c>
    </row>
    <row r="2" spans="1:11" x14ac:dyDescent="0.3">
      <c r="B2" s="17" t="s">
        <v>1254</v>
      </c>
      <c r="C2" s="139" t="s">
        <v>1255</v>
      </c>
      <c r="D2" s="140">
        <v>195663.27</v>
      </c>
      <c r="E2" s="140">
        <v>24408.55</v>
      </c>
      <c r="F2" s="140">
        <v>171254.72</v>
      </c>
      <c r="G2" s="140">
        <v>139555.29999999999</v>
      </c>
      <c r="H2" s="140">
        <v>195663</v>
      </c>
      <c r="I2" s="140">
        <v>24408</v>
      </c>
      <c r="J2" s="140">
        <v>171255</v>
      </c>
      <c r="K2" s="140">
        <v>139556</v>
      </c>
    </row>
    <row r="3" spans="1:11" x14ac:dyDescent="0.3">
      <c r="A3" s="17" t="s">
        <v>1118</v>
      </c>
      <c r="B3" s="17" t="s">
        <v>1256</v>
      </c>
      <c r="C3" s="139" t="s">
        <v>1257</v>
      </c>
      <c r="D3" s="138">
        <v>56084.93</v>
      </c>
      <c r="E3" s="138">
        <v>22208.959999999999</v>
      </c>
      <c r="F3" s="138">
        <v>33875.97</v>
      </c>
      <c r="G3" s="138">
        <v>21623.599999999999</v>
      </c>
      <c r="H3" s="138">
        <v>56084</v>
      </c>
      <c r="I3" s="138">
        <v>22209</v>
      </c>
      <c r="J3" s="138">
        <v>33875</v>
      </c>
      <c r="K3" s="138">
        <v>21624</v>
      </c>
    </row>
    <row r="4" spans="1:11" x14ac:dyDescent="0.3">
      <c r="A4" s="17" t="s">
        <v>1258</v>
      </c>
      <c r="B4" s="17" t="s">
        <v>1259</v>
      </c>
      <c r="C4" s="139" t="s">
        <v>1260</v>
      </c>
      <c r="D4" s="140">
        <v>948</v>
      </c>
      <c r="E4" s="140">
        <v>948</v>
      </c>
      <c r="F4" s="140">
        <v>0</v>
      </c>
      <c r="G4" s="140">
        <v>0</v>
      </c>
      <c r="H4" s="140">
        <v>948</v>
      </c>
      <c r="I4" s="140">
        <v>948</v>
      </c>
      <c r="J4" s="140">
        <v>0</v>
      </c>
      <c r="K4" s="140">
        <v>0</v>
      </c>
    </row>
    <row r="5" spans="1:11" x14ac:dyDescent="0.3">
      <c r="A5" s="17" t="s">
        <v>1261</v>
      </c>
      <c r="B5" s="17" t="s">
        <v>1262</v>
      </c>
      <c r="C5" s="139" t="s">
        <v>1263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0</v>
      </c>
    </row>
    <row r="6" spans="1:11" x14ac:dyDescent="0.3">
      <c r="A6" s="17">
        <v>2</v>
      </c>
      <c r="B6" s="17" t="s">
        <v>1264</v>
      </c>
      <c r="C6" s="139" t="s">
        <v>1265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0</v>
      </c>
    </row>
    <row r="7" spans="1:11" x14ac:dyDescent="0.3">
      <c r="A7" s="17">
        <v>3</v>
      </c>
      <c r="B7" s="17" t="s">
        <v>1266</v>
      </c>
      <c r="C7" s="139" t="s">
        <v>1267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0</v>
      </c>
    </row>
    <row r="8" spans="1:11" x14ac:dyDescent="0.3">
      <c r="A8" s="17">
        <v>4</v>
      </c>
      <c r="B8" s="17" t="s">
        <v>1268</v>
      </c>
      <c r="C8" s="139" t="s">
        <v>1269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0</v>
      </c>
    </row>
    <row r="9" spans="1:11" x14ac:dyDescent="0.3">
      <c r="A9" s="17">
        <v>5</v>
      </c>
      <c r="B9" s="17" t="s">
        <v>1270</v>
      </c>
      <c r="C9" s="139" t="s">
        <v>1271</v>
      </c>
      <c r="D9" s="140">
        <v>948</v>
      </c>
      <c r="E9" s="140">
        <v>948</v>
      </c>
      <c r="F9" s="140">
        <v>0</v>
      </c>
      <c r="G9" s="140">
        <v>0</v>
      </c>
      <c r="H9" s="140">
        <v>948</v>
      </c>
      <c r="I9" s="140">
        <v>948</v>
      </c>
      <c r="J9" s="140">
        <v>0</v>
      </c>
      <c r="K9" s="140">
        <v>0</v>
      </c>
    </row>
    <row r="10" spans="1:11" x14ac:dyDescent="0.3">
      <c r="A10" s="17">
        <v>6</v>
      </c>
      <c r="B10" s="17" t="s">
        <v>1272</v>
      </c>
      <c r="C10" s="139" t="s">
        <v>1273</v>
      </c>
      <c r="D10" s="140">
        <v>0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0</v>
      </c>
      <c r="K10" s="140">
        <v>0</v>
      </c>
    </row>
    <row r="11" spans="1:11" x14ac:dyDescent="0.3">
      <c r="A11" s="17">
        <v>7</v>
      </c>
      <c r="B11" s="17" t="s">
        <v>1274</v>
      </c>
      <c r="C11" s="139" t="s">
        <v>1275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</row>
    <row r="12" spans="1:11" x14ac:dyDescent="0.3">
      <c r="A12" s="17" t="s">
        <v>1276</v>
      </c>
      <c r="B12" s="17" t="s">
        <v>1277</v>
      </c>
      <c r="C12" s="139" t="s">
        <v>1278</v>
      </c>
      <c r="D12" s="140">
        <v>55136.93</v>
      </c>
      <c r="E12" s="140">
        <v>21260.959999999999</v>
      </c>
      <c r="F12" s="140">
        <v>33875.97</v>
      </c>
      <c r="G12" s="140">
        <v>21623.599999999999</v>
      </c>
      <c r="H12" s="140">
        <v>55136</v>
      </c>
      <c r="I12" s="140">
        <v>21261</v>
      </c>
      <c r="J12" s="140">
        <v>33875</v>
      </c>
      <c r="K12" s="140">
        <v>21624</v>
      </c>
    </row>
    <row r="13" spans="1:11" x14ac:dyDescent="0.3">
      <c r="A13" s="17" t="s">
        <v>1279</v>
      </c>
      <c r="B13" s="17" t="s">
        <v>1280</v>
      </c>
      <c r="C13" s="139" t="s">
        <v>1281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</row>
    <row r="14" spans="1:11" x14ac:dyDescent="0.3">
      <c r="A14" s="17">
        <v>2</v>
      </c>
      <c r="B14" s="17" t="s">
        <v>1282</v>
      </c>
      <c r="C14" s="139" t="s">
        <v>1283</v>
      </c>
      <c r="D14" s="140">
        <v>30856.080000000002</v>
      </c>
      <c r="E14" s="140">
        <v>12599.86</v>
      </c>
      <c r="F14" s="140">
        <v>18256.22</v>
      </c>
      <c r="G14" s="140">
        <v>19799.060000000001</v>
      </c>
      <c r="H14" s="140">
        <v>30856</v>
      </c>
      <c r="I14" s="140">
        <v>12600</v>
      </c>
      <c r="J14" s="140">
        <v>18256</v>
      </c>
      <c r="K14" s="140">
        <v>19799</v>
      </c>
    </row>
    <row r="15" spans="1:11" x14ac:dyDescent="0.3">
      <c r="A15" s="17">
        <v>3</v>
      </c>
      <c r="B15" s="17" t="s">
        <v>1284</v>
      </c>
      <c r="C15" s="139" t="s">
        <v>1285</v>
      </c>
      <c r="D15" s="140">
        <v>13293</v>
      </c>
      <c r="E15" s="140">
        <v>184.63</v>
      </c>
      <c r="F15" s="140">
        <v>13108.37</v>
      </c>
      <c r="G15" s="140">
        <v>0</v>
      </c>
      <c r="H15" s="140">
        <v>13293</v>
      </c>
      <c r="I15" s="140">
        <v>185</v>
      </c>
      <c r="J15" s="140">
        <v>13108</v>
      </c>
      <c r="K15" s="140">
        <v>0</v>
      </c>
    </row>
    <row r="16" spans="1:11" x14ac:dyDescent="0.3">
      <c r="A16" s="17">
        <v>4</v>
      </c>
      <c r="B16" s="17" t="s">
        <v>1286</v>
      </c>
      <c r="C16" s="139" t="s">
        <v>1287</v>
      </c>
      <c r="D16" s="140">
        <v>0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0</v>
      </c>
    </row>
    <row r="17" spans="1:11" x14ac:dyDescent="0.3">
      <c r="A17" s="17">
        <v>5</v>
      </c>
      <c r="B17" s="17" t="s">
        <v>1288</v>
      </c>
      <c r="C17" s="139" t="s">
        <v>1289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40">
        <v>0</v>
      </c>
    </row>
    <row r="18" spans="1:11" x14ac:dyDescent="0.3">
      <c r="A18" s="17">
        <v>6</v>
      </c>
      <c r="B18" s="17" t="s">
        <v>1290</v>
      </c>
      <c r="C18" s="139" t="s">
        <v>1291</v>
      </c>
      <c r="D18" s="140">
        <v>10422.379999999999</v>
      </c>
      <c r="E18" s="140">
        <v>8476.4699999999993</v>
      </c>
      <c r="F18" s="140">
        <v>1945.91</v>
      </c>
      <c r="G18" s="140">
        <v>1824.54</v>
      </c>
      <c r="H18" s="140">
        <v>10422</v>
      </c>
      <c r="I18" s="140">
        <v>8476</v>
      </c>
      <c r="J18" s="140">
        <v>1946</v>
      </c>
      <c r="K18" s="140">
        <v>1825</v>
      </c>
    </row>
    <row r="19" spans="1:11" x14ac:dyDescent="0.3">
      <c r="A19" s="17">
        <v>7</v>
      </c>
      <c r="B19" s="17" t="s">
        <v>1292</v>
      </c>
      <c r="C19" s="139" t="s">
        <v>1293</v>
      </c>
      <c r="D19" s="140">
        <v>565.47</v>
      </c>
      <c r="E19" s="140">
        <v>0</v>
      </c>
      <c r="F19" s="140">
        <v>565.47</v>
      </c>
      <c r="G19" s="140">
        <v>0</v>
      </c>
      <c r="H19" s="140">
        <v>565</v>
      </c>
      <c r="I19" s="140">
        <v>0</v>
      </c>
      <c r="J19" s="140">
        <v>565</v>
      </c>
      <c r="K19" s="140">
        <v>0</v>
      </c>
    </row>
    <row r="20" spans="1:11" x14ac:dyDescent="0.3">
      <c r="A20" s="17">
        <v>8</v>
      </c>
      <c r="B20" s="17" t="s">
        <v>1294</v>
      </c>
      <c r="C20" s="139" t="s">
        <v>975</v>
      </c>
      <c r="D20" s="140">
        <v>0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</row>
    <row r="21" spans="1:11" x14ac:dyDescent="0.3">
      <c r="A21" s="17">
        <v>9</v>
      </c>
      <c r="B21" s="17" t="s">
        <v>1295</v>
      </c>
      <c r="C21" s="139" t="s">
        <v>1296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</row>
    <row r="22" spans="1:11" x14ac:dyDescent="0.3">
      <c r="A22" s="17" t="s">
        <v>1297</v>
      </c>
      <c r="B22" s="17" t="s">
        <v>1298</v>
      </c>
      <c r="C22" s="139" t="s">
        <v>976</v>
      </c>
      <c r="D22" s="140">
        <v>0</v>
      </c>
      <c r="E22" s="140">
        <v>0</v>
      </c>
      <c r="F22" s="140">
        <v>0</v>
      </c>
      <c r="G22" s="140">
        <v>0</v>
      </c>
      <c r="H22" s="140">
        <v>0</v>
      </c>
      <c r="I22" s="140">
        <v>0</v>
      </c>
      <c r="J22" s="140">
        <v>0</v>
      </c>
      <c r="K22" s="140">
        <v>0</v>
      </c>
    </row>
    <row r="23" spans="1:11" x14ac:dyDescent="0.3">
      <c r="A23" s="17" t="s">
        <v>1299</v>
      </c>
      <c r="B23" s="17" t="s">
        <v>1300</v>
      </c>
      <c r="C23" s="139" t="s">
        <v>977</v>
      </c>
      <c r="D23" s="140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</row>
    <row r="24" spans="1:11" x14ac:dyDescent="0.3">
      <c r="A24" s="17">
        <v>2</v>
      </c>
      <c r="B24" s="17" t="s">
        <v>1301</v>
      </c>
      <c r="C24" s="139" t="s">
        <v>1302</v>
      </c>
      <c r="D24" s="140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</row>
    <row r="25" spans="1:11" x14ac:dyDescent="0.3">
      <c r="A25" s="17">
        <v>3</v>
      </c>
      <c r="B25" s="17" t="s">
        <v>1303</v>
      </c>
      <c r="C25" s="139" t="s">
        <v>1304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0">
        <v>0</v>
      </c>
      <c r="J25" s="140">
        <v>0</v>
      </c>
      <c r="K25" s="140">
        <v>0</v>
      </c>
    </row>
    <row r="26" spans="1:11" x14ac:dyDescent="0.3">
      <c r="A26" s="17">
        <v>4</v>
      </c>
      <c r="B26" s="17" t="s">
        <v>1305</v>
      </c>
      <c r="C26" s="139" t="s">
        <v>1306</v>
      </c>
      <c r="D26" s="140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</row>
    <row r="27" spans="1:11" x14ac:dyDescent="0.3">
      <c r="A27" s="17">
        <v>5</v>
      </c>
      <c r="B27" s="17" t="s">
        <v>1307</v>
      </c>
      <c r="C27" s="139" t="s">
        <v>1308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</row>
    <row r="28" spans="1:11" x14ac:dyDescent="0.3">
      <c r="A28" s="17">
        <v>6</v>
      </c>
      <c r="B28" s="17" t="s">
        <v>1309</v>
      </c>
      <c r="C28" s="139" t="s">
        <v>1310</v>
      </c>
      <c r="D28" s="140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</row>
    <row r="29" spans="1:11" x14ac:dyDescent="0.3">
      <c r="A29" s="17">
        <v>7</v>
      </c>
      <c r="B29" s="17" t="s">
        <v>1311</v>
      </c>
      <c r="C29" s="139" t="s">
        <v>1312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0">
        <v>0</v>
      </c>
    </row>
    <row r="30" spans="1:11" x14ac:dyDescent="0.3">
      <c r="A30" s="17">
        <v>8</v>
      </c>
      <c r="B30" s="17" t="s">
        <v>1313</v>
      </c>
      <c r="C30" s="139" t="s">
        <v>979</v>
      </c>
      <c r="D30" s="140">
        <v>0</v>
      </c>
      <c r="E30" s="140">
        <v>0</v>
      </c>
      <c r="F30" s="140">
        <v>0</v>
      </c>
      <c r="G30" s="140">
        <v>0</v>
      </c>
      <c r="H30" s="140">
        <v>0</v>
      </c>
      <c r="I30" s="140">
        <v>0</v>
      </c>
      <c r="J30" s="140">
        <v>0</v>
      </c>
      <c r="K30" s="140">
        <v>0</v>
      </c>
    </row>
    <row r="31" spans="1:11" x14ac:dyDescent="0.3">
      <c r="A31" s="17">
        <v>9</v>
      </c>
      <c r="B31" s="17" t="s">
        <v>1314</v>
      </c>
      <c r="C31" s="139" t="s">
        <v>1315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140">
        <v>0</v>
      </c>
      <c r="K31" s="140">
        <v>0</v>
      </c>
    </row>
    <row r="32" spans="1:11" x14ac:dyDescent="0.3">
      <c r="A32" s="17">
        <v>10</v>
      </c>
      <c r="B32" s="17" t="s">
        <v>1316</v>
      </c>
      <c r="C32" s="139" t="s">
        <v>1317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</row>
    <row r="33" spans="1:11" x14ac:dyDescent="0.3">
      <c r="A33" s="17">
        <v>11</v>
      </c>
      <c r="B33" s="17" t="s">
        <v>1318</v>
      </c>
      <c r="C33" s="139" t="s">
        <v>1319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0</v>
      </c>
      <c r="J33" s="140">
        <v>0</v>
      </c>
      <c r="K33" s="140">
        <v>0</v>
      </c>
    </row>
    <row r="34" spans="1:11" x14ac:dyDescent="0.3">
      <c r="A34" s="17" t="s">
        <v>1121</v>
      </c>
      <c r="B34" s="17" t="s">
        <v>1320</v>
      </c>
      <c r="C34" s="139" t="s">
        <v>1321</v>
      </c>
      <c r="D34" s="140">
        <v>139206.16</v>
      </c>
      <c r="E34" s="140">
        <v>2199.59</v>
      </c>
      <c r="F34" s="140">
        <v>137006.57</v>
      </c>
      <c r="G34" s="140">
        <v>117601.7</v>
      </c>
      <c r="H34" s="140">
        <v>139207</v>
      </c>
      <c r="I34" s="140">
        <v>2199</v>
      </c>
      <c r="J34" s="140">
        <v>137008</v>
      </c>
      <c r="K34" s="140">
        <v>117602</v>
      </c>
    </row>
    <row r="35" spans="1:11" x14ac:dyDescent="0.3">
      <c r="A35" s="17" t="s">
        <v>1322</v>
      </c>
      <c r="B35" s="17" t="s">
        <v>1323</v>
      </c>
      <c r="C35" s="139" t="s">
        <v>1324</v>
      </c>
      <c r="D35" s="140">
        <v>51992.27</v>
      </c>
      <c r="E35" s="140">
        <v>2030.12</v>
      </c>
      <c r="F35" s="140">
        <v>49962.15</v>
      </c>
      <c r="G35" s="140">
        <v>54114.77</v>
      </c>
      <c r="H35" s="140">
        <v>51992</v>
      </c>
      <c r="I35" s="140">
        <v>2030</v>
      </c>
      <c r="J35" s="140">
        <v>49962</v>
      </c>
      <c r="K35" s="140">
        <v>54114</v>
      </c>
    </row>
    <row r="36" spans="1:11" x14ac:dyDescent="0.3">
      <c r="A36" s="17" t="s">
        <v>1325</v>
      </c>
      <c r="B36" s="17" t="s">
        <v>1326</v>
      </c>
      <c r="C36" s="139" t="s">
        <v>1327</v>
      </c>
      <c r="D36" s="140">
        <v>0</v>
      </c>
      <c r="E36" s="140">
        <v>0</v>
      </c>
      <c r="F36" s="140">
        <v>0</v>
      </c>
      <c r="G36" s="140">
        <v>0</v>
      </c>
      <c r="H36" s="140">
        <v>0</v>
      </c>
      <c r="I36" s="140">
        <v>0</v>
      </c>
      <c r="J36" s="140">
        <v>0</v>
      </c>
      <c r="K36" s="140">
        <v>0</v>
      </c>
    </row>
    <row r="37" spans="1:11" x14ac:dyDescent="0.3">
      <c r="A37" s="17">
        <v>2</v>
      </c>
      <c r="B37" s="17" t="s">
        <v>1328</v>
      </c>
      <c r="C37" s="139" t="s">
        <v>1329</v>
      </c>
      <c r="D37" s="140">
        <v>0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</row>
    <row r="38" spans="1:11" x14ac:dyDescent="0.3">
      <c r="A38" s="17">
        <v>3</v>
      </c>
      <c r="B38" s="17" t="s">
        <v>1330</v>
      </c>
      <c r="C38" s="139" t="s">
        <v>1331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0">
        <v>0</v>
      </c>
    </row>
    <row r="39" spans="1:11" x14ac:dyDescent="0.3">
      <c r="A39" s="17">
        <v>4</v>
      </c>
      <c r="B39" s="17" t="s">
        <v>1332</v>
      </c>
      <c r="C39" s="139" t="s">
        <v>1333</v>
      </c>
      <c r="D39" s="140">
        <v>0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0</v>
      </c>
    </row>
    <row r="40" spans="1:11" x14ac:dyDescent="0.3">
      <c r="A40" s="17">
        <v>5</v>
      </c>
      <c r="B40" s="17" t="s">
        <v>1334</v>
      </c>
      <c r="C40" s="139" t="s">
        <v>1335</v>
      </c>
      <c r="D40" s="140">
        <v>51992.27</v>
      </c>
      <c r="E40" s="140">
        <v>2030.12</v>
      </c>
      <c r="F40" s="140">
        <v>49962.15</v>
      </c>
      <c r="G40" s="140">
        <v>54114.77</v>
      </c>
      <c r="H40" s="140">
        <v>51992</v>
      </c>
      <c r="I40" s="140">
        <v>2030</v>
      </c>
      <c r="J40" s="140">
        <v>49962</v>
      </c>
      <c r="K40" s="140">
        <v>54114</v>
      </c>
    </row>
    <row r="41" spans="1:11" x14ac:dyDescent="0.3">
      <c r="A41" s="17">
        <v>6</v>
      </c>
      <c r="B41" s="17" t="s">
        <v>1336</v>
      </c>
      <c r="C41" s="139" t="s">
        <v>1337</v>
      </c>
      <c r="D41" s="140">
        <v>0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0</v>
      </c>
    </row>
    <row r="42" spans="1:11" x14ac:dyDescent="0.3">
      <c r="A42" s="17" t="s">
        <v>1338</v>
      </c>
      <c r="B42" s="17" t="s">
        <v>1339</v>
      </c>
      <c r="C42" s="139" t="s">
        <v>981</v>
      </c>
      <c r="D42" s="140">
        <v>1357.8</v>
      </c>
      <c r="E42" s="140">
        <v>0</v>
      </c>
      <c r="F42" s="140">
        <v>1357.8</v>
      </c>
      <c r="G42" s="140">
        <v>864.87</v>
      </c>
      <c r="H42" s="140">
        <v>1358</v>
      </c>
      <c r="I42" s="140">
        <v>0</v>
      </c>
      <c r="J42" s="140">
        <v>1358</v>
      </c>
      <c r="K42" s="140">
        <v>865</v>
      </c>
    </row>
    <row r="43" spans="1:11" x14ac:dyDescent="0.3">
      <c r="A43" s="17" t="s">
        <v>1340</v>
      </c>
      <c r="B43" s="17" t="s">
        <v>1341</v>
      </c>
      <c r="C43" s="139" t="s">
        <v>982</v>
      </c>
      <c r="D43" s="140">
        <v>0</v>
      </c>
      <c r="E43" s="140">
        <v>0</v>
      </c>
      <c r="F43" s="140">
        <v>0</v>
      </c>
      <c r="G43" s="140">
        <v>0</v>
      </c>
      <c r="H43" s="140">
        <v>0</v>
      </c>
      <c r="I43" s="140">
        <v>0</v>
      </c>
      <c r="J43" s="140">
        <v>0</v>
      </c>
      <c r="K43" s="140">
        <v>0</v>
      </c>
    </row>
    <row r="44" spans="1:11" x14ac:dyDescent="0.3">
      <c r="A44" s="17" t="s">
        <v>1342</v>
      </c>
      <c r="B44" s="17" t="s">
        <v>1343</v>
      </c>
      <c r="C44" s="139" t="s">
        <v>1344</v>
      </c>
      <c r="D44" s="140">
        <v>0</v>
      </c>
      <c r="E44" s="140">
        <v>0</v>
      </c>
      <c r="F44" s="140">
        <v>0</v>
      </c>
      <c r="G44" s="140">
        <v>0</v>
      </c>
      <c r="H44" s="140">
        <v>0</v>
      </c>
      <c r="I44" s="140">
        <v>0</v>
      </c>
      <c r="J44" s="140">
        <v>0</v>
      </c>
      <c r="K44" s="140">
        <v>0</v>
      </c>
    </row>
    <row r="45" spans="1:11" x14ac:dyDescent="0.3">
      <c r="A45" s="17" t="s">
        <v>1345</v>
      </c>
      <c r="B45" s="17" t="s">
        <v>1346</v>
      </c>
      <c r="C45" s="139" t="s">
        <v>1347</v>
      </c>
      <c r="D45" s="140">
        <v>0</v>
      </c>
      <c r="E45" s="140">
        <v>0</v>
      </c>
      <c r="F45" s="140">
        <v>0</v>
      </c>
      <c r="G45" s="140">
        <v>0</v>
      </c>
      <c r="H45" s="140">
        <v>0</v>
      </c>
      <c r="I45" s="140">
        <v>0</v>
      </c>
      <c r="J45" s="140">
        <v>0</v>
      </c>
      <c r="K45" s="140">
        <v>0</v>
      </c>
    </row>
    <row r="46" spans="1:11" x14ac:dyDescent="0.3">
      <c r="A46" s="17" t="s">
        <v>1348</v>
      </c>
      <c r="B46" s="17" t="s">
        <v>1349</v>
      </c>
      <c r="C46" s="139" t="s">
        <v>1350</v>
      </c>
      <c r="D46" s="140">
        <v>0</v>
      </c>
      <c r="E46" s="140">
        <v>0</v>
      </c>
      <c r="F46" s="140">
        <v>0</v>
      </c>
      <c r="G46" s="140">
        <v>0</v>
      </c>
      <c r="H46" s="140">
        <v>0</v>
      </c>
      <c r="I46" s="140">
        <v>0</v>
      </c>
      <c r="J46" s="140">
        <v>0</v>
      </c>
      <c r="K46" s="140">
        <v>0</v>
      </c>
    </row>
    <row r="47" spans="1:11" x14ac:dyDescent="0.3">
      <c r="A47" s="17">
        <v>2</v>
      </c>
      <c r="B47" s="17" t="s">
        <v>1351</v>
      </c>
      <c r="C47" s="139" t="s">
        <v>1352</v>
      </c>
      <c r="D47" s="140">
        <v>0</v>
      </c>
      <c r="E47" s="140">
        <v>0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140">
        <v>0</v>
      </c>
    </row>
    <row r="48" spans="1:11" x14ac:dyDescent="0.3">
      <c r="A48" s="17">
        <v>3</v>
      </c>
      <c r="B48" s="17" t="s">
        <v>1353</v>
      </c>
      <c r="C48" s="139" t="s">
        <v>1354</v>
      </c>
      <c r="D48" s="140">
        <v>0</v>
      </c>
      <c r="E48" s="140">
        <v>0</v>
      </c>
      <c r="F48" s="140">
        <v>0</v>
      </c>
      <c r="G48" s="140">
        <v>0</v>
      </c>
      <c r="H48" s="140">
        <v>0</v>
      </c>
      <c r="I48" s="140">
        <v>0</v>
      </c>
      <c r="J48" s="140">
        <v>0</v>
      </c>
      <c r="K48" s="140">
        <v>0</v>
      </c>
    </row>
    <row r="49" spans="1:11" x14ac:dyDescent="0.3">
      <c r="A49" s="17">
        <v>4</v>
      </c>
      <c r="B49" s="17" t="s">
        <v>1355</v>
      </c>
      <c r="C49" s="139" t="s">
        <v>1356</v>
      </c>
      <c r="D49" s="140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0</v>
      </c>
      <c r="J49" s="140">
        <v>0</v>
      </c>
      <c r="K49" s="140">
        <v>0</v>
      </c>
    </row>
    <row r="50" spans="1:11" x14ac:dyDescent="0.3">
      <c r="A50" s="17">
        <v>5</v>
      </c>
      <c r="B50" s="17" t="s">
        <v>1357</v>
      </c>
      <c r="C50" s="139" t="s">
        <v>1358</v>
      </c>
      <c r="D50" s="140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0">
        <v>0</v>
      </c>
    </row>
    <row r="51" spans="1:11" x14ac:dyDescent="0.3">
      <c r="A51" s="17">
        <v>6</v>
      </c>
      <c r="B51" s="17" t="s">
        <v>1359</v>
      </c>
      <c r="C51" s="139" t="s">
        <v>1360</v>
      </c>
      <c r="D51" s="140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0">
        <v>0</v>
      </c>
    </row>
    <row r="52" spans="1:11" x14ac:dyDescent="0.3">
      <c r="A52" s="17">
        <v>7</v>
      </c>
      <c r="B52" s="17" t="s">
        <v>1361</v>
      </c>
      <c r="C52" s="139" t="s">
        <v>1362</v>
      </c>
      <c r="D52" s="140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0">
        <v>0</v>
      </c>
    </row>
    <row r="53" spans="1:11" x14ac:dyDescent="0.3">
      <c r="A53" s="17">
        <v>8</v>
      </c>
      <c r="B53" s="17" t="s">
        <v>1363</v>
      </c>
      <c r="C53" s="139" t="s">
        <v>1364</v>
      </c>
      <c r="D53" s="140">
        <v>1357.8</v>
      </c>
      <c r="E53" s="140">
        <v>0</v>
      </c>
      <c r="F53" s="140">
        <v>1357.8</v>
      </c>
      <c r="G53" s="140">
        <v>864.87</v>
      </c>
      <c r="H53" s="140">
        <v>1358</v>
      </c>
      <c r="I53" s="140">
        <v>0</v>
      </c>
      <c r="J53" s="140">
        <v>1358</v>
      </c>
      <c r="K53" s="140">
        <v>865</v>
      </c>
    </row>
    <row r="54" spans="1:11" x14ac:dyDescent="0.3">
      <c r="A54" s="17" t="s">
        <v>1365</v>
      </c>
      <c r="B54" s="17" t="s">
        <v>1366</v>
      </c>
      <c r="C54" s="139" t="s">
        <v>1367</v>
      </c>
      <c r="D54" s="140">
        <v>84498.36</v>
      </c>
      <c r="E54" s="140">
        <v>169.47</v>
      </c>
      <c r="F54" s="140">
        <v>84328.89</v>
      </c>
      <c r="G54" s="140">
        <v>61849.279999999999</v>
      </c>
      <c r="H54" s="140">
        <v>84499</v>
      </c>
      <c r="I54" s="140">
        <v>169</v>
      </c>
      <c r="J54" s="140">
        <v>84330</v>
      </c>
      <c r="K54" s="140">
        <v>61850</v>
      </c>
    </row>
    <row r="55" spans="1:11" x14ac:dyDescent="0.3">
      <c r="A55" s="17" t="s">
        <v>1368</v>
      </c>
      <c r="B55" s="17" t="s">
        <v>1369</v>
      </c>
      <c r="C55" s="139" t="s">
        <v>1370</v>
      </c>
      <c r="D55" s="140">
        <v>40924.94</v>
      </c>
      <c r="E55" s="140">
        <v>0</v>
      </c>
      <c r="F55" s="140">
        <v>40924.94</v>
      </c>
      <c r="G55" s="140">
        <v>51106.32</v>
      </c>
      <c r="H55" s="140">
        <v>40925</v>
      </c>
      <c r="I55" s="140">
        <v>0</v>
      </c>
      <c r="J55" s="140">
        <v>40925</v>
      </c>
      <c r="K55" s="140">
        <v>51107</v>
      </c>
    </row>
    <row r="56" spans="1:11" x14ac:dyDescent="0.3">
      <c r="A56" s="17" t="s">
        <v>1342</v>
      </c>
      <c r="B56" s="17" t="s">
        <v>1343</v>
      </c>
      <c r="C56" s="139" t="s">
        <v>1371</v>
      </c>
      <c r="D56" s="140">
        <v>154.22</v>
      </c>
      <c r="E56" s="140">
        <v>0</v>
      </c>
      <c r="F56" s="140">
        <v>154.22</v>
      </c>
      <c r="G56" s="140">
        <v>53.57</v>
      </c>
      <c r="H56" s="140">
        <v>154</v>
      </c>
      <c r="I56" s="140">
        <v>0</v>
      </c>
      <c r="J56" s="140">
        <v>154</v>
      </c>
      <c r="K56" s="140">
        <v>54</v>
      </c>
    </row>
    <row r="57" spans="1:11" x14ac:dyDescent="0.3">
      <c r="A57" s="17" t="s">
        <v>1345</v>
      </c>
      <c r="B57" s="17" t="s">
        <v>1346</v>
      </c>
      <c r="C57" s="139" t="s">
        <v>1372</v>
      </c>
      <c r="D57" s="140">
        <v>0</v>
      </c>
      <c r="E57" s="140">
        <v>0</v>
      </c>
      <c r="F57" s="140">
        <v>0</v>
      </c>
      <c r="G57" s="140">
        <v>0</v>
      </c>
      <c r="H57" s="140">
        <v>0</v>
      </c>
      <c r="I57" s="140">
        <v>0</v>
      </c>
      <c r="J57" s="140">
        <v>0</v>
      </c>
      <c r="K57" s="140">
        <v>0</v>
      </c>
    </row>
    <row r="58" spans="1:11" x14ac:dyDescent="0.3">
      <c r="A58" s="17" t="s">
        <v>1348</v>
      </c>
      <c r="B58" s="17" t="s">
        <v>1349</v>
      </c>
      <c r="C58" s="139" t="s">
        <v>1373</v>
      </c>
      <c r="D58" s="140">
        <v>40770.720000000001</v>
      </c>
      <c r="E58" s="140">
        <v>0</v>
      </c>
      <c r="F58" s="140">
        <v>40770.720000000001</v>
      </c>
      <c r="G58" s="140">
        <v>51052.75</v>
      </c>
      <c r="H58" s="140">
        <v>40771</v>
      </c>
      <c r="I58" s="140">
        <v>0</v>
      </c>
      <c r="J58" s="140">
        <v>40771</v>
      </c>
      <c r="K58" s="140">
        <v>51053</v>
      </c>
    </row>
    <row r="59" spans="1:11" x14ac:dyDescent="0.3">
      <c r="A59" s="17">
        <v>2</v>
      </c>
      <c r="B59" s="17" t="s">
        <v>1351</v>
      </c>
      <c r="C59" s="139" t="s">
        <v>1374</v>
      </c>
      <c r="D59" s="140">
        <v>0</v>
      </c>
      <c r="E59" s="140">
        <v>0</v>
      </c>
      <c r="F59" s="140">
        <v>0</v>
      </c>
      <c r="G59" s="140">
        <v>0</v>
      </c>
      <c r="H59" s="140">
        <v>0</v>
      </c>
      <c r="I59" s="140">
        <v>0</v>
      </c>
      <c r="J59" s="140">
        <v>0</v>
      </c>
      <c r="K59" s="140">
        <v>0</v>
      </c>
    </row>
    <row r="60" spans="1:11" x14ac:dyDescent="0.3">
      <c r="A60" s="17">
        <v>3</v>
      </c>
      <c r="B60" s="17" t="s">
        <v>1353</v>
      </c>
      <c r="C60" s="139" t="s">
        <v>1375</v>
      </c>
      <c r="D60" s="140">
        <v>42460.59</v>
      </c>
      <c r="E60" s="140">
        <v>0</v>
      </c>
      <c r="F60" s="140">
        <v>42460.59</v>
      </c>
      <c r="G60" s="140">
        <v>10742.96</v>
      </c>
      <c r="H60" s="140">
        <v>42461</v>
      </c>
      <c r="I60" s="140">
        <v>0</v>
      </c>
      <c r="J60" s="140">
        <v>42461</v>
      </c>
      <c r="K60" s="140">
        <v>10743</v>
      </c>
    </row>
    <row r="61" spans="1:11" x14ac:dyDescent="0.3">
      <c r="A61" s="17">
        <v>4</v>
      </c>
      <c r="B61" s="17" t="s">
        <v>1355</v>
      </c>
      <c r="C61" s="139" t="s">
        <v>1376</v>
      </c>
      <c r="D61" s="140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40">
        <v>0</v>
      </c>
    </row>
    <row r="62" spans="1:11" x14ac:dyDescent="0.3">
      <c r="A62" s="17">
        <v>5</v>
      </c>
      <c r="B62" s="17" t="s">
        <v>1377</v>
      </c>
      <c r="C62" s="139" t="s">
        <v>1378</v>
      </c>
      <c r="D62" s="140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40">
        <v>0</v>
      </c>
    </row>
    <row r="63" spans="1:11" x14ac:dyDescent="0.3">
      <c r="A63" s="17" t="s">
        <v>1379</v>
      </c>
      <c r="B63" s="17" t="s">
        <v>1380</v>
      </c>
      <c r="C63" s="139" t="s">
        <v>1381</v>
      </c>
      <c r="D63" s="140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40">
        <v>0</v>
      </c>
    </row>
    <row r="64" spans="1:11" x14ac:dyDescent="0.3">
      <c r="A64" s="17">
        <v>7</v>
      </c>
      <c r="B64" s="17" t="s">
        <v>1382</v>
      </c>
      <c r="C64" s="139" t="s">
        <v>1383</v>
      </c>
      <c r="D64" s="140">
        <v>0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40">
        <v>0</v>
      </c>
    </row>
    <row r="65" spans="1:11" x14ac:dyDescent="0.3">
      <c r="A65" s="17">
        <v>8</v>
      </c>
      <c r="B65" s="17" t="s">
        <v>1359</v>
      </c>
      <c r="C65" s="139" t="s">
        <v>1384</v>
      </c>
      <c r="D65" s="140">
        <v>0</v>
      </c>
      <c r="E65" s="140">
        <v>0</v>
      </c>
      <c r="F65" s="140">
        <v>0</v>
      </c>
      <c r="G65" s="140">
        <v>0</v>
      </c>
      <c r="H65" s="140">
        <v>0</v>
      </c>
      <c r="I65" s="140">
        <v>0</v>
      </c>
      <c r="J65" s="140">
        <v>0</v>
      </c>
      <c r="K65" s="140">
        <v>0</v>
      </c>
    </row>
    <row r="66" spans="1:11" x14ac:dyDescent="0.3">
      <c r="A66" s="17">
        <v>9</v>
      </c>
      <c r="B66" s="17" t="s">
        <v>1385</v>
      </c>
      <c r="C66" s="139" t="s">
        <v>1386</v>
      </c>
      <c r="D66" s="140">
        <v>1112.83</v>
      </c>
      <c r="E66" s="140">
        <v>169.47</v>
      </c>
      <c r="F66" s="140">
        <v>943.36</v>
      </c>
      <c r="G66" s="140">
        <v>0</v>
      </c>
      <c r="H66" s="140">
        <v>1113</v>
      </c>
      <c r="I66" s="140">
        <v>169</v>
      </c>
      <c r="J66" s="140">
        <v>944</v>
      </c>
      <c r="K66" s="140">
        <v>0</v>
      </c>
    </row>
    <row r="67" spans="1:11" x14ac:dyDescent="0.3">
      <c r="A67" s="17" t="s">
        <v>1387</v>
      </c>
      <c r="B67" s="17" t="s">
        <v>1388</v>
      </c>
      <c r="C67" s="139" t="s">
        <v>1389</v>
      </c>
      <c r="D67" s="140">
        <v>0</v>
      </c>
      <c r="E67" s="140">
        <v>0</v>
      </c>
      <c r="F67" s="140">
        <v>0</v>
      </c>
      <c r="G67" s="140">
        <v>0</v>
      </c>
      <c r="H67" s="140">
        <v>0</v>
      </c>
      <c r="I67" s="140">
        <v>0</v>
      </c>
      <c r="J67" s="140">
        <v>0</v>
      </c>
      <c r="K67" s="140">
        <v>0</v>
      </c>
    </row>
    <row r="68" spans="1:11" x14ac:dyDescent="0.3">
      <c r="A68" s="17" t="s">
        <v>1390</v>
      </c>
      <c r="B68" s="17" t="s">
        <v>1391</v>
      </c>
      <c r="C68" s="139" t="s">
        <v>1392</v>
      </c>
      <c r="D68" s="140">
        <v>0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40">
        <v>0</v>
      </c>
    </row>
    <row r="69" spans="1:11" x14ac:dyDescent="0.3">
      <c r="A69" s="17">
        <v>2</v>
      </c>
      <c r="B69" s="17" t="s">
        <v>1393</v>
      </c>
      <c r="C69" s="139" t="s">
        <v>1394</v>
      </c>
      <c r="D69" s="140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40">
        <v>0</v>
      </c>
    </row>
    <row r="70" spans="1:11" x14ac:dyDescent="0.3">
      <c r="A70" s="17">
        <v>3</v>
      </c>
      <c r="B70" s="17" t="s">
        <v>1395</v>
      </c>
      <c r="C70" s="139" t="s">
        <v>1396</v>
      </c>
      <c r="D70" s="140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40">
        <v>0</v>
      </c>
    </row>
    <row r="71" spans="1:11" x14ac:dyDescent="0.3">
      <c r="A71" s="17">
        <v>4</v>
      </c>
      <c r="B71" s="17" t="s">
        <v>1397</v>
      </c>
      <c r="C71" s="139" t="s">
        <v>1398</v>
      </c>
      <c r="D71" s="140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40">
        <v>0</v>
      </c>
    </row>
    <row r="72" spans="1:11" x14ac:dyDescent="0.3">
      <c r="A72" s="17" t="s">
        <v>1399</v>
      </c>
      <c r="B72" s="17" t="s">
        <v>1400</v>
      </c>
      <c r="C72" s="139" t="s">
        <v>1401</v>
      </c>
      <c r="D72" s="140">
        <v>1357.73</v>
      </c>
      <c r="E72" s="140">
        <v>0</v>
      </c>
      <c r="F72" s="140">
        <v>1357.73</v>
      </c>
      <c r="G72" s="140">
        <v>772.78</v>
      </c>
      <c r="H72" s="140">
        <v>1358</v>
      </c>
      <c r="I72" s="140">
        <v>0</v>
      </c>
      <c r="J72" s="140">
        <v>1358</v>
      </c>
      <c r="K72" s="140">
        <v>773</v>
      </c>
    </row>
    <row r="73" spans="1:11" x14ac:dyDescent="0.3">
      <c r="A73" s="17" t="s">
        <v>1402</v>
      </c>
      <c r="B73" s="17" t="s">
        <v>1403</v>
      </c>
      <c r="C73" s="139" t="s">
        <v>1404</v>
      </c>
      <c r="D73" s="140">
        <v>1357.73</v>
      </c>
      <c r="E73" s="140">
        <v>0</v>
      </c>
      <c r="F73" s="140">
        <v>1357.73</v>
      </c>
      <c r="G73" s="140">
        <v>772.78</v>
      </c>
      <c r="H73" s="140">
        <v>1358</v>
      </c>
      <c r="I73" s="140">
        <v>0</v>
      </c>
      <c r="J73" s="140">
        <v>1358</v>
      </c>
      <c r="K73" s="140">
        <v>773</v>
      </c>
    </row>
    <row r="74" spans="1:11" x14ac:dyDescent="0.3">
      <c r="A74" s="17">
        <v>2</v>
      </c>
      <c r="B74" s="17" t="s">
        <v>1405</v>
      </c>
      <c r="C74" s="139" t="s">
        <v>1406</v>
      </c>
      <c r="D74" s="140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40">
        <v>0</v>
      </c>
    </row>
    <row r="75" spans="1:11" x14ac:dyDescent="0.3">
      <c r="A75" s="17" t="s">
        <v>1124</v>
      </c>
      <c r="B75" s="17" t="s">
        <v>1407</v>
      </c>
      <c r="C75" s="139" t="s">
        <v>1408</v>
      </c>
      <c r="D75" s="140">
        <v>372.18</v>
      </c>
      <c r="E75" s="140">
        <v>0</v>
      </c>
      <c r="F75" s="140">
        <v>372.18</v>
      </c>
      <c r="G75" s="140">
        <v>330</v>
      </c>
      <c r="H75" s="140">
        <v>372</v>
      </c>
      <c r="I75" s="140">
        <v>0</v>
      </c>
      <c r="J75" s="140">
        <v>372</v>
      </c>
      <c r="K75" s="140">
        <v>330</v>
      </c>
    </row>
    <row r="76" spans="1:11" x14ac:dyDescent="0.3">
      <c r="A76" s="17" t="s">
        <v>1409</v>
      </c>
      <c r="B76" s="17" t="s">
        <v>1410</v>
      </c>
      <c r="C76" s="139" t="s">
        <v>1411</v>
      </c>
      <c r="D76" s="140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40">
        <v>0</v>
      </c>
    </row>
    <row r="77" spans="1:11" x14ac:dyDescent="0.3">
      <c r="A77" s="17">
        <v>2</v>
      </c>
      <c r="B77" s="17" t="s">
        <v>1412</v>
      </c>
      <c r="C77" s="139" t="s">
        <v>1413</v>
      </c>
      <c r="D77" s="140">
        <v>372.18</v>
      </c>
      <c r="E77" s="140">
        <v>0</v>
      </c>
      <c r="F77" s="140">
        <v>372.18</v>
      </c>
      <c r="G77" s="140">
        <v>330</v>
      </c>
      <c r="H77" s="140">
        <v>372</v>
      </c>
      <c r="I77" s="140">
        <v>0</v>
      </c>
      <c r="J77" s="140">
        <v>372</v>
      </c>
      <c r="K77" s="140">
        <v>330</v>
      </c>
    </row>
    <row r="78" spans="1:11" x14ac:dyDescent="0.3">
      <c r="A78" s="17">
        <v>3</v>
      </c>
      <c r="B78" s="17" t="s">
        <v>1414</v>
      </c>
      <c r="C78" s="139" t="s">
        <v>1415</v>
      </c>
      <c r="D78" s="140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40">
        <v>0</v>
      </c>
    </row>
    <row r="79" spans="1:11" x14ac:dyDescent="0.3">
      <c r="A79" s="17">
        <v>4</v>
      </c>
      <c r="B79" s="17" t="s">
        <v>1416</v>
      </c>
      <c r="C79" s="139" t="s">
        <v>1417</v>
      </c>
      <c r="D79" s="140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40">
        <v>0</v>
      </c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G68"/>
  <sheetViews>
    <sheetView workbookViewId="0">
      <selection activeCell="B2" sqref="B2"/>
    </sheetView>
  </sheetViews>
  <sheetFormatPr defaultColWidth="9.109375" defaultRowHeight="14.4" x14ac:dyDescent="0.3"/>
  <cols>
    <col min="1" max="1" width="8.33203125" style="17" bestFit="1" customWidth="1"/>
    <col min="2" max="2" width="79.44140625" style="17" bestFit="1" customWidth="1"/>
    <col min="3" max="3" width="4.44140625" style="139" bestFit="1" customWidth="1"/>
    <col min="4" max="7" width="15.33203125" style="140" bestFit="1" customWidth="1"/>
  </cols>
  <sheetData>
    <row r="1" spans="1:7" ht="20.399999999999999" x14ac:dyDescent="0.3">
      <c r="A1" s="145" t="s">
        <v>358</v>
      </c>
      <c r="B1" s="145" t="s">
        <v>364</v>
      </c>
      <c r="C1" s="144" t="s">
        <v>380</v>
      </c>
      <c r="D1" s="146" t="s">
        <v>387</v>
      </c>
      <c r="E1" s="146" t="s">
        <v>388</v>
      </c>
      <c r="F1" s="146" t="s">
        <v>365</v>
      </c>
      <c r="G1" s="146" t="s">
        <v>363</v>
      </c>
    </row>
    <row r="2" spans="1:7" x14ac:dyDescent="0.3">
      <c r="B2" s="17" t="s">
        <v>1418</v>
      </c>
      <c r="C2" s="139" t="s">
        <v>983</v>
      </c>
      <c r="D2" s="140">
        <v>171254.72</v>
      </c>
      <c r="E2" s="140">
        <v>139555.29999999999</v>
      </c>
      <c r="F2" s="140">
        <v>171255</v>
      </c>
      <c r="G2" s="140">
        <v>139556</v>
      </c>
    </row>
    <row r="3" spans="1:7" x14ac:dyDescent="0.3">
      <c r="A3" s="17" t="s">
        <v>1118</v>
      </c>
      <c r="B3" s="17" t="s">
        <v>1419</v>
      </c>
      <c r="C3" s="139" t="s">
        <v>1420</v>
      </c>
      <c r="D3" s="138">
        <v>43813.07</v>
      </c>
      <c r="E3" s="138">
        <v>37709.75</v>
      </c>
      <c r="F3" s="138">
        <v>43813</v>
      </c>
      <c r="G3" s="138">
        <v>37709</v>
      </c>
    </row>
    <row r="4" spans="1:7" x14ac:dyDescent="0.3">
      <c r="A4" s="17" t="s">
        <v>1258</v>
      </c>
      <c r="B4" s="17" t="s">
        <v>1421</v>
      </c>
      <c r="C4" s="139" t="s">
        <v>984</v>
      </c>
      <c r="D4" s="140">
        <v>5000</v>
      </c>
      <c r="E4" s="140">
        <v>5000</v>
      </c>
      <c r="F4" s="140">
        <v>5000</v>
      </c>
      <c r="G4" s="140">
        <v>5000</v>
      </c>
    </row>
    <row r="5" spans="1:7" x14ac:dyDescent="0.3">
      <c r="A5" s="17" t="s">
        <v>1422</v>
      </c>
      <c r="B5" s="17" t="s">
        <v>1423</v>
      </c>
      <c r="C5" s="139" t="s">
        <v>986</v>
      </c>
      <c r="D5" s="140">
        <v>5000</v>
      </c>
      <c r="E5" s="140">
        <v>5000</v>
      </c>
      <c r="F5" s="140">
        <v>5000</v>
      </c>
      <c r="G5" s="140">
        <v>5000</v>
      </c>
    </row>
    <row r="6" spans="1:7" x14ac:dyDescent="0.3">
      <c r="A6" s="17">
        <v>2</v>
      </c>
      <c r="B6" s="17" t="s">
        <v>1424</v>
      </c>
      <c r="C6" s="139" t="s">
        <v>1425</v>
      </c>
      <c r="D6" s="140">
        <v>0</v>
      </c>
      <c r="E6" s="140">
        <v>0</v>
      </c>
      <c r="F6" s="140">
        <v>0</v>
      </c>
      <c r="G6" s="140">
        <v>0</v>
      </c>
    </row>
    <row r="7" spans="1:7" x14ac:dyDescent="0.3">
      <c r="A7" s="17">
        <v>3</v>
      </c>
      <c r="B7" s="17" t="s">
        <v>1426</v>
      </c>
      <c r="C7" s="139" t="s">
        <v>1427</v>
      </c>
      <c r="D7" s="140">
        <v>0</v>
      </c>
      <c r="E7" s="140">
        <v>0</v>
      </c>
      <c r="F7" s="140">
        <v>0</v>
      </c>
      <c r="G7" s="140">
        <v>0</v>
      </c>
    </row>
    <row r="8" spans="1:7" x14ac:dyDescent="0.3">
      <c r="A8" s="17" t="s">
        <v>1276</v>
      </c>
      <c r="B8" s="17" t="s">
        <v>1428</v>
      </c>
      <c r="C8" s="139" t="s">
        <v>1429</v>
      </c>
      <c r="D8" s="140">
        <v>0</v>
      </c>
      <c r="E8" s="140">
        <v>0</v>
      </c>
      <c r="F8" s="140">
        <v>0</v>
      </c>
      <c r="G8" s="140">
        <v>0</v>
      </c>
    </row>
    <row r="9" spans="1:7" x14ac:dyDescent="0.3">
      <c r="A9" s="17" t="s">
        <v>1430</v>
      </c>
      <c r="B9" s="17" t="s">
        <v>1431</v>
      </c>
      <c r="C9" s="139" t="s">
        <v>1432</v>
      </c>
      <c r="D9" s="140">
        <v>8000</v>
      </c>
      <c r="E9" s="140">
        <v>8000</v>
      </c>
      <c r="F9" s="140">
        <v>8000</v>
      </c>
      <c r="G9" s="140">
        <v>8000</v>
      </c>
    </row>
    <row r="10" spans="1:7" x14ac:dyDescent="0.3">
      <c r="A10" s="17" t="s">
        <v>1433</v>
      </c>
      <c r="B10" s="17" t="s">
        <v>1434</v>
      </c>
      <c r="C10" s="139" t="s">
        <v>1435</v>
      </c>
      <c r="D10" s="140">
        <v>500</v>
      </c>
      <c r="E10" s="140">
        <v>500</v>
      </c>
      <c r="F10" s="140">
        <v>500</v>
      </c>
      <c r="G10" s="140">
        <v>500</v>
      </c>
    </row>
    <row r="11" spans="1:7" x14ac:dyDescent="0.3">
      <c r="A11" s="17" t="s">
        <v>1436</v>
      </c>
      <c r="B11" s="17" t="s">
        <v>1437</v>
      </c>
      <c r="C11" s="139" t="s">
        <v>1438</v>
      </c>
      <c r="D11" s="140">
        <v>500</v>
      </c>
      <c r="E11" s="140">
        <v>500</v>
      </c>
      <c r="F11" s="140">
        <v>500</v>
      </c>
      <c r="G11" s="140">
        <v>500</v>
      </c>
    </row>
    <row r="12" spans="1:7" x14ac:dyDescent="0.3">
      <c r="A12" s="17">
        <v>2</v>
      </c>
      <c r="B12" s="17" t="s">
        <v>1439</v>
      </c>
      <c r="C12" s="139" t="s">
        <v>988</v>
      </c>
      <c r="D12" s="140">
        <v>0</v>
      </c>
      <c r="E12" s="140">
        <v>0</v>
      </c>
      <c r="F12" s="140">
        <v>0</v>
      </c>
      <c r="G12" s="140">
        <v>0</v>
      </c>
    </row>
    <row r="13" spans="1:7" x14ac:dyDescent="0.3">
      <c r="A13" s="17" t="s">
        <v>1440</v>
      </c>
      <c r="B13" s="17" t="s">
        <v>1441</v>
      </c>
      <c r="C13" s="139" t="s">
        <v>1442</v>
      </c>
      <c r="D13" s="140">
        <v>0</v>
      </c>
      <c r="E13" s="140">
        <v>0</v>
      </c>
      <c r="F13" s="140">
        <v>0</v>
      </c>
      <c r="G13" s="140">
        <v>0</v>
      </c>
    </row>
    <row r="14" spans="1:7" x14ac:dyDescent="0.3">
      <c r="A14" s="17" t="s">
        <v>1443</v>
      </c>
      <c r="B14" s="17" t="s">
        <v>1444</v>
      </c>
      <c r="C14" s="139" t="s">
        <v>1445</v>
      </c>
      <c r="D14" s="140">
        <v>0</v>
      </c>
      <c r="E14" s="140">
        <v>0</v>
      </c>
      <c r="F14" s="140">
        <v>0</v>
      </c>
      <c r="G14" s="140">
        <v>0</v>
      </c>
    </row>
    <row r="15" spans="1:7" x14ac:dyDescent="0.3">
      <c r="A15" s="17">
        <v>2</v>
      </c>
      <c r="B15" s="17" t="s">
        <v>1446</v>
      </c>
      <c r="C15" s="139" t="s">
        <v>1447</v>
      </c>
      <c r="D15" s="140">
        <v>0</v>
      </c>
      <c r="E15" s="140">
        <v>0</v>
      </c>
      <c r="F15" s="140">
        <v>0</v>
      </c>
      <c r="G15" s="140">
        <v>0</v>
      </c>
    </row>
    <row r="16" spans="1:7" x14ac:dyDescent="0.3">
      <c r="A16" s="17" t="s">
        <v>1448</v>
      </c>
      <c r="B16" s="17" t="s">
        <v>1449</v>
      </c>
      <c r="C16" s="139" t="s">
        <v>1450</v>
      </c>
      <c r="D16" s="140">
        <v>0</v>
      </c>
      <c r="E16" s="140">
        <v>0</v>
      </c>
      <c r="F16" s="140">
        <v>0</v>
      </c>
      <c r="G16" s="140">
        <v>0</v>
      </c>
    </row>
    <row r="17" spans="1:7" x14ac:dyDescent="0.3">
      <c r="A17" s="17" t="s">
        <v>1451</v>
      </c>
      <c r="B17" s="17" t="s">
        <v>1452</v>
      </c>
      <c r="C17" s="139" t="s">
        <v>1453</v>
      </c>
      <c r="D17" s="140">
        <v>0</v>
      </c>
      <c r="E17" s="140">
        <v>0</v>
      </c>
      <c r="F17" s="140">
        <v>0</v>
      </c>
      <c r="G17" s="140">
        <v>0</v>
      </c>
    </row>
    <row r="18" spans="1:7" x14ac:dyDescent="0.3">
      <c r="A18" s="17">
        <v>2</v>
      </c>
      <c r="B18" s="17" t="s">
        <v>1454</v>
      </c>
      <c r="C18" s="139" t="s">
        <v>1455</v>
      </c>
      <c r="D18" s="140">
        <v>0</v>
      </c>
      <c r="E18" s="140">
        <v>0</v>
      </c>
      <c r="F18" s="140">
        <v>0</v>
      </c>
      <c r="G18" s="140">
        <v>0</v>
      </c>
    </row>
    <row r="19" spans="1:7" x14ac:dyDescent="0.3">
      <c r="A19" s="17">
        <v>3</v>
      </c>
      <c r="B19" s="17" t="s">
        <v>1456</v>
      </c>
      <c r="C19" s="139" t="s">
        <v>1457</v>
      </c>
      <c r="D19" s="140">
        <v>0</v>
      </c>
      <c r="E19" s="140">
        <v>0</v>
      </c>
      <c r="F19" s="140">
        <v>0</v>
      </c>
      <c r="G19" s="140">
        <v>0</v>
      </c>
    </row>
    <row r="20" spans="1:7" x14ac:dyDescent="0.3">
      <c r="A20" s="17" t="s">
        <v>1458</v>
      </c>
      <c r="B20" s="17" t="s">
        <v>1459</v>
      </c>
      <c r="C20" s="139" t="s">
        <v>1460</v>
      </c>
      <c r="D20" s="140">
        <v>24209.75</v>
      </c>
      <c r="E20" s="140">
        <v>19644.419999999998</v>
      </c>
      <c r="F20" s="140">
        <v>24210</v>
      </c>
      <c r="G20" s="140">
        <v>19644</v>
      </c>
    </row>
    <row r="21" spans="1:7" x14ac:dyDescent="0.3">
      <c r="A21" s="17" t="s">
        <v>1461</v>
      </c>
      <c r="B21" s="17" t="s">
        <v>1462</v>
      </c>
      <c r="C21" s="139" t="s">
        <v>1463</v>
      </c>
      <c r="D21" s="140">
        <v>24209.75</v>
      </c>
      <c r="E21" s="140">
        <v>19644.419999999998</v>
      </c>
      <c r="F21" s="140">
        <v>24210</v>
      </c>
      <c r="G21" s="140">
        <v>19644</v>
      </c>
    </row>
    <row r="22" spans="1:7" x14ac:dyDescent="0.3">
      <c r="A22" s="17">
        <v>2</v>
      </c>
      <c r="B22" s="17" t="s">
        <v>1464</v>
      </c>
      <c r="C22" s="139" t="s">
        <v>1465</v>
      </c>
      <c r="D22" s="140">
        <v>0</v>
      </c>
      <c r="E22" s="140">
        <v>0</v>
      </c>
      <c r="F22" s="140">
        <v>0</v>
      </c>
      <c r="G22" s="140">
        <v>0</v>
      </c>
    </row>
    <row r="23" spans="1:7" x14ac:dyDescent="0.3">
      <c r="A23" s="17" t="s">
        <v>1466</v>
      </c>
      <c r="B23" s="17" t="s">
        <v>1467</v>
      </c>
      <c r="C23" s="139" t="s">
        <v>1468</v>
      </c>
      <c r="D23" s="140">
        <v>6103.32</v>
      </c>
      <c r="E23" s="140">
        <v>4565.33</v>
      </c>
      <c r="F23" s="140">
        <v>6103</v>
      </c>
      <c r="G23" s="140">
        <v>4565</v>
      </c>
    </row>
    <row r="24" spans="1:7" x14ac:dyDescent="0.3">
      <c r="A24" s="17" t="s">
        <v>1121</v>
      </c>
      <c r="B24" s="17" t="s">
        <v>1469</v>
      </c>
      <c r="C24" s="139" t="s">
        <v>1470</v>
      </c>
      <c r="D24" s="140">
        <v>127441.65</v>
      </c>
      <c r="E24" s="140">
        <v>101845.55</v>
      </c>
      <c r="F24" s="140">
        <v>127442</v>
      </c>
      <c r="G24" s="140">
        <v>101847</v>
      </c>
    </row>
    <row r="25" spans="1:7" x14ac:dyDescent="0.3">
      <c r="A25" s="17" t="s">
        <v>1322</v>
      </c>
      <c r="B25" s="17" t="s">
        <v>1471</v>
      </c>
      <c r="C25" s="139" t="s">
        <v>1472</v>
      </c>
      <c r="D25" s="140">
        <v>192.67</v>
      </c>
      <c r="E25" s="140">
        <v>156.25</v>
      </c>
      <c r="F25" s="140">
        <v>193</v>
      </c>
      <c r="G25" s="140">
        <v>156</v>
      </c>
    </row>
    <row r="26" spans="1:7" x14ac:dyDescent="0.3">
      <c r="A26" s="17" t="s">
        <v>1325</v>
      </c>
      <c r="B26" s="17" t="s">
        <v>1473</v>
      </c>
      <c r="C26" s="139" t="s">
        <v>1474</v>
      </c>
      <c r="D26" s="140">
        <v>0</v>
      </c>
      <c r="E26" s="140">
        <v>0</v>
      </c>
      <c r="F26" s="140">
        <v>0</v>
      </c>
      <c r="G26" s="140">
        <v>0</v>
      </c>
    </row>
    <row r="27" spans="1:7" x14ac:dyDescent="0.3">
      <c r="A27" s="17" t="s">
        <v>1342</v>
      </c>
      <c r="B27" s="17" t="s">
        <v>1475</v>
      </c>
      <c r="C27" s="139" t="s">
        <v>1476</v>
      </c>
      <c r="D27" s="140">
        <v>0</v>
      </c>
      <c r="E27" s="140">
        <v>0</v>
      </c>
      <c r="F27" s="140">
        <v>0</v>
      </c>
      <c r="G27" s="140">
        <v>0</v>
      </c>
    </row>
    <row r="28" spans="1:7" x14ac:dyDescent="0.3">
      <c r="A28" s="17" t="s">
        <v>1345</v>
      </c>
      <c r="B28" s="17" t="s">
        <v>1477</v>
      </c>
      <c r="C28" s="139" t="s">
        <v>1478</v>
      </c>
      <c r="D28" s="140">
        <v>0</v>
      </c>
      <c r="E28" s="140">
        <v>0</v>
      </c>
      <c r="F28" s="140">
        <v>0</v>
      </c>
      <c r="G28" s="140">
        <v>0</v>
      </c>
    </row>
    <row r="29" spans="1:7" x14ac:dyDescent="0.3">
      <c r="A29" s="17" t="s">
        <v>1348</v>
      </c>
      <c r="B29" s="17" t="s">
        <v>1479</v>
      </c>
      <c r="C29" s="139" t="s">
        <v>1480</v>
      </c>
      <c r="D29" s="140">
        <v>0</v>
      </c>
      <c r="E29" s="140">
        <v>0</v>
      </c>
      <c r="F29" s="140">
        <v>0</v>
      </c>
      <c r="G29" s="140">
        <v>0</v>
      </c>
    </row>
    <row r="30" spans="1:7" x14ac:dyDescent="0.3">
      <c r="A30" s="17">
        <v>2</v>
      </c>
      <c r="B30" s="17" t="s">
        <v>1351</v>
      </c>
      <c r="C30" s="139" t="s">
        <v>1481</v>
      </c>
      <c r="D30" s="140">
        <v>0</v>
      </c>
      <c r="E30" s="140">
        <v>0</v>
      </c>
      <c r="F30" s="140">
        <v>0</v>
      </c>
      <c r="G30" s="140">
        <v>0</v>
      </c>
    </row>
    <row r="31" spans="1:7" x14ac:dyDescent="0.3">
      <c r="A31" s="17">
        <v>3</v>
      </c>
      <c r="B31" s="17" t="s">
        <v>1482</v>
      </c>
      <c r="C31" s="139" t="s">
        <v>1483</v>
      </c>
      <c r="D31" s="140">
        <v>0</v>
      </c>
      <c r="E31" s="140">
        <v>0</v>
      </c>
      <c r="F31" s="140">
        <v>0</v>
      </c>
      <c r="G31" s="140">
        <v>0</v>
      </c>
    </row>
    <row r="32" spans="1:7" x14ac:dyDescent="0.3">
      <c r="A32" s="17">
        <v>4</v>
      </c>
      <c r="B32" s="17" t="s">
        <v>1484</v>
      </c>
      <c r="C32" s="139" t="s">
        <v>1485</v>
      </c>
      <c r="D32" s="140">
        <v>0</v>
      </c>
      <c r="E32" s="140">
        <v>0</v>
      </c>
      <c r="F32" s="140">
        <v>0</v>
      </c>
      <c r="G32" s="140">
        <v>0</v>
      </c>
    </row>
    <row r="33" spans="1:7" x14ac:dyDescent="0.3">
      <c r="A33" s="17">
        <v>5</v>
      </c>
      <c r="B33" s="17" t="s">
        <v>1486</v>
      </c>
      <c r="C33" s="139" t="s">
        <v>1487</v>
      </c>
      <c r="D33" s="140">
        <v>0</v>
      </c>
      <c r="E33" s="140">
        <v>0</v>
      </c>
      <c r="F33" s="140">
        <v>0</v>
      </c>
      <c r="G33" s="140">
        <v>0</v>
      </c>
    </row>
    <row r="34" spans="1:7" x14ac:dyDescent="0.3">
      <c r="A34" s="17">
        <v>6</v>
      </c>
      <c r="B34" s="17" t="s">
        <v>1488</v>
      </c>
      <c r="C34" s="139" t="s">
        <v>1489</v>
      </c>
      <c r="D34" s="140">
        <v>0</v>
      </c>
      <c r="E34" s="140">
        <v>0</v>
      </c>
      <c r="F34" s="140">
        <v>0</v>
      </c>
      <c r="G34" s="140">
        <v>0</v>
      </c>
    </row>
    <row r="35" spans="1:7" x14ac:dyDescent="0.3">
      <c r="A35" s="17">
        <v>7</v>
      </c>
      <c r="B35" s="17" t="s">
        <v>1490</v>
      </c>
      <c r="C35" s="139" t="s">
        <v>1491</v>
      </c>
      <c r="D35" s="140">
        <v>0</v>
      </c>
      <c r="E35" s="140">
        <v>0</v>
      </c>
      <c r="F35" s="140">
        <v>0</v>
      </c>
      <c r="G35" s="140">
        <v>0</v>
      </c>
    </row>
    <row r="36" spans="1:7" x14ac:dyDescent="0.3">
      <c r="A36" s="17">
        <v>8</v>
      </c>
      <c r="B36" s="17" t="s">
        <v>1492</v>
      </c>
      <c r="C36" s="139" t="s">
        <v>1493</v>
      </c>
      <c r="D36" s="140">
        <v>0</v>
      </c>
      <c r="E36" s="140">
        <v>0</v>
      </c>
      <c r="F36" s="140">
        <v>0</v>
      </c>
      <c r="G36" s="140">
        <v>0</v>
      </c>
    </row>
    <row r="37" spans="1:7" x14ac:dyDescent="0.3">
      <c r="A37" s="17">
        <v>9</v>
      </c>
      <c r="B37" s="17" t="s">
        <v>1494</v>
      </c>
      <c r="C37" s="139" t="s">
        <v>1495</v>
      </c>
      <c r="D37" s="140">
        <v>192.67</v>
      </c>
      <c r="E37" s="140">
        <v>156.25</v>
      </c>
      <c r="F37" s="140">
        <v>193</v>
      </c>
      <c r="G37" s="140">
        <v>156</v>
      </c>
    </row>
    <row r="38" spans="1:7" x14ac:dyDescent="0.3">
      <c r="A38" s="17">
        <v>10</v>
      </c>
      <c r="B38" s="17" t="s">
        <v>1496</v>
      </c>
      <c r="C38" s="139" t="s">
        <v>1497</v>
      </c>
      <c r="D38" s="140">
        <v>0</v>
      </c>
      <c r="E38" s="140">
        <v>0</v>
      </c>
      <c r="F38" s="140">
        <v>0</v>
      </c>
      <c r="G38" s="140">
        <v>0</v>
      </c>
    </row>
    <row r="39" spans="1:7" x14ac:dyDescent="0.3">
      <c r="A39" s="17">
        <v>11</v>
      </c>
      <c r="B39" s="17" t="s">
        <v>1498</v>
      </c>
      <c r="C39" s="139" t="s">
        <v>1499</v>
      </c>
      <c r="D39" s="140">
        <v>0</v>
      </c>
      <c r="E39" s="140">
        <v>0</v>
      </c>
      <c r="F39" s="140">
        <v>0</v>
      </c>
      <c r="G39" s="140">
        <v>0</v>
      </c>
    </row>
    <row r="40" spans="1:7" x14ac:dyDescent="0.3">
      <c r="A40" s="17">
        <v>12</v>
      </c>
      <c r="B40" s="17" t="s">
        <v>1500</v>
      </c>
      <c r="C40" s="139" t="s">
        <v>1501</v>
      </c>
      <c r="D40" s="140">
        <v>0</v>
      </c>
      <c r="E40" s="140">
        <v>0</v>
      </c>
      <c r="F40" s="140">
        <v>0</v>
      </c>
      <c r="G40" s="140">
        <v>0</v>
      </c>
    </row>
    <row r="41" spans="1:7" x14ac:dyDescent="0.3">
      <c r="A41" s="17" t="s">
        <v>1502</v>
      </c>
      <c r="B41" s="17" t="s">
        <v>1503</v>
      </c>
      <c r="C41" s="139" t="s">
        <v>1504</v>
      </c>
      <c r="D41" s="140">
        <v>0</v>
      </c>
      <c r="E41" s="140">
        <v>0</v>
      </c>
      <c r="F41" s="140">
        <v>0</v>
      </c>
      <c r="G41" s="140">
        <v>0</v>
      </c>
    </row>
    <row r="42" spans="1:7" x14ac:dyDescent="0.3">
      <c r="A42" s="17" t="s">
        <v>1505</v>
      </c>
      <c r="B42" s="17" t="s">
        <v>1506</v>
      </c>
      <c r="C42" s="139" t="s">
        <v>1507</v>
      </c>
      <c r="D42" s="140">
        <v>0</v>
      </c>
      <c r="E42" s="140">
        <v>0</v>
      </c>
      <c r="F42" s="140">
        <v>0</v>
      </c>
      <c r="G42" s="140">
        <v>0</v>
      </c>
    </row>
    <row r="43" spans="1:7" x14ac:dyDescent="0.3">
      <c r="A43" s="17">
        <v>2</v>
      </c>
      <c r="B43" s="17" t="s">
        <v>1508</v>
      </c>
      <c r="C43" s="139" t="s">
        <v>1509</v>
      </c>
      <c r="D43" s="140">
        <v>0</v>
      </c>
      <c r="E43" s="140">
        <v>0</v>
      </c>
      <c r="F43" s="140">
        <v>0</v>
      </c>
      <c r="G43" s="140">
        <v>0</v>
      </c>
    </row>
    <row r="44" spans="1:7" x14ac:dyDescent="0.3">
      <c r="A44" s="17" t="s">
        <v>1510</v>
      </c>
      <c r="B44" s="17" t="s">
        <v>1511</v>
      </c>
      <c r="C44" s="139" t="s">
        <v>1512</v>
      </c>
      <c r="D44" s="140">
        <v>0</v>
      </c>
      <c r="E44" s="140">
        <v>0</v>
      </c>
      <c r="F44" s="140">
        <v>0</v>
      </c>
      <c r="G44" s="140">
        <v>0</v>
      </c>
    </row>
    <row r="45" spans="1:7" x14ac:dyDescent="0.3">
      <c r="A45" s="17" t="s">
        <v>1513</v>
      </c>
      <c r="B45" s="17" t="s">
        <v>1514</v>
      </c>
      <c r="C45" s="139" t="s">
        <v>1515</v>
      </c>
      <c r="D45" s="140">
        <v>120980.2</v>
      </c>
      <c r="E45" s="140">
        <v>96826.18</v>
      </c>
      <c r="F45" s="140">
        <v>120980</v>
      </c>
      <c r="G45" s="140">
        <v>96827</v>
      </c>
    </row>
    <row r="46" spans="1:7" x14ac:dyDescent="0.3">
      <c r="A46" s="17" t="s">
        <v>1516</v>
      </c>
      <c r="B46" s="17" t="s">
        <v>1517</v>
      </c>
      <c r="C46" s="139" t="s">
        <v>1518</v>
      </c>
      <c r="D46" s="140">
        <v>113413.51</v>
      </c>
      <c r="E46" s="140">
        <v>90227.93</v>
      </c>
      <c r="F46" s="140">
        <v>113413</v>
      </c>
      <c r="G46" s="140">
        <v>90229</v>
      </c>
    </row>
    <row r="47" spans="1:7" x14ac:dyDescent="0.3">
      <c r="A47" s="17" t="s">
        <v>1342</v>
      </c>
      <c r="B47" s="17" t="s">
        <v>1519</v>
      </c>
      <c r="C47" s="139" t="s">
        <v>1520</v>
      </c>
      <c r="D47" s="140">
        <v>1370.77</v>
      </c>
      <c r="E47" s="140">
        <v>1673.78</v>
      </c>
      <c r="F47" s="140">
        <v>1371</v>
      </c>
      <c r="G47" s="140">
        <v>1674</v>
      </c>
    </row>
    <row r="48" spans="1:7" x14ac:dyDescent="0.3">
      <c r="A48" s="17" t="s">
        <v>1345</v>
      </c>
      <c r="B48" s="17" t="s">
        <v>1521</v>
      </c>
      <c r="C48" s="139" t="s">
        <v>1522</v>
      </c>
      <c r="D48" s="140">
        <v>0</v>
      </c>
      <c r="E48" s="140">
        <v>0</v>
      </c>
      <c r="F48" s="140">
        <v>0</v>
      </c>
      <c r="G48" s="140">
        <v>0</v>
      </c>
    </row>
    <row r="49" spans="1:7" x14ac:dyDescent="0.3">
      <c r="A49" s="17" t="s">
        <v>1348</v>
      </c>
      <c r="B49" s="17" t="s">
        <v>1523</v>
      </c>
      <c r="C49" s="139" t="s">
        <v>1524</v>
      </c>
      <c r="D49" s="140">
        <v>112042.74</v>
      </c>
      <c r="E49" s="140">
        <v>88554.15</v>
      </c>
      <c r="F49" s="140">
        <v>112042</v>
      </c>
      <c r="G49" s="140">
        <v>88555</v>
      </c>
    </row>
    <row r="50" spans="1:7" x14ac:dyDescent="0.3">
      <c r="A50" s="17">
        <v>2</v>
      </c>
      <c r="B50" s="17" t="s">
        <v>1351</v>
      </c>
      <c r="C50" s="139" t="s">
        <v>1525</v>
      </c>
      <c r="D50" s="140">
        <v>0</v>
      </c>
      <c r="E50" s="140">
        <v>0</v>
      </c>
      <c r="F50" s="140">
        <v>0</v>
      </c>
      <c r="G50" s="140">
        <v>0</v>
      </c>
    </row>
    <row r="51" spans="1:7" x14ac:dyDescent="0.3">
      <c r="A51" s="17">
        <v>3</v>
      </c>
      <c r="B51" s="17" t="s">
        <v>1526</v>
      </c>
      <c r="C51" s="139" t="s">
        <v>1527</v>
      </c>
      <c r="D51" s="140">
        <v>0</v>
      </c>
      <c r="E51" s="140">
        <v>0</v>
      </c>
      <c r="F51" s="140">
        <v>0</v>
      </c>
      <c r="G51" s="140">
        <v>0</v>
      </c>
    </row>
    <row r="52" spans="1:7" x14ac:dyDescent="0.3">
      <c r="A52" s="17">
        <v>4</v>
      </c>
      <c r="B52" s="17" t="s">
        <v>1528</v>
      </c>
      <c r="C52" s="139" t="s">
        <v>1529</v>
      </c>
      <c r="D52" s="140">
        <v>0</v>
      </c>
      <c r="E52" s="140">
        <v>0</v>
      </c>
      <c r="F52" s="140">
        <v>0</v>
      </c>
      <c r="G52" s="140">
        <v>0</v>
      </c>
    </row>
    <row r="53" spans="1:7" x14ac:dyDescent="0.3">
      <c r="A53" s="17">
        <v>5</v>
      </c>
      <c r="B53" s="17" t="s">
        <v>1530</v>
      </c>
      <c r="C53" s="139" t="s">
        <v>1531</v>
      </c>
      <c r="D53" s="140">
        <v>0</v>
      </c>
      <c r="E53" s="140">
        <v>0</v>
      </c>
      <c r="F53" s="140">
        <v>0</v>
      </c>
      <c r="G53" s="140">
        <v>0</v>
      </c>
    </row>
    <row r="54" spans="1:7" x14ac:dyDescent="0.3">
      <c r="A54" s="17">
        <v>6</v>
      </c>
      <c r="B54" s="17" t="s">
        <v>1532</v>
      </c>
      <c r="C54" s="139" t="s">
        <v>990</v>
      </c>
      <c r="D54" s="140">
        <v>2537.58</v>
      </c>
      <c r="E54" s="140">
        <v>2323.4</v>
      </c>
      <c r="F54" s="140">
        <v>2538</v>
      </c>
      <c r="G54" s="140">
        <v>2323</v>
      </c>
    </row>
    <row r="55" spans="1:7" x14ac:dyDescent="0.3">
      <c r="A55" s="17">
        <v>7</v>
      </c>
      <c r="B55" s="17" t="s">
        <v>1533</v>
      </c>
      <c r="C55" s="139" t="s">
        <v>991</v>
      </c>
      <c r="D55" s="140">
        <v>1745.4</v>
      </c>
      <c r="E55" s="140">
        <v>1548.78</v>
      </c>
      <c r="F55" s="140">
        <v>1745</v>
      </c>
      <c r="G55" s="140">
        <v>1549</v>
      </c>
    </row>
    <row r="56" spans="1:7" x14ac:dyDescent="0.3">
      <c r="A56" s="17">
        <v>8</v>
      </c>
      <c r="B56" s="17" t="s">
        <v>1534</v>
      </c>
      <c r="C56" s="139" t="s">
        <v>1535</v>
      </c>
      <c r="D56" s="140">
        <v>3283.71</v>
      </c>
      <c r="E56" s="140">
        <v>1699.63</v>
      </c>
      <c r="F56" s="140">
        <v>3284</v>
      </c>
      <c r="G56" s="140">
        <v>1700</v>
      </c>
    </row>
    <row r="57" spans="1:7" x14ac:dyDescent="0.3">
      <c r="A57" s="17">
        <v>9</v>
      </c>
      <c r="B57" s="17" t="s">
        <v>1536</v>
      </c>
      <c r="C57" s="139" t="s">
        <v>1537</v>
      </c>
      <c r="D57" s="140">
        <v>0</v>
      </c>
      <c r="E57" s="140">
        <v>0</v>
      </c>
      <c r="F57" s="140">
        <v>0</v>
      </c>
      <c r="G57" s="140">
        <v>0</v>
      </c>
    </row>
    <row r="58" spans="1:7" x14ac:dyDescent="0.3">
      <c r="A58" s="17">
        <v>10</v>
      </c>
      <c r="B58" s="17" t="s">
        <v>1538</v>
      </c>
      <c r="C58" s="139" t="s">
        <v>1539</v>
      </c>
      <c r="D58" s="140">
        <v>0</v>
      </c>
      <c r="E58" s="140">
        <v>1026.44</v>
      </c>
      <c r="F58" s="140">
        <v>0</v>
      </c>
      <c r="G58" s="140">
        <v>1026</v>
      </c>
    </row>
    <row r="59" spans="1:7" x14ac:dyDescent="0.3">
      <c r="A59" s="17" t="s">
        <v>1399</v>
      </c>
      <c r="B59" s="17" t="s">
        <v>1540</v>
      </c>
      <c r="C59" s="139" t="s">
        <v>1541</v>
      </c>
      <c r="D59" s="140">
        <v>6268.78</v>
      </c>
      <c r="E59" s="140">
        <v>4863.12</v>
      </c>
      <c r="F59" s="140">
        <v>6269</v>
      </c>
      <c r="G59" s="140">
        <v>4864</v>
      </c>
    </row>
    <row r="60" spans="1:7" x14ac:dyDescent="0.3">
      <c r="A60" s="17" t="s">
        <v>1402</v>
      </c>
      <c r="B60" s="17" t="s">
        <v>1542</v>
      </c>
      <c r="C60" s="139" t="s">
        <v>1543</v>
      </c>
      <c r="D60" s="140">
        <v>2003.88</v>
      </c>
      <c r="E60" s="140">
        <v>2822.52</v>
      </c>
      <c r="F60" s="140">
        <v>2004</v>
      </c>
      <c r="G60" s="140">
        <v>2823</v>
      </c>
    </row>
    <row r="61" spans="1:7" x14ac:dyDescent="0.3">
      <c r="A61" s="17">
        <v>2</v>
      </c>
      <c r="B61" s="17" t="s">
        <v>1544</v>
      </c>
      <c r="C61" s="139" t="s">
        <v>1545</v>
      </c>
      <c r="D61" s="140">
        <v>4264.8999999999996</v>
      </c>
      <c r="E61" s="140">
        <v>2040.6</v>
      </c>
      <c r="F61" s="140">
        <v>4265</v>
      </c>
      <c r="G61" s="140">
        <v>2041</v>
      </c>
    </row>
    <row r="62" spans="1:7" x14ac:dyDescent="0.3">
      <c r="A62" s="17" t="s">
        <v>1546</v>
      </c>
      <c r="B62" s="17" t="s">
        <v>1547</v>
      </c>
      <c r="C62" s="139" t="s">
        <v>993</v>
      </c>
      <c r="D62" s="140">
        <v>0</v>
      </c>
      <c r="E62" s="140">
        <v>0</v>
      </c>
      <c r="F62" s="140">
        <v>0</v>
      </c>
      <c r="G62" s="140">
        <v>0</v>
      </c>
    </row>
    <row r="63" spans="1:7" x14ac:dyDescent="0.3">
      <c r="A63" s="17" t="s">
        <v>1548</v>
      </c>
      <c r="B63" s="17" t="s">
        <v>1549</v>
      </c>
      <c r="C63" s="139" t="s">
        <v>1550</v>
      </c>
      <c r="D63" s="140">
        <v>0</v>
      </c>
      <c r="E63" s="140">
        <v>0</v>
      </c>
      <c r="F63" s="140">
        <v>0</v>
      </c>
      <c r="G63" s="140">
        <v>0</v>
      </c>
    </row>
    <row r="64" spans="1:7" x14ac:dyDescent="0.3">
      <c r="A64" s="17" t="s">
        <v>1124</v>
      </c>
      <c r="B64" s="17" t="s">
        <v>1551</v>
      </c>
      <c r="C64" s="139" t="s">
        <v>1552</v>
      </c>
      <c r="D64" s="140">
        <v>0</v>
      </c>
      <c r="E64" s="140">
        <v>0</v>
      </c>
      <c r="F64" s="140">
        <v>0</v>
      </c>
      <c r="G64" s="140">
        <v>0</v>
      </c>
    </row>
    <row r="65" spans="1:7" x14ac:dyDescent="0.3">
      <c r="A65" s="17" t="s">
        <v>1409</v>
      </c>
      <c r="B65" s="17" t="s">
        <v>1553</v>
      </c>
      <c r="C65" s="139" t="s">
        <v>1554</v>
      </c>
      <c r="D65" s="140">
        <v>0</v>
      </c>
      <c r="E65" s="140">
        <v>0</v>
      </c>
      <c r="F65" s="140">
        <v>0</v>
      </c>
      <c r="G65" s="140">
        <v>0</v>
      </c>
    </row>
    <row r="66" spans="1:7" x14ac:dyDescent="0.3">
      <c r="A66" s="17">
        <v>2</v>
      </c>
      <c r="B66" s="17" t="s">
        <v>1555</v>
      </c>
      <c r="C66" s="139" t="s">
        <v>1556</v>
      </c>
      <c r="D66" s="140">
        <v>0</v>
      </c>
      <c r="E66" s="140">
        <v>0</v>
      </c>
      <c r="F66" s="140">
        <v>0</v>
      </c>
      <c r="G66" s="140">
        <v>0</v>
      </c>
    </row>
    <row r="67" spans="1:7" x14ac:dyDescent="0.3">
      <c r="A67" s="17">
        <v>3</v>
      </c>
      <c r="B67" s="17" t="s">
        <v>1557</v>
      </c>
      <c r="C67" s="139" t="s">
        <v>1558</v>
      </c>
      <c r="D67" s="140">
        <v>0</v>
      </c>
      <c r="E67" s="140">
        <v>0</v>
      </c>
      <c r="F67" s="140">
        <v>0</v>
      </c>
      <c r="G67" s="140">
        <v>0</v>
      </c>
    </row>
    <row r="68" spans="1:7" x14ac:dyDescent="0.3">
      <c r="A68" s="17">
        <v>4</v>
      </c>
      <c r="B68" s="17" t="s">
        <v>1559</v>
      </c>
      <c r="C68" s="139" t="s">
        <v>1560</v>
      </c>
      <c r="D68" s="140">
        <v>0</v>
      </c>
      <c r="E68" s="140">
        <v>0</v>
      </c>
      <c r="F68" s="140">
        <v>0</v>
      </c>
      <c r="G68" s="140">
        <v>0</v>
      </c>
    </row>
  </sheetData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70C0"/>
  </sheetPr>
  <dimension ref="A1:B18"/>
  <sheetViews>
    <sheetView workbookViewId="0">
      <selection activeCell="A2" sqref="A2"/>
    </sheetView>
  </sheetViews>
  <sheetFormatPr defaultRowHeight="14.4" x14ac:dyDescent="0.3"/>
  <cols>
    <col min="1" max="1" width="63.109375" style="17" customWidth="1"/>
    <col min="2" max="2" width="24.88671875" style="17" customWidth="1"/>
  </cols>
  <sheetData>
    <row r="1" spans="1:2" x14ac:dyDescent="0.3">
      <c r="A1" s="147" t="s">
        <v>389</v>
      </c>
      <c r="B1" s="147" t="s">
        <v>45</v>
      </c>
    </row>
    <row r="2" spans="1:2" x14ac:dyDescent="0.3">
      <c r="A2" s="17" t="s">
        <v>1561</v>
      </c>
      <c r="B2" s="17" t="s">
        <v>1562</v>
      </c>
    </row>
    <row r="3" spans="1:2" x14ac:dyDescent="0.3">
      <c r="A3" s="17" t="s">
        <v>1563</v>
      </c>
      <c r="B3" s="17" t="s">
        <v>1564</v>
      </c>
    </row>
    <row r="4" spans="1:2" x14ac:dyDescent="0.3">
      <c r="A4" s="17" t="s">
        <v>1565</v>
      </c>
      <c r="B4" s="17" t="s">
        <v>1566</v>
      </c>
    </row>
    <row r="5" spans="1:2" x14ac:dyDescent="0.3">
      <c r="A5" s="17" t="s">
        <v>1567</v>
      </c>
      <c r="B5" s="17" t="s">
        <v>1568</v>
      </c>
    </row>
    <row r="6" spans="1:2" x14ac:dyDescent="0.3">
      <c r="A6" s="17" t="s">
        <v>1569</v>
      </c>
      <c r="B6" s="17" t="s">
        <v>1570</v>
      </c>
    </row>
    <row r="7" spans="1:2" x14ac:dyDescent="0.3">
      <c r="A7" s="17" t="s">
        <v>1571</v>
      </c>
      <c r="B7" s="17">
        <v>46043381</v>
      </c>
    </row>
    <row r="8" spans="1:2" x14ac:dyDescent="0.3">
      <c r="A8" s="17" t="s">
        <v>1572</v>
      </c>
      <c r="B8" s="17">
        <v>2023202038</v>
      </c>
    </row>
    <row r="9" spans="1:2" x14ac:dyDescent="0.3">
      <c r="A9" s="17" t="s">
        <v>1573</v>
      </c>
    </row>
    <row r="10" spans="1:2" x14ac:dyDescent="0.3">
      <c r="A10" s="17" t="s">
        <v>1574</v>
      </c>
      <c r="B10" s="17" t="s">
        <v>1575</v>
      </c>
    </row>
    <row r="11" spans="1:2" x14ac:dyDescent="0.3">
      <c r="A11" s="17" t="s">
        <v>1576</v>
      </c>
    </row>
    <row r="12" spans="1:2" x14ac:dyDescent="0.3">
      <c r="A12" s="17" t="s">
        <v>1577</v>
      </c>
      <c r="B12" s="17" t="s">
        <v>1578</v>
      </c>
    </row>
    <row r="13" spans="1:2" x14ac:dyDescent="0.3">
      <c r="A13" s="17" t="s">
        <v>1579</v>
      </c>
      <c r="B13" s="17" t="s">
        <v>1580</v>
      </c>
    </row>
    <row r="14" spans="1:2" x14ac:dyDescent="0.3">
      <c r="A14" s="17" t="s">
        <v>1581</v>
      </c>
      <c r="B14" s="17" t="s">
        <v>1582</v>
      </c>
    </row>
    <row r="15" spans="1:2" x14ac:dyDescent="0.3">
      <c r="A15" s="17" t="s">
        <v>1583</v>
      </c>
      <c r="B15" s="17" t="s">
        <v>1584</v>
      </c>
    </row>
    <row r="16" spans="1:2" x14ac:dyDescent="0.3">
      <c r="A16" s="17" t="s">
        <v>1585</v>
      </c>
      <c r="B16" s="17" t="s">
        <v>1586</v>
      </c>
    </row>
    <row r="17" spans="1:2" x14ac:dyDescent="0.3">
      <c r="A17" s="17" t="s">
        <v>1587</v>
      </c>
    </row>
    <row r="18" spans="1:2" x14ac:dyDescent="0.3">
      <c r="A18" s="17" t="s">
        <v>1588</v>
      </c>
      <c r="B18" s="17" t="s">
        <v>1589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5"/>
  <sheetViews>
    <sheetView showGridLines="0" zoomScaleNormal="100" workbookViewId="0">
      <selection sqref="A1:B6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2" x14ac:dyDescent="0.3">
      <c r="A1" t="str">
        <f>VYSVETLIVKY!$B$39</f>
        <v>Poznámky Úč POD 3-01</v>
      </c>
      <c r="B1" s="248" t="str">
        <f>VYSVETLIVKY!$B$40</f>
        <v>IČO : 46043381</v>
      </c>
    </row>
    <row r="2" spans="1:2" x14ac:dyDescent="0.3">
      <c r="B2" s="248" t="str">
        <f>VYSVETLIVKY!$B$41</f>
        <v>DIČ : 2023202038</v>
      </c>
    </row>
    <row r="3" spans="1:2" ht="15" thickBot="1" x14ac:dyDescent="0.35">
      <c r="A3" s="1" t="s">
        <v>395</v>
      </c>
    </row>
    <row r="4" spans="1:2" ht="21" customHeight="1" thickTop="1" thickBot="1" x14ac:dyDescent="0.35">
      <c r="A4" s="9" t="s">
        <v>28</v>
      </c>
      <c r="B4" s="10" t="s">
        <v>26</v>
      </c>
    </row>
    <row r="5" spans="1:2" ht="23.25" customHeight="1" thickTop="1" thickBot="1" x14ac:dyDescent="0.35">
      <c r="A5" s="11" t="s">
        <v>35</v>
      </c>
      <c r="B5" s="1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53"/>
  <sheetViews>
    <sheetView showGridLines="0" zoomScaleNormal="100" workbookViewId="0">
      <selection sqref="A1:B6"/>
    </sheetView>
  </sheetViews>
  <sheetFormatPr defaultRowHeight="14.4" x14ac:dyDescent="0.3"/>
  <cols>
    <col min="1" max="1" width="29.109375" customWidth="1"/>
    <col min="2" max="10" width="11.33203125" customWidth="1"/>
  </cols>
  <sheetData>
    <row r="1" spans="1:33" x14ac:dyDescent="0.3">
      <c r="A1" t="str">
        <f>VYSVETLIVKY!$B$39</f>
        <v>Poznámky Úč POD 3-01</v>
      </c>
      <c r="J1" s="248" t="str">
        <f>VYSVETLIVKY!$B$40</f>
        <v>IČO : 46043381</v>
      </c>
    </row>
    <row r="2" spans="1:33" x14ac:dyDescent="0.3">
      <c r="J2" s="248" t="str">
        <f>VYSVETLIVKY!$B$41</f>
        <v>DIČ : 2023202038</v>
      </c>
    </row>
    <row r="3" spans="1:33" x14ac:dyDescent="0.3">
      <c r="A3" s="1" t="s">
        <v>396</v>
      </c>
    </row>
    <row r="4" spans="1:33" ht="15" thickBot="1" x14ac:dyDescent="0.35">
      <c r="A4" s="2" t="s">
        <v>7</v>
      </c>
    </row>
    <row r="5" spans="1:33" ht="16.5" customHeight="1" thickTop="1" thickBot="1" x14ac:dyDescent="0.35">
      <c r="A5" s="249" t="s">
        <v>40</v>
      </c>
      <c r="B5" s="254" t="s">
        <v>2</v>
      </c>
      <c r="C5" s="255"/>
      <c r="D5" s="255"/>
      <c r="E5" s="255"/>
      <c r="F5" s="255"/>
      <c r="G5" s="255"/>
      <c r="H5" s="255"/>
      <c r="I5" s="255"/>
      <c r="J5" s="25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66.75" customHeight="1" thickTop="1" thickBot="1" x14ac:dyDescent="0.35">
      <c r="A6" s="250"/>
      <c r="B6" s="9" t="s">
        <v>36</v>
      </c>
      <c r="C6" s="10" t="s">
        <v>350</v>
      </c>
      <c r="D6" s="9" t="s">
        <v>37</v>
      </c>
      <c r="E6" s="10" t="s">
        <v>349</v>
      </c>
      <c r="F6" s="9" t="s">
        <v>38</v>
      </c>
      <c r="G6" s="9" t="s">
        <v>39</v>
      </c>
      <c r="H6" s="10" t="s">
        <v>314</v>
      </c>
      <c r="I6" s="9" t="s">
        <v>315</v>
      </c>
      <c r="J6" s="9" t="s">
        <v>8</v>
      </c>
    </row>
    <row r="7" spans="1:33" ht="15" customHeight="1" thickTop="1" thickBot="1" x14ac:dyDescent="0.35">
      <c r="A7" s="27" t="s">
        <v>16</v>
      </c>
      <c r="B7" s="28"/>
      <c r="C7" s="28"/>
      <c r="D7" s="28"/>
      <c r="E7" s="28"/>
      <c r="F7" s="28"/>
      <c r="G7" s="28"/>
      <c r="H7" s="28"/>
      <c r="I7" s="28"/>
      <c r="J7" s="29"/>
      <c r="K7" s="172"/>
      <c r="L7" s="172"/>
      <c r="M7" s="172"/>
      <c r="N7" s="172"/>
      <c r="O7" s="172"/>
      <c r="P7" s="172"/>
      <c r="Q7" s="172"/>
      <c r="R7" s="172"/>
      <c r="S7" s="3"/>
      <c r="T7" s="3"/>
      <c r="U7" s="3"/>
      <c r="V7" s="3"/>
      <c r="W7" s="3"/>
      <c r="X7" s="3"/>
      <c r="Y7" s="3"/>
    </row>
    <row r="8" spans="1:33" ht="15.6" thickTop="1" thickBot="1" x14ac:dyDescent="0.35">
      <c r="A8" s="30" t="s">
        <v>17</v>
      </c>
      <c r="B8" s="164">
        <f>SUMIF(HK!A:A,"061*",HK!C:C)-SUMIF(HK!A:A,"061*",HK!D:D)</f>
        <v>0</v>
      </c>
      <c r="C8" s="164">
        <f>SUMIF(HK!A:A,"062*",HK!C:C)-SUMIF(HK!A:A,"062*",HK!D:D)</f>
        <v>0</v>
      </c>
      <c r="D8" s="164">
        <f>SUMIF(HK!A:A,"063*",HK!C:C)-SUMIF(HK!A:A,"063*",HK!D:D)</f>
        <v>0</v>
      </c>
      <c r="E8" s="164">
        <f>SUMIF(HK!A:A,"066*",HK!C:C)-SUMIF(HK!A:A,"066*",HK!D:D)</f>
        <v>0</v>
      </c>
      <c r="F8" s="164">
        <f>SUMIF(HK!A:A,"067*",HK!C:C)-SUMIF(HK!A:A,"067*",HK!D:D)</f>
        <v>0</v>
      </c>
      <c r="G8" s="131"/>
      <c r="H8" s="164">
        <f>SUMIF(HK!A:A,"043*",HK!C:C)-SUMIF(HK!A:A,"043*",HK!D:D)</f>
        <v>0</v>
      </c>
      <c r="I8" s="164">
        <f>SUMIF(HK!A:A,"053*",HK!C:C)-SUMIF(HK!A:A,"053*",HK!D:D)</f>
        <v>0</v>
      </c>
      <c r="J8" s="14">
        <f>SUM(B8:I8)</f>
        <v>0</v>
      </c>
      <c r="K8" s="135"/>
      <c r="L8" s="150"/>
      <c r="M8" s="135"/>
      <c r="N8" s="135"/>
      <c r="O8" s="135"/>
      <c r="P8" s="135"/>
      <c r="Q8" s="135"/>
      <c r="R8" s="135"/>
    </row>
    <row r="9" spans="1:33" ht="15" customHeight="1" thickBot="1" x14ac:dyDescent="0.35">
      <c r="A9" s="13" t="s">
        <v>18</v>
      </c>
      <c r="B9" s="131">
        <f>SUMIF(HK!A:A,"061*",HK!I:I)</f>
        <v>0</v>
      </c>
      <c r="C9" s="131">
        <f>SUMIF(HK!A:A,"062*",HK!I:I)</f>
        <v>0</v>
      </c>
      <c r="D9" s="131">
        <f>SUMIF(HK!A:A,"063*",HK!I:I)</f>
        <v>0</v>
      </c>
      <c r="E9" s="131">
        <f>SUMIF(HK!A:A,"066*",HK!I:I)</f>
        <v>0</v>
      </c>
      <c r="F9" s="132">
        <f>SUMIF(HK!A:A,"067*",HK!I:I)</f>
        <v>0</v>
      </c>
      <c r="G9" s="131"/>
      <c r="H9" s="131">
        <f>SUMIF(HK!A:A,"043*",HK!I:I)</f>
        <v>0</v>
      </c>
      <c r="I9" s="131">
        <f>SUMIF(HK!A:A,"053*",HK!I:I)</f>
        <v>0</v>
      </c>
      <c r="J9" s="14">
        <f t="shared" ref="J9:J11" si="0">SUM(B9:I9)</f>
        <v>0</v>
      </c>
      <c r="K9" s="135"/>
      <c r="L9" s="135"/>
      <c r="M9" s="135"/>
      <c r="N9" s="135"/>
      <c r="O9" s="135"/>
      <c r="P9" s="135"/>
      <c r="Q9" s="135"/>
      <c r="R9" s="135"/>
    </row>
    <row r="10" spans="1:33" ht="15" customHeight="1" thickBot="1" x14ac:dyDescent="0.35">
      <c r="A10" s="13" t="s">
        <v>19</v>
      </c>
      <c r="B10" s="131">
        <f>SUMIF(HK!A:A,"061*",HK!J:J)</f>
        <v>0</v>
      </c>
      <c r="C10" s="131">
        <f>SUMIF(HK!A:A,"062*",HK!J:J)</f>
        <v>0</v>
      </c>
      <c r="D10" s="131">
        <f>SUMIF(HK!A:A,"063*",HK!J:J)</f>
        <v>0</v>
      </c>
      <c r="E10" s="131">
        <f>SUMIF(HK!A:A,"066*",HK!J:J)</f>
        <v>0</v>
      </c>
      <c r="F10" s="132">
        <f>SUMIF(HK!A:A,"067*",HK!J:J)</f>
        <v>0</v>
      </c>
      <c r="G10" s="131"/>
      <c r="H10" s="131">
        <f>SUMIF(HK!A:A,"043*",HK!J:J)</f>
        <v>0</v>
      </c>
      <c r="I10" s="131">
        <f>SUMIF(HK!A:A,"053*",HK!J:J)</f>
        <v>0</v>
      </c>
      <c r="J10" s="14">
        <f t="shared" si="0"/>
        <v>0</v>
      </c>
      <c r="K10" s="135"/>
      <c r="L10" s="135"/>
      <c r="M10" s="135"/>
      <c r="N10" s="135"/>
      <c r="O10" s="135"/>
      <c r="P10" s="135"/>
      <c r="Q10" s="135"/>
      <c r="R10" s="135"/>
    </row>
    <row r="11" spans="1:33" ht="15" customHeight="1" thickBot="1" x14ac:dyDescent="0.35">
      <c r="A11" s="13" t="s">
        <v>20</v>
      </c>
      <c r="B11" s="131"/>
      <c r="C11" s="131"/>
      <c r="D11" s="131"/>
      <c r="E11" s="131"/>
      <c r="F11" s="132"/>
      <c r="G11" s="131"/>
      <c r="H11" s="131"/>
      <c r="I11" s="131"/>
      <c r="J11" s="14">
        <f t="shared" si="0"/>
        <v>0</v>
      </c>
      <c r="K11" s="135"/>
      <c r="L11" s="135"/>
      <c r="M11" s="135"/>
      <c r="N11" s="135"/>
      <c r="O11" s="135"/>
      <c r="P11" s="135"/>
      <c r="Q11" s="135"/>
      <c r="R11" s="135"/>
    </row>
    <row r="12" spans="1:33" ht="15" thickBot="1" x14ac:dyDescent="0.35">
      <c r="A12" s="21" t="s">
        <v>21</v>
      </c>
      <c r="B12" s="164">
        <f>SUMIF(HK!A:A,"061*",HK!K:K)-SUMIF(HK!A:A,"061*",HK!L:L)</f>
        <v>0</v>
      </c>
      <c r="C12" s="164">
        <f>SUMIF(HK!A:A,"062*",HK!K:K)-SUMIF(HK!A:A,"062*",HK!L:L)</f>
        <v>0</v>
      </c>
      <c r="D12" s="164">
        <f>SUMIF(HK!A:A,"063*",HK!K:K)-SUMIF(HK!A:A,"063*",HK!L:L)</f>
        <v>0</v>
      </c>
      <c r="E12" s="164">
        <f>SUMIF(HK!A:A,"066*",HK!K:K)-SUMIF(HK!A:A,"066*",HK!L:L)</f>
        <v>0</v>
      </c>
      <c r="F12" s="164">
        <f>SUMIF(HK!A:A,"067*",HK!K:K)-SUMIF(HK!A:A,"067*",HK!L:L)</f>
        <v>0</v>
      </c>
      <c r="G12" s="131"/>
      <c r="H12" s="164">
        <f>SUMIF(HK!A:A,"043*",HK!K:K)-SUMIF(HK!A:A,"043*",HK!L:L)</f>
        <v>0</v>
      </c>
      <c r="I12" s="164">
        <f>SUMIF(HK!A:A,"053*",HK!K:K)-SUMIF(HK!A:A,"053*",HK!L:L)</f>
        <v>0</v>
      </c>
      <c r="J12" s="16">
        <f>J8+J9-J10+J11</f>
        <v>0</v>
      </c>
      <c r="K12" s="135"/>
      <c r="L12" s="150"/>
      <c r="M12" s="135"/>
      <c r="N12" s="135"/>
      <c r="O12" s="135"/>
      <c r="P12" s="135"/>
      <c r="Q12" s="135"/>
      <c r="R12" s="135"/>
    </row>
    <row r="13" spans="1:33" ht="15" customHeight="1" thickTop="1" thickBot="1" x14ac:dyDescent="0.35">
      <c r="A13" s="27" t="s">
        <v>22</v>
      </c>
      <c r="B13" s="169"/>
      <c r="C13" s="169"/>
      <c r="D13" s="169"/>
      <c r="E13" s="169"/>
      <c r="F13" s="169"/>
      <c r="G13" s="169"/>
      <c r="H13" s="169"/>
      <c r="I13" s="169"/>
      <c r="J13" s="29"/>
      <c r="K13" s="135"/>
      <c r="L13" s="135"/>
      <c r="M13" s="135"/>
      <c r="N13" s="135"/>
      <c r="O13" s="135"/>
      <c r="P13" s="135"/>
      <c r="Q13" s="135"/>
      <c r="R13" s="135"/>
    </row>
    <row r="14" spans="1:33" ht="15" customHeight="1" thickTop="1" thickBot="1" x14ac:dyDescent="0.35">
      <c r="A14" s="30" t="s">
        <v>23</v>
      </c>
      <c r="B14" s="131"/>
      <c r="C14" s="131"/>
      <c r="D14" s="131"/>
      <c r="E14" s="131"/>
      <c r="F14" s="131"/>
      <c r="G14" s="131"/>
      <c r="H14" s="131"/>
      <c r="I14" s="131"/>
      <c r="J14" s="14">
        <f>SUM(B14:I14)</f>
        <v>0</v>
      </c>
      <c r="K14" s="135"/>
      <c r="L14" s="135"/>
      <c r="M14" s="135"/>
      <c r="N14" s="135"/>
      <c r="O14" s="135"/>
      <c r="P14" s="135"/>
      <c r="Q14" s="135"/>
      <c r="R14" s="135"/>
    </row>
    <row r="15" spans="1:33" ht="15" customHeight="1" thickBot="1" x14ac:dyDescent="0.35">
      <c r="A15" s="13" t="s">
        <v>18</v>
      </c>
      <c r="B15" s="131"/>
      <c r="C15" s="131"/>
      <c r="D15" s="131"/>
      <c r="E15" s="131"/>
      <c r="F15" s="131"/>
      <c r="G15" s="131"/>
      <c r="H15" s="131"/>
      <c r="I15" s="131"/>
      <c r="J15" s="14">
        <f t="shared" ref="J15:J16" si="1">SUM(B15:I15)</f>
        <v>0</v>
      </c>
      <c r="K15" s="135"/>
      <c r="L15" s="135"/>
      <c r="M15" s="135"/>
      <c r="N15" s="135"/>
      <c r="O15" s="135"/>
      <c r="P15" s="135"/>
      <c r="Q15" s="135"/>
      <c r="R15" s="135"/>
    </row>
    <row r="16" spans="1:33" ht="15" customHeight="1" thickBot="1" x14ac:dyDescent="0.35">
      <c r="A16" s="13" t="s">
        <v>19</v>
      </c>
      <c r="B16" s="131"/>
      <c r="C16" s="131"/>
      <c r="D16" s="131"/>
      <c r="E16" s="131"/>
      <c r="F16" s="131"/>
      <c r="G16" s="131"/>
      <c r="H16" s="131"/>
      <c r="I16" s="131"/>
      <c r="J16" s="14">
        <f t="shared" si="1"/>
        <v>0</v>
      </c>
      <c r="K16" s="135"/>
      <c r="L16" s="135"/>
      <c r="M16" s="135"/>
      <c r="N16" s="135"/>
      <c r="O16" s="135"/>
      <c r="P16" s="135"/>
      <c r="Q16" s="135"/>
      <c r="R16" s="135"/>
    </row>
    <row r="17" spans="1:33" ht="15" customHeight="1" thickBot="1" x14ac:dyDescent="0.35">
      <c r="A17" s="21" t="s">
        <v>21</v>
      </c>
      <c r="B17" s="134"/>
      <c r="C17" s="134"/>
      <c r="D17" s="134"/>
      <c r="E17" s="134"/>
      <c r="F17" s="134"/>
      <c r="G17" s="134"/>
      <c r="H17" s="134"/>
      <c r="I17" s="134"/>
      <c r="J17" s="16">
        <f>J14+J15-J16</f>
        <v>0</v>
      </c>
      <c r="K17" s="135"/>
      <c r="L17" s="135"/>
      <c r="M17" s="135"/>
      <c r="N17" s="135"/>
      <c r="O17" s="135"/>
      <c r="P17" s="135"/>
      <c r="Q17" s="135"/>
      <c r="R17" s="135"/>
    </row>
    <row r="18" spans="1:33" ht="15" customHeight="1" thickTop="1" thickBot="1" x14ac:dyDescent="0.35">
      <c r="A18" s="27" t="s">
        <v>24</v>
      </c>
      <c r="B18" s="169"/>
      <c r="C18" s="169"/>
      <c r="D18" s="169"/>
      <c r="E18" s="169"/>
      <c r="F18" s="169"/>
      <c r="G18" s="169"/>
      <c r="H18" s="169"/>
      <c r="I18" s="169"/>
      <c r="J18" s="29"/>
      <c r="K18" s="135"/>
      <c r="L18" s="135"/>
      <c r="M18" s="135"/>
      <c r="N18" s="135"/>
      <c r="O18" s="135"/>
      <c r="P18" s="135"/>
      <c r="Q18" s="135"/>
      <c r="R18" s="135"/>
    </row>
    <row r="19" spans="1:33" ht="15.6" thickTop="1" thickBot="1" x14ac:dyDescent="0.35">
      <c r="A19" s="30" t="s">
        <v>23</v>
      </c>
      <c r="B19" s="164"/>
      <c r="C19" s="164"/>
      <c r="D19" s="164"/>
      <c r="E19" s="164"/>
      <c r="F19" s="164"/>
      <c r="G19" s="164"/>
      <c r="H19" s="164"/>
      <c r="I19" s="164">
        <f>SUMIF(SUAM!C:C,"032",SUAM!E:E)</f>
        <v>0</v>
      </c>
      <c r="J19" s="14">
        <f>SUM(B19:I19)</f>
        <v>0</v>
      </c>
      <c r="K19" s="135"/>
      <c r="L19" s="150"/>
      <c r="M19" s="135"/>
      <c r="N19" s="157"/>
      <c r="O19" s="135"/>
      <c r="P19" s="135"/>
      <c r="Q19" s="135"/>
      <c r="R19" s="135"/>
    </row>
    <row r="20" spans="1:33" ht="15" customHeight="1" thickBot="1" x14ac:dyDescent="0.35">
      <c r="A20" s="13" t="s">
        <v>18</v>
      </c>
      <c r="B20" s="131"/>
      <c r="C20" s="131"/>
      <c r="D20" s="131"/>
      <c r="E20" s="131"/>
      <c r="F20" s="131"/>
      <c r="G20" s="131"/>
      <c r="H20" s="131"/>
      <c r="I20" s="131"/>
      <c r="J20" s="14">
        <f>SUM(B20:I20)</f>
        <v>0</v>
      </c>
      <c r="K20" s="135"/>
      <c r="L20" s="135"/>
      <c r="M20" s="135"/>
      <c r="N20" s="135"/>
      <c r="O20" s="135"/>
      <c r="P20" s="135"/>
      <c r="Q20" s="135"/>
      <c r="R20" s="135"/>
    </row>
    <row r="21" spans="1:33" ht="15" customHeight="1" thickBot="1" x14ac:dyDescent="0.35">
      <c r="A21" s="13" t="s">
        <v>19</v>
      </c>
      <c r="B21" s="131"/>
      <c r="C21" s="131"/>
      <c r="D21" s="131"/>
      <c r="E21" s="131"/>
      <c r="F21" s="131"/>
      <c r="G21" s="131"/>
      <c r="H21" s="131"/>
      <c r="I21" s="131"/>
      <c r="J21" s="14">
        <f>SUM(B21:I21)</f>
        <v>0</v>
      </c>
      <c r="K21" s="135"/>
      <c r="L21" s="135"/>
      <c r="M21" s="135"/>
      <c r="N21" s="135"/>
      <c r="O21" s="135"/>
      <c r="P21" s="135"/>
      <c r="Q21" s="135"/>
      <c r="R21" s="135"/>
    </row>
    <row r="22" spans="1:33" ht="15" thickBot="1" x14ac:dyDescent="0.35">
      <c r="A22" s="21" t="s">
        <v>21</v>
      </c>
      <c r="B22" s="164"/>
      <c r="C22" s="164"/>
      <c r="D22" s="164"/>
      <c r="E22" s="164"/>
      <c r="F22" s="164"/>
      <c r="G22" s="164"/>
      <c r="H22" s="164"/>
      <c r="I22" s="164">
        <f>SUMIF(SUA!C:C,"032",SUA!E:E)</f>
        <v>0</v>
      </c>
      <c r="J22" s="16">
        <f>J19+J20-J21</f>
        <v>0</v>
      </c>
      <c r="K22" s="135"/>
      <c r="L22" s="150"/>
      <c r="M22" s="135"/>
      <c r="N22" s="157"/>
      <c r="O22" s="135"/>
      <c r="P22" s="135"/>
      <c r="Q22" s="135"/>
      <c r="R22" s="135"/>
    </row>
    <row r="23" spans="1:33" ht="15" customHeight="1" thickTop="1" thickBot="1" x14ac:dyDescent="0.35">
      <c r="A23" s="27" t="s">
        <v>25</v>
      </c>
      <c r="B23" s="169"/>
      <c r="C23" s="169"/>
      <c r="D23" s="169"/>
      <c r="E23" s="169"/>
      <c r="F23" s="169"/>
      <c r="G23" s="169"/>
      <c r="H23" s="169"/>
      <c r="I23" s="169"/>
      <c r="J23" s="29"/>
      <c r="K23" s="135"/>
      <c r="L23" s="135"/>
      <c r="M23" s="135"/>
      <c r="N23" s="135"/>
      <c r="O23" s="135"/>
      <c r="P23" s="135"/>
      <c r="Q23" s="135"/>
      <c r="R23" s="135"/>
    </row>
    <row r="24" spans="1:33" ht="15" customHeight="1" thickTop="1" thickBot="1" x14ac:dyDescent="0.35">
      <c r="A24" s="30" t="s">
        <v>23</v>
      </c>
      <c r="B24" s="131"/>
      <c r="C24" s="131"/>
      <c r="D24" s="131"/>
      <c r="E24" s="131"/>
      <c r="F24" s="131"/>
      <c r="G24" s="131"/>
      <c r="H24" s="131"/>
      <c r="I24" s="131"/>
      <c r="J24" s="14">
        <f t="shared" ref="J24" si="2">J8-J14-J19</f>
        <v>0</v>
      </c>
    </row>
    <row r="25" spans="1:33" ht="15" customHeight="1" thickBot="1" x14ac:dyDescent="0.35">
      <c r="A25" s="21" t="s">
        <v>21</v>
      </c>
      <c r="B25" s="134"/>
      <c r="C25" s="134"/>
      <c r="D25" s="134"/>
      <c r="E25" s="134"/>
      <c r="F25" s="134"/>
      <c r="G25" s="134"/>
      <c r="H25" s="134"/>
      <c r="I25" s="134"/>
      <c r="J25" s="16">
        <f t="shared" ref="J25" si="3">J12-J17-J22</f>
        <v>0</v>
      </c>
    </row>
    <row r="26" spans="1:33" ht="15" thickTop="1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33" x14ac:dyDescent="0.3">
      <c r="A27" t="str">
        <f>VYSVETLIVKY!$B$39</f>
        <v>Poznámky Úč POD 3-01</v>
      </c>
      <c r="J27" s="248" t="str">
        <f>VYSVETLIVKY!$B$40</f>
        <v>IČO : 46043381</v>
      </c>
    </row>
    <row r="28" spans="1:33" x14ac:dyDescent="0.3">
      <c r="J28" s="248" t="str">
        <f>VYSVETLIVKY!$B$41</f>
        <v>DIČ : 2023202038</v>
      </c>
    </row>
    <row r="29" spans="1:33" ht="15" thickBot="1" x14ac:dyDescent="0.35">
      <c r="A29" s="159" t="s">
        <v>9</v>
      </c>
      <c r="B29" s="159"/>
      <c r="C29" s="159"/>
      <c r="D29" s="159"/>
      <c r="E29" s="159"/>
      <c r="F29" s="159"/>
      <c r="G29" s="159"/>
      <c r="H29" s="159"/>
      <c r="I29" s="159"/>
      <c r="J29" s="159"/>
    </row>
    <row r="30" spans="1:33" ht="16.5" customHeight="1" thickTop="1" thickBot="1" x14ac:dyDescent="0.35">
      <c r="A30" s="257" t="s">
        <v>40</v>
      </c>
      <c r="B30" s="251" t="s">
        <v>3</v>
      </c>
      <c r="C30" s="252"/>
      <c r="D30" s="252"/>
      <c r="E30" s="252"/>
      <c r="F30" s="252"/>
      <c r="G30" s="252"/>
      <c r="H30" s="252"/>
      <c r="I30" s="252"/>
      <c r="J30" s="25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66.75" customHeight="1" thickTop="1" thickBot="1" x14ac:dyDescent="0.35">
      <c r="A31" s="258"/>
      <c r="B31" s="162" t="s">
        <v>36</v>
      </c>
      <c r="C31" s="161" t="s">
        <v>350</v>
      </c>
      <c r="D31" s="162" t="s">
        <v>37</v>
      </c>
      <c r="E31" s="161" t="s">
        <v>349</v>
      </c>
      <c r="F31" s="162" t="s">
        <v>38</v>
      </c>
      <c r="G31" s="162" t="s">
        <v>39</v>
      </c>
      <c r="H31" s="161" t="s">
        <v>314</v>
      </c>
      <c r="I31" s="162" t="s">
        <v>315</v>
      </c>
      <c r="J31" s="162" t="s">
        <v>8</v>
      </c>
    </row>
    <row r="32" spans="1:33" ht="15" customHeight="1" thickTop="1" thickBot="1" x14ac:dyDescent="0.35">
      <c r="A32" s="173" t="s">
        <v>16</v>
      </c>
      <c r="B32" s="152"/>
      <c r="C32" s="152"/>
      <c r="D32" s="152"/>
      <c r="E32" s="152"/>
      <c r="F32" s="152"/>
      <c r="G32" s="152"/>
      <c r="H32" s="152"/>
      <c r="I32" s="152"/>
      <c r="J32" s="15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3" ht="15.6" thickTop="1" thickBot="1" x14ac:dyDescent="0.35">
      <c r="A33" s="174" t="s">
        <v>17</v>
      </c>
      <c r="B33" s="164">
        <f>SUMIF(HKM!A:A,"061*",HKM!C:C)-SUMIF(HKM!A:A,"061*",HKM!D:D)</f>
        <v>0</v>
      </c>
      <c r="C33" s="164">
        <f>SUMIF(HKM!A:A,"062*",HKM!C:C)-SUMIF(HKM!A:A,"062*",HKM!D:D)</f>
        <v>0</v>
      </c>
      <c r="D33" s="164">
        <f>SUMIF(HKM!A:A,"063*",HKM!C:C)-SUMIF(HKM!A:A,"063*",HKM!D:D)</f>
        <v>0</v>
      </c>
      <c r="E33" s="164">
        <f>SUMIF(HKM!A:A,"066*",HKM!C:C)-SUMIF(HKM!A:A,"066*",HKM!D:D)</f>
        <v>0</v>
      </c>
      <c r="F33" s="164">
        <f>SUMIF(HKM!A:A,"067*",HKM!C:C)-SUMIF(HKM!A:A,"067*",HKM!D:D)</f>
        <v>0</v>
      </c>
      <c r="G33" s="131"/>
      <c r="H33" s="164">
        <f>SUMIF(HKM!A:A,"043*",HKM!C:C)-SUMIF(HKM!A:A,"043*",HKM!D:D)</f>
        <v>0</v>
      </c>
      <c r="I33" s="164">
        <f>SUMIF(HKM!A:A,"053*",HKM!C:C)-SUMIF(HKM!A:A,"053*",HKM!D:D)</f>
        <v>0</v>
      </c>
      <c r="J33" s="149">
        <f>SUM(B33:I33)</f>
        <v>0</v>
      </c>
      <c r="K33" s="135"/>
      <c r="L33" s="150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</row>
    <row r="34" spans="1:23" ht="15" customHeight="1" thickBot="1" x14ac:dyDescent="0.35">
      <c r="A34" s="175" t="s">
        <v>18</v>
      </c>
      <c r="B34" s="131">
        <f>SUMIF(HKM!A:A,"061*",HKM!I:I)</f>
        <v>0</v>
      </c>
      <c r="C34" s="131">
        <f>SUMIF(HKM!A:A,"062*",HKM!I:I)</f>
        <v>0</v>
      </c>
      <c r="D34" s="131">
        <f>SUMIF(HKM!A:A,"063*",HKM!I:I)</f>
        <v>0</v>
      </c>
      <c r="E34" s="131">
        <f>SUMIF(HKM!A:A,"066*",HKM!I:I)</f>
        <v>0</v>
      </c>
      <c r="F34" s="132">
        <f>SUMIF(HKM!A:A,"067*",HKM!I:I)</f>
        <v>0</v>
      </c>
      <c r="G34" s="131"/>
      <c r="H34" s="131">
        <f>SUMIF(HKM!A:A,"043*",HKM!I:I)</f>
        <v>0</v>
      </c>
      <c r="I34" s="131">
        <f>SUMIF(HKM!A:A,"053*",HKM!I:I)</f>
        <v>0</v>
      </c>
      <c r="J34" s="149">
        <f t="shared" ref="J34:J36" si="4">SUM(B34:I34)</f>
        <v>0</v>
      </c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</row>
    <row r="35" spans="1:23" ht="15" customHeight="1" thickBot="1" x14ac:dyDescent="0.35">
      <c r="A35" s="175" t="s">
        <v>19</v>
      </c>
      <c r="B35" s="187">
        <f>SUMIF(HKM!A:A,"061*",HKM!J:J)</f>
        <v>0</v>
      </c>
      <c r="C35" s="131">
        <f>SUMIF(HKM!A:A,"062*",HKM!J:J)</f>
        <v>0</v>
      </c>
      <c r="D35" s="131">
        <f>SUMIF(HKM!A:A,"063*",HKM!J:J)</f>
        <v>0</v>
      </c>
      <c r="E35" s="131">
        <f>SUMIF(HKM!A:A,"066*",HKM!J:J)</f>
        <v>0</v>
      </c>
      <c r="F35" s="132">
        <f>SUMIF(HKM!A:A,"067*",HKM!J:J)</f>
        <v>0</v>
      </c>
      <c r="G35" s="131"/>
      <c r="H35" s="131">
        <f>SUMIF(HKM!A:A,"043*",HKM!J:J)</f>
        <v>0</v>
      </c>
      <c r="I35" s="131">
        <f>SUMIF(HKM!A:A,"053*",HKM!J:J)</f>
        <v>0</v>
      </c>
      <c r="J35" s="149">
        <f t="shared" si="4"/>
        <v>0</v>
      </c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</row>
    <row r="36" spans="1:23" ht="15" customHeight="1" thickBot="1" x14ac:dyDescent="0.35">
      <c r="A36" s="175" t="s">
        <v>20</v>
      </c>
      <c r="B36" s="131"/>
      <c r="C36" s="131"/>
      <c r="D36" s="131"/>
      <c r="E36" s="131"/>
      <c r="F36" s="132"/>
      <c r="G36" s="131"/>
      <c r="H36" s="131"/>
      <c r="I36" s="131"/>
      <c r="J36" s="149">
        <f t="shared" si="4"/>
        <v>0</v>
      </c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</row>
    <row r="37" spans="1:23" ht="15" thickBot="1" x14ac:dyDescent="0.35">
      <c r="A37" s="176" t="s">
        <v>21</v>
      </c>
      <c r="B37" s="164">
        <f>SUMIF(HKM!A:A,"061*",HKM!K:K)-SUMIF(HKM!A:A,"061*",HKM!L:L)</f>
        <v>0</v>
      </c>
      <c r="C37" s="164">
        <f>SUMIF(HKM!A:A,"062*",HKM!K:K)-SUMIF(HKM!A:A,"062*",HKM!L:L)</f>
        <v>0</v>
      </c>
      <c r="D37" s="164">
        <f>SUMIF(HKM!A:A,"063*",HKM!K:K)-SUMIF(HKM!A:A,"063*",HKM!L:L)</f>
        <v>0</v>
      </c>
      <c r="E37" s="164">
        <f>SUMIF(HKM!A:A,"066*",HKM!K:K)-SUMIF(HKM!A:A,"066*",HKM!L:L)</f>
        <v>0</v>
      </c>
      <c r="F37" s="164">
        <f>SUMIF(HKM!A:A,"067*",HKM!K:K)-SUMIF(HKM!A:A,"067*",HKM!L:L)</f>
        <v>0</v>
      </c>
      <c r="G37" s="131"/>
      <c r="H37" s="164">
        <f>SUMIF(HKM!A:A,"043*",HKM!K:K)-SUMIF(HKM!A:A,"043*",HKM!L:L)</f>
        <v>0</v>
      </c>
      <c r="I37" s="164">
        <f>SUMIF(HKM!A:A,"053*",HKM!K:K)-SUMIF(HKM!A:A,"053*",HKM!L:L)</f>
        <v>0</v>
      </c>
      <c r="J37" s="151">
        <f>J33+J34-J35+J36</f>
        <v>0</v>
      </c>
      <c r="K37" s="135"/>
      <c r="L37" s="150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</row>
    <row r="38" spans="1:23" ht="15" customHeight="1" thickTop="1" thickBot="1" x14ac:dyDescent="0.35">
      <c r="A38" s="173" t="s">
        <v>22</v>
      </c>
      <c r="B38" s="165"/>
      <c r="C38" s="165"/>
      <c r="D38" s="165"/>
      <c r="E38" s="165"/>
      <c r="F38" s="165"/>
      <c r="G38" s="165"/>
      <c r="H38" s="165"/>
      <c r="I38" s="165"/>
      <c r="J38" s="153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</row>
    <row r="39" spans="1:23" ht="15" customHeight="1" thickTop="1" thickBot="1" x14ac:dyDescent="0.35">
      <c r="A39" s="174" t="s">
        <v>23</v>
      </c>
      <c r="B39" s="154"/>
      <c r="C39" s="154"/>
      <c r="D39" s="154"/>
      <c r="E39" s="154"/>
      <c r="F39" s="154"/>
      <c r="G39" s="154"/>
      <c r="H39" s="154"/>
      <c r="I39" s="154"/>
      <c r="J39" s="149">
        <f>SUM(B39:I39)</f>
        <v>0</v>
      </c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</row>
    <row r="40" spans="1:23" ht="15" customHeight="1" thickBot="1" x14ac:dyDescent="0.35">
      <c r="A40" s="175" t="s">
        <v>18</v>
      </c>
      <c r="B40" s="154"/>
      <c r="C40" s="154"/>
      <c r="D40" s="154"/>
      <c r="E40" s="154"/>
      <c r="F40" s="154"/>
      <c r="G40" s="154"/>
      <c r="H40" s="154"/>
      <c r="I40" s="154"/>
      <c r="J40" s="149">
        <f t="shared" ref="J40:J41" si="5">SUM(B40:I40)</f>
        <v>0</v>
      </c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</row>
    <row r="41" spans="1:23" ht="15" customHeight="1" thickBot="1" x14ac:dyDescent="0.35">
      <c r="A41" s="175" t="s">
        <v>19</v>
      </c>
      <c r="B41" s="154"/>
      <c r="C41" s="154"/>
      <c r="D41" s="154"/>
      <c r="E41" s="154"/>
      <c r="F41" s="154"/>
      <c r="G41" s="154"/>
      <c r="H41" s="154"/>
      <c r="I41" s="154"/>
      <c r="J41" s="149">
        <f t="shared" si="5"/>
        <v>0</v>
      </c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</row>
    <row r="42" spans="1:23" ht="15" customHeight="1" thickBot="1" x14ac:dyDescent="0.35">
      <c r="A42" s="176" t="s">
        <v>21</v>
      </c>
      <c r="B42" s="155"/>
      <c r="C42" s="155"/>
      <c r="D42" s="155"/>
      <c r="E42" s="155"/>
      <c r="F42" s="155"/>
      <c r="G42" s="155"/>
      <c r="H42" s="155"/>
      <c r="I42" s="155"/>
      <c r="J42" s="151">
        <f>J39+J40-J41</f>
        <v>0</v>
      </c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</row>
    <row r="43" spans="1:23" ht="15" customHeight="1" thickTop="1" thickBot="1" x14ac:dyDescent="0.35">
      <c r="A43" s="173" t="s">
        <v>24</v>
      </c>
      <c r="B43" s="165"/>
      <c r="C43" s="165"/>
      <c r="D43" s="165"/>
      <c r="E43" s="165"/>
      <c r="F43" s="165"/>
      <c r="G43" s="165"/>
      <c r="H43" s="165"/>
      <c r="I43" s="165"/>
      <c r="J43" s="153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</row>
    <row r="44" spans="1:23" ht="15.6" thickTop="1" thickBot="1" x14ac:dyDescent="0.35">
      <c r="A44" s="174" t="s">
        <v>23</v>
      </c>
      <c r="B44" s="164"/>
      <c r="C44" s="164"/>
      <c r="D44" s="164"/>
      <c r="E44" s="164"/>
      <c r="F44" s="164"/>
      <c r="G44" s="164"/>
      <c r="H44" s="164"/>
      <c r="I44" s="168"/>
      <c r="J44" s="149">
        <f>SUM(B44:I44)</f>
        <v>0</v>
      </c>
      <c r="K44" s="135"/>
      <c r="L44" s="150"/>
      <c r="M44" s="163"/>
      <c r="N44" s="157"/>
      <c r="O44" s="135"/>
      <c r="P44" s="135"/>
      <c r="Q44" s="135"/>
      <c r="R44" s="135"/>
      <c r="S44" s="135"/>
      <c r="T44" s="135"/>
      <c r="U44" s="135"/>
      <c r="V44" s="135"/>
      <c r="W44" s="135"/>
    </row>
    <row r="45" spans="1:23" ht="15" customHeight="1" thickBot="1" x14ac:dyDescent="0.35">
      <c r="A45" s="175" t="s">
        <v>18</v>
      </c>
      <c r="B45" s="131"/>
      <c r="C45" s="131"/>
      <c r="D45" s="131"/>
      <c r="E45" s="131"/>
      <c r="F45" s="131"/>
      <c r="G45" s="131"/>
      <c r="H45" s="131"/>
      <c r="I45" s="154"/>
      <c r="J45" s="149">
        <f t="shared" ref="J45:J46" si="6">SUM(B45:I45)</f>
        <v>0</v>
      </c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</row>
    <row r="46" spans="1:23" ht="15" customHeight="1" thickBot="1" x14ac:dyDescent="0.35">
      <c r="A46" s="175" t="s">
        <v>19</v>
      </c>
      <c r="B46" s="131"/>
      <c r="C46" s="131"/>
      <c r="D46" s="131"/>
      <c r="E46" s="131"/>
      <c r="F46" s="131"/>
      <c r="G46" s="131"/>
      <c r="H46" s="131"/>
      <c r="I46" s="154"/>
      <c r="J46" s="149">
        <f t="shared" si="6"/>
        <v>0</v>
      </c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</row>
    <row r="47" spans="1:23" ht="15" thickBot="1" x14ac:dyDescent="0.35">
      <c r="A47" s="176" t="s">
        <v>21</v>
      </c>
      <c r="B47" s="164"/>
      <c r="C47" s="164"/>
      <c r="D47" s="164"/>
      <c r="E47" s="164"/>
      <c r="F47" s="164"/>
      <c r="G47" s="164"/>
      <c r="H47" s="164"/>
      <c r="I47" s="164">
        <f>SUMIF(SUAM!C:C,"032",SUAM!E:E)</f>
        <v>0</v>
      </c>
      <c r="J47" s="151">
        <f>J44+J45-J46</f>
        <v>0</v>
      </c>
      <c r="K47" s="135"/>
      <c r="L47" s="150"/>
      <c r="M47" s="135"/>
      <c r="N47" s="157"/>
      <c r="O47" s="135"/>
      <c r="P47" s="135"/>
      <c r="Q47" s="135"/>
      <c r="R47" s="135"/>
      <c r="S47" s="135"/>
      <c r="T47" s="135"/>
      <c r="U47" s="135"/>
      <c r="V47" s="135"/>
      <c r="W47" s="135"/>
    </row>
    <row r="48" spans="1:23" ht="15" customHeight="1" thickTop="1" thickBot="1" x14ac:dyDescent="0.35">
      <c r="A48" s="173" t="s">
        <v>25</v>
      </c>
      <c r="B48" s="152"/>
      <c r="C48" s="152"/>
      <c r="D48" s="152"/>
      <c r="E48" s="152"/>
      <c r="F48" s="152"/>
      <c r="G48" s="152"/>
      <c r="H48" s="152"/>
      <c r="I48" s="152"/>
      <c r="J48" s="153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</row>
    <row r="49" spans="1:23" ht="15" customHeight="1" thickTop="1" thickBot="1" x14ac:dyDescent="0.35">
      <c r="A49" s="174" t="s">
        <v>23</v>
      </c>
      <c r="B49" s="154"/>
      <c r="C49" s="154"/>
      <c r="D49" s="154"/>
      <c r="E49" s="154"/>
      <c r="F49" s="154"/>
      <c r="G49" s="154"/>
      <c r="H49" s="154"/>
      <c r="I49" s="154"/>
      <c r="J49" s="149">
        <f t="shared" ref="J49" si="7">J33-J39-J44</f>
        <v>0</v>
      </c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</row>
    <row r="50" spans="1:23" ht="15" customHeight="1" thickBot="1" x14ac:dyDescent="0.35">
      <c r="A50" s="176" t="s">
        <v>21</v>
      </c>
      <c r="B50" s="155"/>
      <c r="C50" s="155"/>
      <c r="D50" s="155"/>
      <c r="E50" s="155"/>
      <c r="F50" s="155"/>
      <c r="G50" s="155"/>
      <c r="H50" s="155"/>
      <c r="I50" s="155"/>
      <c r="J50" s="151">
        <f t="shared" ref="J50" si="8">J37-J42-J47</f>
        <v>0</v>
      </c>
    </row>
    <row r="51" spans="1:23" ht="15" thickTop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23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23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</row>
  </sheetData>
  <mergeCells count="4">
    <mergeCell ref="A30:A31"/>
    <mergeCell ref="B30:J30"/>
    <mergeCell ref="A5:A6"/>
    <mergeCell ref="B5:J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5"/>
  <sheetViews>
    <sheetView showGridLines="0" zoomScaleNormal="100" workbookViewId="0">
      <selection sqref="A1:B6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2" x14ac:dyDescent="0.3">
      <c r="A1" t="str">
        <f>VYSVETLIVKY!$B$39</f>
        <v>Poznámky Úč POD 3-01</v>
      </c>
      <c r="B1" s="248" t="str">
        <f>VYSVETLIVKY!$B$40</f>
        <v>IČO : 46043381</v>
      </c>
    </row>
    <row r="2" spans="1:2" x14ac:dyDescent="0.3">
      <c r="B2" s="248" t="str">
        <f>VYSVETLIVKY!$B$41</f>
        <v>DIČ : 2023202038</v>
      </c>
    </row>
    <row r="3" spans="1:2" ht="15" thickBot="1" x14ac:dyDescent="0.35">
      <c r="A3" s="1" t="s">
        <v>397</v>
      </c>
    </row>
    <row r="4" spans="1:2" ht="21" customHeight="1" thickTop="1" thickBot="1" x14ac:dyDescent="0.35">
      <c r="A4" s="9" t="s">
        <v>40</v>
      </c>
      <c r="B4" s="10" t="s">
        <v>26</v>
      </c>
    </row>
    <row r="5" spans="1:2" ht="23.25" customHeight="1" thickTop="1" thickBot="1" x14ac:dyDescent="0.35">
      <c r="A5" s="11" t="s">
        <v>41</v>
      </c>
      <c r="B5" s="1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2"/>
  <sheetViews>
    <sheetView showGridLines="0" zoomScaleNormal="100" workbookViewId="0">
      <selection sqref="A1:B6"/>
    </sheetView>
  </sheetViews>
  <sheetFormatPr defaultRowHeight="14.4" x14ac:dyDescent="0.3"/>
  <cols>
    <col min="1" max="1" width="21.33203125" customWidth="1"/>
    <col min="2" max="4" width="12.6640625" customWidth="1"/>
    <col min="5" max="5" width="14.33203125" customWidth="1"/>
    <col min="6" max="6" width="12.6640625" customWidth="1"/>
  </cols>
  <sheetData>
    <row r="1" spans="1:6" x14ac:dyDescent="0.3">
      <c r="A1" t="str">
        <f>VYSVETLIVKY!$B$39</f>
        <v>Poznámky Úč POD 3-01</v>
      </c>
      <c r="F1" s="248" t="str">
        <f>VYSVETLIVKY!$B$40</f>
        <v>IČO : 46043381</v>
      </c>
    </row>
    <row r="2" spans="1:6" x14ac:dyDescent="0.3">
      <c r="F2" s="248" t="str">
        <f>VYSVETLIVKY!$B$41</f>
        <v>DIČ : 2023202038</v>
      </c>
    </row>
    <row r="3" spans="1:6" ht="15" thickBot="1" x14ac:dyDescent="0.35">
      <c r="A3" s="1" t="s">
        <v>398</v>
      </c>
    </row>
    <row r="4" spans="1:6" ht="16.5" customHeight="1" thickTop="1" thickBot="1" x14ac:dyDescent="0.35">
      <c r="A4" s="249" t="s">
        <v>42</v>
      </c>
      <c r="B4" s="265" t="s">
        <v>2</v>
      </c>
      <c r="C4" s="266"/>
      <c r="D4" s="266"/>
      <c r="E4" s="266"/>
      <c r="F4" s="267"/>
    </row>
    <row r="5" spans="1:6" ht="70.5" customHeight="1" thickBot="1" x14ac:dyDescent="0.35">
      <c r="A5" s="264"/>
      <c r="B5" s="41" t="s">
        <v>43</v>
      </c>
      <c r="C5" s="41" t="s">
        <v>44</v>
      </c>
      <c r="D5" s="26" t="s">
        <v>316</v>
      </c>
      <c r="E5" s="41" t="s">
        <v>317</v>
      </c>
      <c r="F5" s="41" t="s">
        <v>46</v>
      </c>
    </row>
    <row r="6" spans="1:6" ht="15.6" thickTop="1" thickBot="1" x14ac:dyDescent="0.35">
      <c r="A6" s="95" t="s">
        <v>47</v>
      </c>
      <c r="B6" s="37"/>
      <c r="C6" s="37"/>
      <c r="D6" s="37"/>
      <c r="E6" s="37"/>
      <c r="F6" s="38"/>
    </row>
    <row r="7" spans="1:6" ht="15.6" thickTop="1" thickBot="1" x14ac:dyDescent="0.35">
      <c r="A7" s="96"/>
      <c r="B7" s="39"/>
      <c r="C7" s="39"/>
      <c r="D7" s="20"/>
      <c r="E7" s="20"/>
      <c r="F7" s="14"/>
    </row>
    <row r="8" spans="1:6" ht="15" thickBot="1" x14ac:dyDescent="0.35">
      <c r="A8" s="96"/>
      <c r="B8" s="39"/>
      <c r="C8" s="39"/>
      <c r="D8" s="20"/>
      <c r="E8" s="20"/>
      <c r="F8" s="14"/>
    </row>
    <row r="9" spans="1:6" ht="15" thickBot="1" x14ac:dyDescent="0.35">
      <c r="A9" s="97"/>
      <c r="B9" s="40"/>
      <c r="C9" s="40"/>
      <c r="D9" s="22"/>
      <c r="E9" s="22"/>
      <c r="F9" s="164">
        <f>SUMIF(HK!A:A,"061*",HK!K:K)-SUMIF(HK!A:A,"061*",HK!L:L)</f>
        <v>0</v>
      </c>
    </row>
    <row r="10" spans="1:6" ht="15.6" thickTop="1" thickBot="1" x14ac:dyDescent="0.35">
      <c r="A10" s="95" t="s">
        <v>48</v>
      </c>
      <c r="B10" s="37"/>
      <c r="C10" s="37"/>
      <c r="D10" s="37"/>
      <c r="E10" s="37"/>
      <c r="F10" s="188"/>
    </row>
    <row r="11" spans="1:6" ht="15.6" thickTop="1" thickBot="1" x14ac:dyDescent="0.35">
      <c r="A11" s="96"/>
      <c r="B11" s="39"/>
      <c r="C11" s="39"/>
      <c r="D11" s="20"/>
      <c r="E11" s="20"/>
      <c r="F11" s="182"/>
    </row>
    <row r="12" spans="1:6" ht="15" thickBot="1" x14ac:dyDescent="0.35">
      <c r="A12" s="96"/>
      <c r="B12" s="39"/>
      <c r="C12" s="39"/>
      <c r="D12" s="20"/>
      <c r="E12" s="20"/>
      <c r="F12" s="182"/>
    </row>
    <row r="13" spans="1:6" ht="15" thickBot="1" x14ac:dyDescent="0.35">
      <c r="A13" s="97"/>
      <c r="B13" s="40"/>
      <c r="C13" s="40"/>
      <c r="D13" s="22"/>
      <c r="E13" s="22"/>
      <c r="F13" s="164">
        <f>SUMIF(HK!A:A,"062*",HK!K:K)-SUMIF(HK!A:A,"062*",HK!L:L)</f>
        <v>0</v>
      </c>
    </row>
    <row r="14" spans="1:6" ht="15.6" thickTop="1" thickBot="1" x14ac:dyDescent="0.35">
      <c r="A14" s="95" t="s">
        <v>49</v>
      </c>
      <c r="B14" s="37"/>
      <c r="C14" s="37"/>
      <c r="D14" s="37"/>
      <c r="E14" s="37"/>
      <c r="F14" s="188"/>
    </row>
    <row r="15" spans="1:6" ht="15.6" thickTop="1" thickBot="1" x14ac:dyDescent="0.35">
      <c r="A15" s="96"/>
      <c r="B15" s="39"/>
      <c r="C15" s="39"/>
      <c r="D15" s="20"/>
      <c r="E15" s="20"/>
      <c r="F15" s="182"/>
    </row>
    <row r="16" spans="1:6" ht="15" thickBot="1" x14ac:dyDescent="0.35">
      <c r="A16" s="96"/>
      <c r="B16" s="39"/>
      <c r="C16" s="39"/>
      <c r="D16" s="20"/>
      <c r="E16" s="20"/>
      <c r="F16" s="182"/>
    </row>
    <row r="17" spans="1:6" ht="15" thickBot="1" x14ac:dyDescent="0.35">
      <c r="A17" s="97"/>
      <c r="B17" s="40"/>
      <c r="C17" s="40"/>
      <c r="D17" s="22"/>
      <c r="E17" s="22"/>
      <c r="F17" s="164">
        <f>SUMIF(HK!A:A,"063*",HK!K:K)-SUMIF(HK!A:A,"063*",HK!L:L)</f>
        <v>0</v>
      </c>
    </row>
    <row r="18" spans="1:6" ht="15.6" thickTop="1" thickBot="1" x14ac:dyDescent="0.35">
      <c r="A18" s="95" t="s">
        <v>50</v>
      </c>
      <c r="B18" s="37"/>
      <c r="C18" s="37"/>
      <c r="D18" s="37"/>
      <c r="E18" s="37"/>
      <c r="F18" s="188"/>
    </row>
    <row r="19" spans="1:6" ht="15.6" thickTop="1" thickBot="1" x14ac:dyDescent="0.35">
      <c r="A19" s="98"/>
      <c r="B19" s="39"/>
      <c r="C19" s="39"/>
      <c r="D19" s="20"/>
      <c r="E19" s="20"/>
      <c r="F19" s="182"/>
    </row>
    <row r="20" spans="1:6" ht="15" thickBot="1" x14ac:dyDescent="0.35">
      <c r="A20" s="63"/>
      <c r="B20" s="40"/>
      <c r="C20" s="40"/>
      <c r="D20" s="106"/>
      <c r="E20" s="32"/>
      <c r="F20" s="164">
        <f>SUMIF(HK!A:A,"043*",HK!K:K)-SUMIF(HK!A:A,"043*",HK!L:L)</f>
        <v>0</v>
      </c>
    </row>
    <row r="21" spans="1:6" ht="21.6" thickTop="1" thickBot="1" x14ac:dyDescent="0.35">
      <c r="A21" s="21" t="s">
        <v>51</v>
      </c>
      <c r="B21" s="24" t="s">
        <v>10</v>
      </c>
      <c r="C21" s="24" t="s">
        <v>10</v>
      </c>
      <c r="D21" s="24" t="s">
        <v>10</v>
      </c>
      <c r="E21" s="24" t="s">
        <v>10</v>
      </c>
      <c r="F21" s="16">
        <f>SUM(F19:F20)+SUM(F15:F17)+SUM(F11:F13)+SUM(F7:F9)</f>
        <v>0</v>
      </c>
    </row>
    <row r="22" spans="1:6" ht="15" thickTop="1" x14ac:dyDescent="0.3"/>
  </sheetData>
  <mergeCells count="2">
    <mergeCell ref="A4:A5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55</vt:i4>
      </vt:variant>
      <vt:variant>
        <vt:lpstr>Pomenované rozsahy</vt:lpstr>
      </vt:variant>
      <vt:variant>
        <vt:i4>53</vt:i4>
      </vt:variant>
    </vt:vector>
  </HeadingPairs>
  <TitlesOfParts>
    <vt:vector size="108" baseType="lpstr">
      <vt:lpstr>Mirakl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29</vt:lpstr>
      <vt:lpstr>28</vt:lpstr>
      <vt:lpstr>29_tabulka2</vt:lpstr>
      <vt:lpstr>30</vt:lpstr>
      <vt:lpstr>31</vt:lpstr>
      <vt:lpstr>32</vt:lpstr>
      <vt:lpstr>33</vt:lpstr>
      <vt:lpstr>34</vt:lpstr>
      <vt:lpstr>35</vt:lpstr>
      <vt:lpstr>36</vt:lpstr>
      <vt:lpstr>37</vt:lpstr>
      <vt:lpstr>VYSVETLIVKY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  <vt:lpstr>'1'!Oblasť_tlače</vt:lpstr>
      <vt:lpstr>'10'!Oblasť_tlače</vt:lpstr>
      <vt:lpstr>'11'!Oblasť_tlače</vt:lpstr>
      <vt:lpstr>'11_tabulka c.2'!Oblasť_tlače</vt:lpstr>
      <vt:lpstr>'12'!Oblasť_tlače</vt:lpstr>
      <vt:lpstr>'13_tabulka 1 a 3'!Oblasť_tlače</vt:lpstr>
      <vt:lpstr>'13_tabulka 2 a 4'!Oblasť_tlače</vt:lpstr>
      <vt:lpstr>'14'!Oblasť_tlače</vt:lpstr>
      <vt:lpstr>'15'!Oblasť_tlače</vt:lpstr>
      <vt:lpstr>'16'!Oblasť_tlače</vt:lpstr>
      <vt:lpstr>'17'!Oblasť_tlače</vt:lpstr>
      <vt:lpstr>'17_tabulka c.2'!Oblasť_tlače</vt:lpstr>
      <vt:lpstr>'18'!Oblasť_tlače</vt:lpstr>
      <vt:lpstr>'19'!Oblasť_tlače</vt:lpstr>
      <vt:lpstr>'2'!Oblasť_tlače</vt:lpstr>
      <vt:lpstr>'20'!Oblasť_tlače</vt:lpstr>
      <vt:lpstr>'21'!Oblasť_tlače</vt:lpstr>
      <vt:lpstr>'22'!Oblasť_tlače</vt:lpstr>
      <vt:lpstr>'23'!Oblasť_tlače</vt:lpstr>
      <vt:lpstr>'24'!Oblasť_tlače</vt:lpstr>
      <vt:lpstr>'25'!Oblasť_tlače</vt:lpstr>
      <vt:lpstr>'26'!Oblasť_tlače</vt:lpstr>
      <vt:lpstr>'27'!Oblasť_tlače</vt:lpstr>
      <vt:lpstr>'28'!Oblasť_tlače</vt:lpstr>
      <vt:lpstr>'29'!Oblasť_tlače</vt:lpstr>
      <vt:lpstr>'29_tabulka2'!Oblasť_tlače</vt:lpstr>
      <vt:lpstr>'3'!Oblasť_tlače</vt:lpstr>
      <vt:lpstr>'30'!Oblasť_tlače</vt:lpstr>
      <vt:lpstr>'31'!Oblasť_tlače</vt:lpstr>
      <vt:lpstr>'32'!Oblasť_tlače</vt:lpstr>
      <vt:lpstr>'33'!Oblasť_tlače</vt:lpstr>
      <vt:lpstr>'34'!Oblasť_tlače</vt:lpstr>
      <vt:lpstr>'35'!Oblasť_tlače</vt:lpstr>
      <vt:lpstr>'36'!Oblasť_tlače</vt:lpstr>
      <vt:lpstr>'37'!Oblasť_tlače</vt:lpstr>
      <vt:lpstr>'4'!Oblasť_tlače</vt:lpstr>
      <vt:lpstr>'5'!Oblasť_tlače</vt:lpstr>
      <vt:lpstr>'6'!Oblasť_tlače</vt:lpstr>
      <vt:lpstr>'7'!Oblasť_tlače</vt:lpstr>
      <vt:lpstr>'8'!Oblasť_tlače</vt:lpstr>
      <vt:lpstr>'9'!Oblasť_tlače</vt:lpstr>
      <vt:lpstr>Hárok1!Oblasť_tlače</vt:lpstr>
      <vt:lpstr>HK!Oblasť_tlače</vt:lpstr>
      <vt:lpstr>HKM!Oblasť_tlače</vt:lpstr>
      <vt:lpstr>HKSU!Oblasť_tlače</vt:lpstr>
      <vt:lpstr>HKSUM!Oblasť_tlače</vt:lpstr>
      <vt:lpstr>Info!Oblasť_tlače</vt:lpstr>
      <vt:lpstr>SUA!Oblasť_tlače</vt:lpstr>
      <vt:lpstr>SUAM!Oblasť_tlače</vt:lpstr>
      <vt:lpstr>SUP!Oblasť_tlače</vt:lpstr>
      <vt:lpstr>SUPM!Oblasť_tlače</vt:lpstr>
      <vt:lpstr>VZaS!Oblasť_tlače</vt:lpstr>
      <vt:lpstr>VZaSM!Oblasť_tlače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2023-02-23T08:46:29Z</dcterms:modified>
</cp:coreProperties>
</file>